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4"/>
  <workbookPr/>
  <mc:AlternateContent xmlns:mc="http://schemas.openxmlformats.org/markup-compatibility/2006">
    <mc:Choice Requires="x15">
      <x15ac:absPath xmlns:x15ac="http://schemas.microsoft.com/office/spreadsheetml/2010/11/ac" url="C:\Старые данные\Иван. Beeline KZ\Результаты\"/>
    </mc:Choice>
  </mc:AlternateContent>
  <xr:revisionPtr revIDLastSave="0" documentId="13_ncr:1_{8A75812D-9E94-4C05-BEF6-18C17D30E65A}" xr6:coauthVersionLast="47" xr6:coauthVersionMax="47" xr10:uidLastSave="{00000000-0000-0000-0000-000000000000}"/>
  <bookViews>
    <workbookView xWindow="-108" yWindow="-108" windowWidth="23256" windowHeight="12456" tabRatio="796" firstSheet="13" activeTab="22" xr2:uid="{00000000-000D-0000-FFFF-FFFF00000000}"/>
  </bookViews>
  <sheets>
    <sheet name="Лист3" sheetId="3" state="hidden" r:id="rId1"/>
    <sheet name="Лист4" sheetId="4" state="hidden" r:id="rId2"/>
    <sheet name="Лист2" sheetId="2" state="hidden" r:id="rId3"/>
    <sheet name="Product" sheetId="5" state="hidden" r:id="rId4"/>
    <sheet name="Воронка (2)" sheetId="22" state="hidden" r:id="rId5"/>
    <sheet name="Goals" sheetId="20" r:id="rId6"/>
    <sheet name="Funnel" sheetId="26" r:id="rId7"/>
    <sheet name="Funnel QH" sheetId="21" r:id="rId8"/>
    <sheet name="packages (indiv)" sheetId="27" r:id="rId9"/>
    <sheet name="Micro_30 (indiv)" sheetId="29" r:id="rId10"/>
    <sheet name="Installment card_150 (indiv)" sheetId="30" r:id="rId11"/>
    <sheet name="Installment card_1000 (indiv)" sheetId="31" r:id="rId12"/>
    <sheet name="Debit card (indiv)" sheetId="32" r:id="rId13"/>
    <sheet name="CashCredit_dossym (indiv)" sheetId="28" r:id="rId14"/>
    <sheet name="BNPL_commiss (corp)" sheetId="33" r:id="rId15"/>
    <sheet name="Deposits (indiv)" sheetId="10" r:id="rId16"/>
    <sheet name="Merchants(corp)" sheetId="23" r:id="rId17"/>
    <sheet name="Subscr" sheetId="9" state="hidden" r:id="rId18"/>
    <sheet name="CashLoans" sheetId="14" state="hidden" r:id="rId19"/>
    <sheet name="Криейтеры (ЮЛ)" sheetId="24" state="hidden" r:id="rId20"/>
    <sheet name="OPEX_CAPEX" sheetId="35" r:id="rId21"/>
    <sheet name="BS (Ecosystem)" sheetId="25" r:id="rId22"/>
    <sheet name="PL (Ecosystem)" sheetId="34" r:id="rId23"/>
    <sheet name="PL (Ecosystem+KEM)" sheetId="40" r:id="rId24"/>
    <sheet name="Presentation" sheetId="36" r:id="rId25"/>
    <sheet name="Slides" sheetId="41" r:id="rId26"/>
    <sheet name="Comments" sheetId="38" r:id="rId27"/>
    <sheet name="Деб.карты" sheetId="6" state="hidden" r:id="rId28"/>
    <sheet name="ML30-Forte" sheetId="11" state="hidden" r:id="rId29"/>
    <sheet name="BNPL150-Forte" sheetId="12" state="hidden" r:id="rId30"/>
    <sheet name="BNPL1000-Forte" sheetId="13" state="hidden" r:id="rId31"/>
    <sheet name="MI-Forte" sheetId="17" state="hidden" r:id="rId32"/>
    <sheet name="NL-Finco" sheetId="8" state="hidden" r:id="rId33"/>
    <sheet name="Forte &gt;&gt;&gt;" sheetId="7" state="hidden" r:id="rId34"/>
    <sheet name="Finco &gt;&gt;&gt;" sheetId="16" state="hidden" r:id="rId35"/>
  </sheets>
  <externalReferences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__dol1">'[1]Д&amp;Р'!$C$45</definedName>
    <definedName name="__END1">[2]Лист1!$A$293</definedName>
    <definedName name="__kurs_dol__">[3]Свод!$M$5</definedName>
    <definedName name="_dol1">'[1]Д&amp;Р'!$C$45</definedName>
    <definedName name="_END1">[2]Лист1!$A$293</definedName>
    <definedName name="_Fill" hidden="1">#REF!</definedName>
    <definedName name="aned110">[4]неделя!$Q$81</definedName>
    <definedName name="aned111">[4]неделя!$Q$82</definedName>
    <definedName name="aned112">[4]неделя!$Q$83</definedName>
    <definedName name="aned113">[4]неделя!$Q$84</definedName>
    <definedName name="aned146">[4]неделя!$Q$93</definedName>
    <definedName name="aned158">[4]неделя!$Q$100</definedName>
    <definedName name="aned161">[4]неделя!$Q$169</definedName>
    <definedName name="aned162">[4]неделя!$Q$170</definedName>
    <definedName name="aned170">[4]неделя!$Q$178</definedName>
    <definedName name="aned184">[4]неделя!$Q$208</definedName>
    <definedName name="aned191">[4]неделя!$Q$220</definedName>
    <definedName name="aned194">[4]неделя!$Q$223</definedName>
    <definedName name="aned213">[4]неделя!$Q$229</definedName>
    <definedName name="aned224">[4]неделя!$Q$104</definedName>
    <definedName name="aned239">[4]неделя!$Q$109</definedName>
    <definedName name="aned34">[4]неделя!$Q$214</definedName>
    <definedName name="aned50">[4]неделя!$Q$38</definedName>
    <definedName name="aned60">[4]неделя!$Q$50</definedName>
    <definedName name="aned61">[4]неделя!$Q$51</definedName>
    <definedName name="aned62">[4]неделя!$Q$52</definedName>
    <definedName name="aned620">[4]неделя!$Q$416</definedName>
    <definedName name="aned624">[4]неделя!$Q$180</definedName>
    <definedName name="aned628">[4]неделя!$Q$184</definedName>
    <definedName name="aned629">[4]неделя!$Q$417</definedName>
    <definedName name="aned63">[4]неделя!$Q$53</definedName>
    <definedName name="aned632">[4]неделя!$Q$118</definedName>
    <definedName name="aned636">[4]неделя!$Q$121</definedName>
    <definedName name="aned637">[4]неделя!$Q$122</definedName>
    <definedName name="aned639">[4]неделя!$Q$124</definedName>
    <definedName name="aned64">[4]неделя!$Q$54</definedName>
    <definedName name="aned647">[4]неделя!$Q$185</definedName>
    <definedName name="aned65">[4]неделя!$Q$55</definedName>
    <definedName name="aned657">[4]неделя!$Q$187</definedName>
    <definedName name="aned662">[4]неделя!$Q$127</definedName>
    <definedName name="aned668">[4]неделя!$Q$132</definedName>
    <definedName name="aned680">[4]неделя!$Q$134</definedName>
    <definedName name="aned681">[4]неделя!$Q$135</definedName>
    <definedName name="aned682">[4]неделя!$Q$136</definedName>
    <definedName name="aned683">[4]неделя!$Q$137</definedName>
    <definedName name="aned716">[4]неделя!$Q$484</definedName>
    <definedName name="aned718">[4]неделя!$Q$486</definedName>
    <definedName name="aned719">[4]неделя!$Q$487</definedName>
    <definedName name="aned72">[4]неделя!$Q$62</definedName>
    <definedName name="aned728">[4]неделя!$Q$501</definedName>
    <definedName name="aned729">[4]неделя!$Q$502</definedName>
    <definedName name="aned731">[4]неделя!$Q$189</definedName>
    <definedName name="aned76">[4]неделя!$Q$66</definedName>
    <definedName name="aned77">[4]неделя!$Q$67</definedName>
    <definedName name="aned79">[4]неделя!$Q$69</definedName>
    <definedName name="aned812">[4]неделя!$Q$195</definedName>
    <definedName name="aned86">[4]неделя!$Q$70</definedName>
    <definedName name="aned87">[4]неделя!$Q$71</definedName>
    <definedName name="aned882">[4]неделя!$Q$561</definedName>
    <definedName name="aned900">[4]неделя!$Q$562</definedName>
    <definedName name="aned902">[4]неделя!$Q$547</definedName>
    <definedName name="aned904">[4]неделя!$Q$564</definedName>
    <definedName name="aned907">[4]неделя!$Q$567</definedName>
    <definedName name="aned911">[4]неделя!$Q$570</definedName>
    <definedName name="aned919">[4]неделя!$Q$574</definedName>
    <definedName name="aned92">[4]неделя!$Q$74</definedName>
    <definedName name="aned925">[4]неделя!$Q$592</definedName>
    <definedName name="aned941">[4]неделя!$Q$575</definedName>
    <definedName name="aned945">[4]неделя!$Q$577</definedName>
    <definedName name="aned947">[4]неделя!$Q$579</definedName>
    <definedName name="anedP23">[4]неделя!$Q$601</definedName>
    <definedName name="anedР10">[4]неделя!$Q$420</definedName>
    <definedName name="anedР11">[4]неделя!$Q$454</definedName>
    <definedName name="anedР2">[4]неделя!$Q$35</definedName>
    <definedName name="anedР25">[4]неделя!$Q$621</definedName>
    <definedName name="broke">'[5]Entries&amp;Reconciliation(USD)'!#REF!</definedName>
    <definedName name="Broken_Ore_Calcs">'[5]Entries&amp;Reconciliation(USD)'!#REF!</definedName>
    <definedName name="cmpe">[5]As!$B$1</definedName>
    <definedName name="EssAliasTable">"Default"</definedName>
    <definedName name="EssLatest">"BegBalance"</definedName>
    <definedName name="EssOptions">"A1100000000130000000001100020_01000"</definedName>
    <definedName name="EssSamplingValue">100</definedName>
    <definedName name="fames283">[6]Баланс!$G$105</definedName>
    <definedName name="fames885">[6]Баланс!$G$172</definedName>
    <definedName name="fames890">[6]Баланс!$G$470</definedName>
    <definedName name="fames896">[6]Баланс!$G$476</definedName>
    <definedName name="FILE">"P_VIP603"</definedName>
    <definedName name="flag">TRUE</definedName>
    <definedName name="fpmes287">[6]Баланс!$H$106</definedName>
    <definedName name="fpmes809">[6]Баланс!$H$167</definedName>
    <definedName name="fpmes890">[6]Баланс!$H$470</definedName>
    <definedName name="fpmes896">[6]Баланс!$H$476</definedName>
    <definedName name="gg">'[5]Entries&amp;Reconciliation(USD)'!#REF!</definedName>
    <definedName name="Header_Row">ROW(#REF!)</definedName>
    <definedName name="hh">'[5]Entries&amp;Reconciliation(USD)'!#REF!</definedName>
    <definedName name="iii">[7]Sheet3!#REF!</definedName>
    <definedName name="jjjjjjj">'[5]Entries&amp;Reconciliation(USD)'!#REF!</definedName>
    <definedName name="Ko">303</definedName>
    <definedName name="lim">240</definedName>
    <definedName name="Months">'[5]Entries&amp;Reconciliation(USD)'!#REF!</definedName>
    <definedName name="months1">'[5]Entries&amp;Reconciliation(USD)'!#REF!</definedName>
    <definedName name="mu">#REF!</definedName>
    <definedName name="Number_of_Payments" localSheetId="30">MATCH(0.01,End_Bal,-1)+1</definedName>
    <definedName name="Number_of_Payments" localSheetId="29">MATCH(0.01,End_Bal,-1)+1</definedName>
    <definedName name="Number_of_Payments" localSheetId="18">MATCH(0.01,End_Bal,-1)+1</definedName>
    <definedName name="Number_of_Payments" localSheetId="15">MATCH(0.01,End_Bal,-1)+1</definedName>
    <definedName name="Number_of_Payments" localSheetId="34">MATCH(0.01,End_Bal,-1)+1</definedName>
    <definedName name="Number_of_Payments" localSheetId="33">MATCH(0.01,End_Bal,-1)+1</definedName>
    <definedName name="Number_of_Payments" localSheetId="16">MATCH(0.01,End_Bal,-1)+1</definedName>
    <definedName name="Number_of_Payments" localSheetId="31">MATCH(0.01,End_Bal,-1)+1</definedName>
    <definedName name="Number_of_Payments" localSheetId="28">MATCH(0.01,End_Bal,-1)+1</definedName>
    <definedName name="Number_of_Payments" localSheetId="32">MATCH(0.01,End_Bal,-1)+1</definedName>
    <definedName name="Number_of_Payments" localSheetId="22">MATCH(0.01,End_Bal,-1)+1</definedName>
    <definedName name="Number_of_Payments" localSheetId="25">MATCH(0.01,End_Bal,-1)+1</definedName>
    <definedName name="Number_of_Payments" localSheetId="19">MATCH(0.01,End_Bal,-1)+1</definedName>
    <definedName name="Number_of_Payments">MATCH(0.01,End_Bal,-1)+1</definedName>
    <definedName name="period">#REF!</definedName>
    <definedName name="pned10">[4]неделя!$R$16</definedName>
    <definedName name="pned11">[4]неделя!$R$17</definedName>
    <definedName name="pned114">[4]неделя!$R$85</definedName>
    <definedName name="pned115">[4]неделя!$R$86</definedName>
    <definedName name="pned116">[4]неделя!$R$87</definedName>
    <definedName name="pned117">[4]неделя!$R$88</definedName>
    <definedName name="pned118">[4]неделя!$R$89</definedName>
    <definedName name="pned119">[4]неделя!$R$90</definedName>
    <definedName name="pned12">[4]неделя!$R$18</definedName>
    <definedName name="pned147">[4]неделя!$R$94</definedName>
    <definedName name="pned149">[4]неделя!$R$96</definedName>
    <definedName name="pned15">[4]неделя!$R$19</definedName>
    <definedName name="pned159">[4]неделя!$R$101</definedName>
    <definedName name="pned16">[4]неделя!$R$20</definedName>
    <definedName name="pned160">[4]неделя!$R$102</definedName>
    <definedName name="pned161">[4]неделя!$R$169</definedName>
    <definedName name="pned162">[4]неделя!$R$170</definedName>
    <definedName name="pned169">[4]неделя!$R$177</definedName>
    <definedName name="pned170">[4]неделя!$R$178</definedName>
    <definedName name="pned180">[4]неделя!$R$179</definedName>
    <definedName name="pned187">[4]неделя!$R$218</definedName>
    <definedName name="pned190">[4]неделя!$R$219</definedName>
    <definedName name="pned199">[4]неделя!$R$228</definedName>
    <definedName name="pned224">[4]неделя!$R$104</definedName>
    <definedName name="pned225">[4]неделя!$R$105</definedName>
    <definedName name="pned236">[4]неделя!$R$108</definedName>
    <definedName name="pned24">[4]неделя!$R$23</definedName>
    <definedName name="pned27">[4]неделя!$R$24</definedName>
    <definedName name="pned28">[4]неделя!$R$25</definedName>
    <definedName name="pned282">[4]неделя!$R$110</definedName>
    <definedName name="pned29">[4]неделя!$R$26</definedName>
    <definedName name="pned45">[4]неделя!$R$27</definedName>
    <definedName name="pned608">[4]неделя!$R$555</definedName>
    <definedName name="pned617">[4]неделя!$R$115</definedName>
    <definedName name="pned635">[4]неделя!$R$120</definedName>
    <definedName name="pned636">[4]неделя!$R$121</definedName>
    <definedName name="pned638">[4]неделя!$R$123</definedName>
    <definedName name="pned639">[4]неделя!$R$124</definedName>
    <definedName name="pned648">[4]неделя!$R$186</definedName>
    <definedName name="pned660">[4]неделя!$R$125</definedName>
    <definedName name="pned667">[4]неделя!$R$131</definedName>
    <definedName name="pned669">[4]неделя!$R$133</definedName>
    <definedName name="pned684">[4]неделя!$R$138</definedName>
    <definedName name="pned685">[4]неделя!$R$139</definedName>
    <definedName name="pned686">[4]неделя!$R$140</definedName>
    <definedName name="pned687">[4]неделя!$R$141</definedName>
    <definedName name="pned688">[4]неделя!$R$142</definedName>
    <definedName name="pned689">[4]неделя!$R$143</definedName>
    <definedName name="pned70">[4]неделя!$R$60</definedName>
    <definedName name="pned71">[4]неделя!$R$61</definedName>
    <definedName name="pned711">[4]неделя!$R$481</definedName>
    <definedName name="pned713">[4]неделя!$R$493</definedName>
    <definedName name="pned714">[4]неделя!$R$494</definedName>
    <definedName name="pned715">[4]неделя!$R$483</definedName>
    <definedName name="pned720">[4]неделя!$R$498</definedName>
    <definedName name="pned723">[4]неделя!$R$488</definedName>
    <definedName name="pned724">[4]неделя!$R$500</definedName>
    <definedName name="pned73">[4]неделя!$R$63</definedName>
    <definedName name="pned732">[4]неделя!$R$190</definedName>
    <definedName name="pned75">[4]неделя!$R$65</definedName>
    <definedName name="pned759">[4]неделя!$R$489</definedName>
    <definedName name="pned76">[4]неделя!$R$66</definedName>
    <definedName name="pned78">[4]неделя!$R$68</definedName>
    <definedName name="pned79">[4]неделя!$R$69</definedName>
    <definedName name="pned813">[4]неделя!$R$196</definedName>
    <definedName name="pned826">[4]неделя!$R$164</definedName>
    <definedName name="pned86">[4]неделя!$R$70</definedName>
    <definedName name="pned882">[4]неделя!$R$561</definedName>
    <definedName name="pned90">[4]неделя!$R$72</definedName>
    <definedName name="pned900">[4]неделя!$R$562</definedName>
    <definedName name="pned902">[4]неделя!$R$547</definedName>
    <definedName name="pned904">[4]неделя!$R$564</definedName>
    <definedName name="pned906">[4]неделя!$R$566</definedName>
    <definedName name="pned908">[4]неделя!$R$568</definedName>
    <definedName name="pned911">[4]неделя!$R$570</definedName>
    <definedName name="pned941">[4]неделя!$R$575</definedName>
    <definedName name="pned945">[4]неделя!$R$577</definedName>
    <definedName name="pned948">[4]неделя!$R$580</definedName>
    <definedName name="pned99">[4]неделя!$R$80</definedName>
    <definedName name="pnedР10">[4]неделя!$R$420</definedName>
    <definedName name="pnedР11">[4]неделя!$R$454</definedName>
    <definedName name="pnedР14">[4]неделя!$R$477</definedName>
    <definedName name="pnedР25">[4]неделя!$R$621</definedName>
    <definedName name="Print_Area_Reset" localSheetId="30">OFFSET(Full_Print,0,0,Last_Row)</definedName>
    <definedName name="Print_Area_Reset" localSheetId="29">OFFSET(Full_Print,0,0,Last_Row)</definedName>
    <definedName name="Print_Area_Reset" localSheetId="18">OFFSET(Full_Print,0,0,Last_Row)</definedName>
    <definedName name="Print_Area_Reset" localSheetId="15">OFFSET(Full_Print,0,0,Last_Row)</definedName>
    <definedName name="Print_Area_Reset" localSheetId="34">OFFSET(Full_Print,0,0,Last_Row)</definedName>
    <definedName name="Print_Area_Reset" localSheetId="33">OFFSET(Full_Print,0,0,Last_Row)</definedName>
    <definedName name="Print_Area_Reset" localSheetId="16">OFFSET(Full_Print,0,0,Last_Row)</definedName>
    <definedName name="Print_Area_Reset" localSheetId="31">OFFSET(Full_Print,0,0,Last_Row)</definedName>
    <definedName name="Print_Area_Reset" localSheetId="28">OFFSET(Full_Print,0,0,Last_Row)</definedName>
    <definedName name="Print_Area_Reset" localSheetId="32">OFFSET(Full_Print,0,0,Last_Row)</definedName>
    <definedName name="Print_Area_Reset" localSheetId="22">OFFSET(Full_Print,0,0,Last_Row)</definedName>
    <definedName name="Print_Area_Reset" localSheetId="25">OFFSET(Full_Print,0,0,Last_Row)</definedName>
    <definedName name="Print_Area_Reset" localSheetId="19">OFFSET(Full_Print,0,0,Last_Row)</definedName>
    <definedName name="Print_Area_Reset">OFFSET(Full_Print,0,0,Last_Row)</definedName>
    <definedName name="quant" localSheetId="25">#REF!</definedName>
    <definedName name="quant">#REF!</definedName>
    <definedName name="sigma">#REF!</definedName>
    <definedName name="So">4033.82743136</definedName>
    <definedName name="trafic1">'[5]Entries&amp;Reconciliation(USD)'!#REF!</definedName>
    <definedName name="Values_Entered" localSheetId="30">IF(Loan_Amount*Interest_Rate*Loan_Years*Loan_Start&gt;0,1,0)</definedName>
    <definedName name="Values_Entered" localSheetId="29">IF(Loan_Amount*Interest_Rate*Loan_Years*Loan_Start&gt;0,1,0)</definedName>
    <definedName name="Values_Entered" localSheetId="18">IF(Loan_Amount*Interest_Rate*Loan_Years*Loan_Start&gt;0,1,0)</definedName>
    <definedName name="Values_Entered" localSheetId="15">IF(Loan_Amount*Interest_Rate*Loan_Years*Loan_Start&gt;0,1,0)</definedName>
    <definedName name="Values_Entered" localSheetId="34">IF(Loan_Amount*Interest_Rate*Loan_Years*Loan_Start&gt;0,1,0)</definedName>
    <definedName name="Values_Entered" localSheetId="33">IF(Loan_Amount*Interest_Rate*Loan_Years*Loan_Start&gt;0,1,0)</definedName>
    <definedName name="Values_Entered" localSheetId="16">IF(Loan_Amount*Interest_Rate*Loan_Years*Loan_Start&gt;0,1,0)</definedName>
    <definedName name="Values_Entered" localSheetId="31">IF(Loan_Amount*Interest_Rate*Loan_Years*Loan_Start&gt;0,1,0)</definedName>
    <definedName name="Values_Entered" localSheetId="28">IF(Loan_Amount*Interest_Rate*Loan_Years*Loan_Start&gt;0,1,0)</definedName>
    <definedName name="Values_Entered" localSheetId="32">IF(Loan_Amount*Interest_Rate*Loan_Years*Loan_Start&gt;0,1,0)</definedName>
    <definedName name="Values_Entered" localSheetId="22">IF(Loan_Amount*Interest_Rate*Loan_Years*Loan_Start&gt;0,1,0)</definedName>
    <definedName name="Values_Entered" localSheetId="25">IF(Loan_Amount*Interest_Rate*Loan_Years*Loan_Start&gt;0,1,0)</definedName>
    <definedName name="Values_Entered" localSheetId="19">IF(Loan_Amount*Interest_Rate*Loan_Years*Loan_Start&gt;0,1,0)</definedName>
    <definedName name="Values_Entered">IF(Loan_Amount*Interest_Rate*Loan_Years*Loan_Start&gt;0,1,0)</definedName>
    <definedName name="volat" localSheetId="25">#REF!</definedName>
    <definedName name="volat">#REF!</definedName>
    <definedName name="wrn.Исполнение._.сметы._.затрат." localSheetId="34" hidden="1">{#N/A,#N/A,FALSE,"Лист15"}</definedName>
    <definedName name="wrn.Исполнение._.сметы._.затрат." localSheetId="33" hidden="1">{#N/A,#N/A,FALSE,"Лист15"}</definedName>
    <definedName name="wrn.Исполнение._.сметы._.затрат." localSheetId="25" hidden="1">{#N/A,#N/A,FALSE,"Лист15"}</definedName>
    <definedName name="wrn.Исполнение._.сметы._.затрат." hidden="1">{#N/A,#N/A,FALSE,"Лист15"}</definedName>
    <definedName name="wrn.Исполнение._.смкты._.затарат." localSheetId="34" hidden="1">{#N/A,#N/A,FALSE,"Лист15"}</definedName>
    <definedName name="wrn.Исполнение._.смкты._.затарат." localSheetId="33" hidden="1">{#N/A,#N/A,FALSE,"Лист15"}</definedName>
    <definedName name="wrn.Исполнение._.смкты._.затарат." localSheetId="25" hidden="1">{#N/A,#N/A,FALSE,"Лист15"}</definedName>
    <definedName name="wrn.Исполнение._.смкты._.затарат." hidden="1">{#N/A,#N/A,FALSE,"Лист15"}</definedName>
    <definedName name="yeild">#REF!</definedName>
    <definedName name="апр">#REF!</definedName>
    <definedName name="апр123153546фы">[7]Sheet3!#REF!</definedName>
    <definedName name="ара" localSheetId="34" hidden="1">{#N/A,#N/A,FALSE,"Лист15"}</definedName>
    <definedName name="ара" localSheetId="33" hidden="1">{#N/A,#N/A,FALSE,"Лист15"}</definedName>
    <definedName name="ара" localSheetId="25" hidden="1">{#N/A,#N/A,FALSE,"Лист15"}</definedName>
    <definedName name="ара" hidden="1">{#N/A,#N/A,FALSE,"Лист15"}</definedName>
    <definedName name="_xlnm.Database" localSheetId="25">#REF!</definedName>
    <definedName name="_xlnm.Database">#REF!</definedName>
    <definedName name="вввв">'[5]Entries&amp;Reconciliation(USD)'!#REF!</definedName>
    <definedName name="выа12351465ы1вяа65ваыва">[7]Sheet3!#REF!</definedName>
    <definedName name="г">[7]Sheet3!#REF!</definedName>
    <definedName name="дата">[8]БАЛАНС!$J$1:$IV$1</definedName>
    <definedName name="Дата_опорного_факта">'[9]0'!$E$18</definedName>
    <definedName name="Дата_опорного_факта_ЦП">'[9]0'!$E$17</definedName>
    <definedName name="движение" localSheetId="34" hidden="1">{#N/A,#N/A,FALSE,"Лист15"}</definedName>
    <definedName name="движение" localSheetId="33" hidden="1">{#N/A,#N/A,FALSE,"Лист15"}</definedName>
    <definedName name="движение" localSheetId="25" hidden="1">{#N/A,#N/A,FALSE,"Лист15"}</definedName>
    <definedName name="движение" hidden="1">{#N/A,#N/A,FALSE,"Лист15"}</definedName>
    <definedName name="дд">[7]Sheet3!#REF!</definedName>
    <definedName name="единицы_измерения">[8]ДОПОЛНИТЕЛЬНО!$A$10:$A$12</definedName>
    <definedName name="кал" localSheetId="34" hidden="1">{#N/A,#N/A,FALSE,"Лист15"}</definedName>
    <definedName name="кал" localSheetId="33" hidden="1">{#N/A,#N/A,FALSE,"Лист15"}</definedName>
    <definedName name="кал" localSheetId="25" hidden="1">{#N/A,#N/A,FALSE,"Лист15"}</definedName>
    <definedName name="кал" hidden="1">{#N/A,#N/A,FALSE,"Лист15"}</definedName>
    <definedName name="ллл">[7]Sheet3!#REF!</definedName>
    <definedName name="май">#REF!</definedName>
    <definedName name="мар">#REF!</definedName>
    <definedName name="материалы" localSheetId="34" hidden="1">{#N/A,#N/A,FALSE,"Лист15"}</definedName>
    <definedName name="материалы" localSheetId="33" hidden="1">{#N/A,#N/A,FALSE,"Лист15"}</definedName>
    <definedName name="материалы" localSheetId="25" hidden="1">{#N/A,#N/A,FALSE,"Лист15"}</definedName>
    <definedName name="материалы" hidden="1">{#N/A,#N/A,FALSE,"Лист15"}</definedName>
    <definedName name="п1">[7]Sheet3!#REF!</definedName>
    <definedName name="пролграаммм" localSheetId="34" hidden="1">{#N/A,#N/A,FALSE,"Лист15"}</definedName>
    <definedName name="пролграаммм" localSheetId="33" hidden="1">{#N/A,#N/A,FALSE,"Лист15"}</definedName>
    <definedName name="пролграаммм" localSheetId="25" hidden="1">{#N/A,#N/A,FALSE,"Лист15"}</definedName>
    <definedName name="пролграаммм" hidden="1">{#N/A,#N/A,FALSE,"Лист15"}</definedName>
    <definedName name="ууккку">'[5]Entries&amp;Reconciliation(USD)'!#REF!</definedName>
    <definedName name="ф">[7]Sheet3!#REF!</definedName>
    <definedName name="ф112233">[7]Sheet3!#REF!</definedName>
    <definedName name="ф123">[7]Sheet3!#REF!</definedName>
    <definedName name="фыйцый">[7]Sheet3!#REF!</definedName>
    <definedName name="ш">[7]Sheet3!#REF!</definedName>
    <definedName name="ыы">[7]Sheet3!#REF!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F65" i="28" l="1"/>
  <c r="CF64" i="28"/>
  <c r="CF22" i="28"/>
  <c r="CF20" i="28"/>
  <c r="CF13" i="28"/>
  <c r="CF12" i="28"/>
  <c r="CF11" i="28"/>
  <c r="CF12" i="32"/>
  <c r="CF11" i="32"/>
  <c r="CF10" i="32"/>
  <c r="CF9" i="32"/>
  <c r="CE101" i="27"/>
  <c r="CE100" i="27"/>
  <c r="CE97" i="27"/>
  <c r="CE94" i="27"/>
  <c r="CE95" i="27" s="1"/>
  <c r="D14" i="20" l="1"/>
  <c r="E14" i="20"/>
  <c r="F14" i="20"/>
  <c r="G14" i="20"/>
  <c r="H14" i="20"/>
  <c r="I14" i="20"/>
  <c r="D20" i="40" l="1"/>
  <c r="D21" i="40" s="1"/>
  <c r="D22" i="40" s="1"/>
  <c r="D25" i="40" s="1"/>
  <c r="D9" i="40" s="1"/>
  <c r="D45" i="41" s="1"/>
  <c r="E20" i="40"/>
  <c r="E21" i="40" s="1"/>
  <c r="E22" i="40" s="1"/>
  <c r="E25" i="40" s="1"/>
  <c r="E9" i="40" s="1"/>
  <c r="E45" i="41" s="1"/>
  <c r="F20" i="40"/>
  <c r="F21" i="40" s="1"/>
  <c r="F22" i="40" s="1"/>
  <c r="F25" i="40" s="1"/>
  <c r="F9" i="40" s="1"/>
  <c r="F45" i="41" s="1"/>
  <c r="G20" i="40"/>
  <c r="G21" i="40" s="1"/>
  <c r="G22" i="40" s="1"/>
  <c r="G25" i="40" s="1"/>
  <c r="G9" i="40" s="1"/>
  <c r="G45" i="41" s="1"/>
  <c r="H20" i="40"/>
  <c r="H21" i="40" s="1"/>
  <c r="H22" i="40" s="1"/>
  <c r="H25" i="40" s="1"/>
  <c r="H9" i="40" s="1"/>
  <c r="H45" i="41" s="1"/>
  <c r="S14" i="20"/>
  <c r="R14" i="20"/>
  <c r="R12" i="20"/>
  <c r="R11" i="20"/>
  <c r="H79" i="26"/>
  <c r="I79" i="26" s="1"/>
  <c r="H57" i="26"/>
  <c r="I57" i="26" s="1"/>
  <c r="H34" i="26"/>
  <c r="I34" i="26" s="1"/>
  <c r="E47" i="34"/>
  <c r="F47" i="34"/>
  <c r="G47" i="34"/>
  <c r="H47" i="34"/>
  <c r="I47" i="34"/>
  <c r="D47" i="34"/>
  <c r="E42" i="34"/>
  <c r="F42" i="34"/>
  <c r="G42" i="34"/>
  <c r="H42" i="34"/>
  <c r="I42" i="34"/>
  <c r="D42" i="34"/>
  <c r="E29" i="25"/>
  <c r="F29" i="25"/>
  <c r="G29" i="25"/>
  <c r="H29" i="25"/>
  <c r="S29" i="25" s="1"/>
  <c r="C105" i="36" s="1"/>
  <c r="I29" i="25"/>
  <c r="D29" i="25"/>
  <c r="J284" i="23"/>
  <c r="K68" i="23"/>
  <c r="L68" i="23"/>
  <c r="M68" i="23"/>
  <c r="N68" i="23"/>
  <c r="O68" i="23"/>
  <c r="P68" i="23"/>
  <c r="J68" i="23"/>
  <c r="K70" i="23"/>
  <c r="L70" i="23" s="1"/>
  <c r="M70" i="23" s="1"/>
  <c r="N70" i="23" s="1"/>
  <c r="O70" i="23" s="1"/>
  <c r="P70" i="23" s="1"/>
  <c r="AC92" i="35"/>
  <c r="D92" i="35"/>
  <c r="E92" i="35" s="1"/>
  <c r="F92" i="35" s="1"/>
  <c r="G92" i="35" s="1"/>
  <c r="H92" i="35" s="1"/>
  <c r="I92" i="35" s="1"/>
  <c r="J92" i="35" s="1"/>
  <c r="K92" i="35" s="1"/>
  <c r="L92" i="35" s="1"/>
  <c r="M92" i="35" s="1"/>
  <c r="N92" i="35" s="1"/>
  <c r="O92" i="35" s="1"/>
  <c r="BP91" i="35"/>
  <c r="BD91" i="35" s="1"/>
  <c r="BE91" i="35" s="1"/>
  <c r="BF91" i="35" s="1"/>
  <c r="BG91" i="35" s="1"/>
  <c r="BH91" i="35" s="1"/>
  <c r="BI91" i="35" s="1"/>
  <c r="BJ91" i="35" s="1"/>
  <c r="BK91" i="35" s="1"/>
  <c r="BL91" i="35" s="1"/>
  <c r="BM91" i="35" s="1"/>
  <c r="BN91" i="35" s="1"/>
  <c r="BO91" i="35" s="1"/>
  <c r="BC91" i="35"/>
  <c r="AQ91" i="35" s="1"/>
  <c r="AR91" i="35" s="1"/>
  <c r="AS91" i="35" s="1"/>
  <c r="AT91" i="35" s="1"/>
  <c r="AU91" i="35" s="1"/>
  <c r="AV91" i="35" s="1"/>
  <c r="AW91" i="35" s="1"/>
  <c r="AX91" i="35" s="1"/>
  <c r="AY91" i="35" s="1"/>
  <c r="AZ91" i="35" s="1"/>
  <c r="BA91" i="35" s="1"/>
  <c r="BB91" i="35" s="1"/>
  <c r="AP91" i="35"/>
  <c r="AD91" i="35" s="1"/>
  <c r="AE91" i="35" s="1"/>
  <c r="AF91" i="35" s="1"/>
  <c r="AG91" i="35" s="1"/>
  <c r="AH91" i="35" s="1"/>
  <c r="AI91" i="35" s="1"/>
  <c r="AJ91" i="35" s="1"/>
  <c r="AK91" i="35" s="1"/>
  <c r="AL91" i="35" s="1"/>
  <c r="AM91" i="35" s="1"/>
  <c r="AN91" i="35" s="1"/>
  <c r="AO91" i="35" s="1"/>
  <c r="AC91" i="35"/>
  <c r="Q91" i="35" s="1"/>
  <c r="P91" i="35"/>
  <c r="D91" i="35"/>
  <c r="E91" i="35" s="1"/>
  <c r="F91" i="35" s="1"/>
  <c r="G91" i="35" s="1"/>
  <c r="H91" i="35" s="1"/>
  <c r="I91" i="35" s="1"/>
  <c r="J91" i="35" s="1"/>
  <c r="K91" i="35" s="1"/>
  <c r="L91" i="35" s="1"/>
  <c r="M91" i="35" s="1"/>
  <c r="N91" i="35" s="1"/>
  <c r="O91" i="35" s="1"/>
  <c r="BP90" i="35"/>
  <c r="BD90" i="35" s="1"/>
  <c r="BE90" i="35" s="1"/>
  <c r="BF90" i="35" s="1"/>
  <c r="BG90" i="35" s="1"/>
  <c r="BH90" i="35" s="1"/>
  <c r="BI90" i="35" s="1"/>
  <c r="BJ90" i="35" s="1"/>
  <c r="BK90" i="35" s="1"/>
  <c r="BL90" i="35" s="1"/>
  <c r="BM90" i="35" s="1"/>
  <c r="BN90" i="35" s="1"/>
  <c r="BO90" i="35" s="1"/>
  <c r="BC90" i="35"/>
  <c r="AQ90" i="35"/>
  <c r="AR90" i="35" s="1"/>
  <c r="AS90" i="35" s="1"/>
  <c r="AT90" i="35" s="1"/>
  <c r="AU90" i="35" s="1"/>
  <c r="AV90" i="35" s="1"/>
  <c r="AW90" i="35" s="1"/>
  <c r="AX90" i="35" s="1"/>
  <c r="AY90" i="35" s="1"/>
  <c r="AZ90" i="35" s="1"/>
  <c r="BA90" i="35" s="1"/>
  <c r="BB90" i="35" s="1"/>
  <c r="AP90" i="35"/>
  <c r="AD90" i="35" s="1"/>
  <c r="AE90" i="35" s="1"/>
  <c r="AF90" i="35" s="1"/>
  <c r="AG90" i="35" s="1"/>
  <c r="AH90" i="35" s="1"/>
  <c r="AI90" i="35" s="1"/>
  <c r="AJ90" i="35" s="1"/>
  <c r="AK90" i="35" s="1"/>
  <c r="AL90" i="35" s="1"/>
  <c r="AM90" i="35" s="1"/>
  <c r="AN90" i="35" s="1"/>
  <c r="AO90" i="35" s="1"/>
  <c r="AC90" i="35"/>
  <c r="Q90" i="35"/>
  <c r="R90" i="35" s="1"/>
  <c r="S90" i="35" s="1"/>
  <c r="T90" i="35" s="1"/>
  <c r="U90" i="35" s="1"/>
  <c r="V90" i="35" s="1"/>
  <c r="W90" i="35" s="1"/>
  <c r="X90" i="35" s="1"/>
  <c r="Y90" i="35" s="1"/>
  <c r="Z90" i="35" s="1"/>
  <c r="AA90" i="35" s="1"/>
  <c r="AB90" i="35" s="1"/>
  <c r="P90" i="35"/>
  <c r="D90" i="35"/>
  <c r="E90" i="35" s="1"/>
  <c r="F90" i="35" s="1"/>
  <c r="G90" i="35" s="1"/>
  <c r="H90" i="35" s="1"/>
  <c r="I90" i="35" s="1"/>
  <c r="J90" i="35" s="1"/>
  <c r="K90" i="35" s="1"/>
  <c r="L90" i="35" s="1"/>
  <c r="M90" i="35" s="1"/>
  <c r="N90" i="35" s="1"/>
  <c r="O90" i="35" s="1"/>
  <c r="BP89" i="35"/>
  <c r="BD89" i="35" s="1"/>
  <c r="BE89" i="35" s="1"/>
  <c r="BF89" i="35" s="1"/>
  <c r="BG89" i="35" s="1"/>
  <c r="BH89" i="35" s="1"/>
  <c r="BI89" i="35" s="1"/>
  <c r="BJ89" i="35" s="1"/>
  <c r="BK89" i="35" s="1"/>
  <c r="BL89" i="35" s="1"/>
  <c r="BM89" i="35" s="1"/>
  <c r="BN89" i="35" s="1"/>
  <c r="BO89" i="35" s="1"/>
  <c r="BC89" i="35"/>
  <c r="AQ89" i="35" s="1"/>
  <c r="AR89" i="35" s="1"/>
  <c r="AS89" i="35" s="1"/>
  <c r="AT89" i="35" s="1"/>
  <c r="AU89" i="35" s="1"/>
  <c r="AV89" i="35" s="1"/>
  <c r="AW89" i="35" s="1"/>
  <c r="AX89" i="35" s="1"/>
  <c r="AY89" i="35" s="1"/>
  <c r="AZ89" i="35" s="1"/>
  <c r="BA89" i="35" s="1"/>
  <c r="BB89" i="35" s="1"/>
  <c r="AP89" i="35"/>
  <c r="AD89" i="35"/>
  <c r="AE89" i="35" s="1"/>
  <c r="AF89" i="35" s="1"/>
  <c r="AG89" i="35" s="1"/>
  <c r="AH89" i="35" s="1"/>
  <c r="AI89" i="35" s="1"/>
  <c r="AJ89" i="35" s="1"/>
  <c r="AK89" i="35" s="1"/>
  <c r="AL89" i="35" s="1"/>
  <c r="AM89" i="35" s="1"/>
  <c r="AN89" i="35" s="1"/>
  <c r="AO89" i="35" s="1"/>
  <c r="AC89" i="35"/>
  <c r="Q89" i="35" s="1"/>
  <c r="R89" i="35" s="1"/>
  <c r="S89" i="35" s="1"/>
  <c r="T89" i="35" s="1"/>
  <c r="U89" i="35" s="1"/>
  <c r="V89" i="35" s="1"/>
  <c r="W89" i="35" s="1"/>
  <c r="X89" i="35" s="1"/>
  <c r="Y89" i="35" s="1"/>
  <c r="Z89" i="35" s="1"/>
  <c r="AA89" i="35" s="1"/>
  <c r="AB89" i="35" s="1"/>
  <c r="P89" i="35"/>
  <c r="D89" i="35"/>
  <c r="E89" i="35" s="1"/>
  <c r="F89" i="35" s="1"/>
  <c r="G89" i="35" s="1"/>
  <c r="H89" i="35" s="1"/>
  <c r="I89" i="35" s="1"/>
  <c r="J89" i="35" s="1"/>
  <c r="K89" i="35" s="1"/>
  <c r="L89" i="35" s="1"/>
  <c r="M89" i="35" s="1"/>
  <c r="N89" i="35" s="1"/>
  <c r="O89" i="35" s="1"/>
  <c r="BP88" i="35"/>
  <c r="BD88" i="35" s="1"/>
  <c r="BE88" i="35" s="1"/>
  <c r="BF88" i="35" s="1"/>
  <c r="BG88" i="35" s="1"/>
  <c r="BH88" i="35" s="1"/>
  <c r="BI88" i="35" s="1"/>
  <c r="BJ88" i="35" s="1"/>
  <c r="BK88" i="35" s="1"/>
  <c r="BL88" i="35" s="1"/>
  <c r="BM88" i="35" s="1"/>
  <c r="BN88" i="35" s="1"/>
  <c r="BO88" i="35" s="1"/>
  <c r="BC88" i="35"/>
  <c r="AQ88" i="35" s="1"/>
  <c r="AR88" i="35" s="1"/>
  <c r="AS88" i="35" s="1"/>
  <c r="AT88" i="35" s="1"/>
  <c r="AU88" i="35" s="1"/>
  <c r="AV88" i="35" s="1"/>
  <c r="AW88" i="35" s="1"/>
  <c r="AX88" i="35" s="1"/>
  <c r="AY88" i="35" s="1"/>
  <c r="AZ88" i="35" s="1"/>
  <c r="BA88" i="35" s="1"/>
  <c r="BB88" i="35" s="1"/>
  <c r="AP88" i="35"/>
  <c r="AD88" i="35"/>
  <c r="AE88" i="35" s="1"/>
  <c r="AF88" i="35" s="1"/>
  <c r="AG88" i="35" s="1"/>
  <c r="AH88" i="35" s="1"/>
  <c r="AI88" i="35" s="1"/>
  <c r="AJ88" i="35" s="1"/>
  <c r="AK88" i="35" s="1"/>
  <c r="AL88" i="35" s="1"/>
  <c r="AM88" i="35" s="1"/>
  <c r="AN88" i="35" s="1"/>
  <c r="AO88" i="35" s="1"/>
  <c r="AC88" i="35"/>
  <c r="Q88" i="35" s="1"/>
  <c r="R88" i="35" s="1"/>
  <c r="S88" i="35" s="1"/>
  <c r="T88" i="35" s="1"/>
  <c r="U88" i="35" s="1"/>
  <c r="V88" i="35" s="1"/>
  <c r="W88" i="35" s="1"/>
  <c r="X88" i="35" s="1"/>
  <c r="Y88" i="35" s="1"/>
  <c r="Z88" i="35" s="1"/>
  <c r="AA88" i="35" s="1"/>
  <c r="AB88" i="35" s="1"/>
  <c r="P88" i="35"/>
  <c r="D88" i="35" s="1"/>
  <c r="E88" i="35" s="1"/>
  <c r="F88" i="35" s="1"/>
  <c r="G88" i="35" s="1"/>
  <c r="H88" i="35" s="1"/>
  <c r="I88" i="35" s="1"/>
  <c r="J88" i="35" s="1"/>
  <c r="K88" i="35" s="1"/>
  <c r="L88" i="35" s="1"/>
  <c r="M88" i="35" s="1"/>
  <c r="N88" i="35" s="1"/>
  <c r="O88" i="35" s="1"/>
  <c r="BP87" i="35"/>
  <c r="BD87" i="35" s="1"/>
  <c r="BE87" i="35" s="1"/>
  <c r="BF87" i="35" s="1"/>
  <c r="BG87" i="35" s="1"/>
  <c r="BH87" i="35" s="1"/>
  <c r="BI87" i="35" s="1"/>
  <c r="BJ87" i="35" s="1"/>
  <c r="BK87" i="35" s="1"/>
  <c r="BL87" i="35" s="1"/>
  <c r="BM87" i="35" s="1"/>
  <c r="BN87" i="35" s="1"/>
  <c r="BO87" i="35" s="1"/>
  <c r="BC87" i="35"/>
  <c r="AQ87" i="35" s="1"/>
  <c r="AR87" i="35" s="1"/>
  <c r="AS87" i="35" s="1"/>
  <c r="AT87" i="35" s="1"/>
  <c r="AU87" i="35" s="1"/>
  <c r="AV87" i="35" s="1"/>
  <c r="AW87" i="35" s="1"/>
  <c r="AX87" i="35" s="1"/>
  <c r="AY87" i="35" s="1"/>
  <c r="AZ87" i="35" s="1"/>
  <c r="BA87" i="35" s="1"/>
  <c r="BB87" i="35" s="1"/>
  <c r="AP87" i="35"/>
  <c r="AD87" i="35" s="1"/>
  <c r="AE87" i="35" s="1"/>
  <c r="AF87" i="35" s="1"/>
  <c r="AG87" i="35" s="1"/>
  <c r="AH87" i="35" s="1"/>
  <c r="AI87" i="35" s="1"/>
  <c r="AJ87" i="35" s="1"/>
  <c r="AK87" i="35" s="1"/>
  <c r="AL87" i="35" s="1"/>
  <c r="AM87" i="35" s="1"/>
  <c r="AN87" i="35" s="1"/>
  <c r="AO87" i="35" s="1"/>
  <c r="AC87" i="35"/>
  <c r="Q87" i="35" s="1"/>
  <c r="R87" i="35" s="1"/>
  <c r="S87" i="35" s="1"/>
  <c r="T87" i="35" s="1"/>
  <c r="U87" i="35" s="1"/>
  <c r="V87" i="35" s="1"/>
  <c r="W87" i="35" s="1"/>
  <c r="X87" i="35" s="1"/>
  <c r="Y87" i="35" s="1"/>
  <c r="Z87" i="35" s="1"/>
  <c r="AA87" i="35" s="1"/>
  <c r="AB87" i="35" s="1"/>
  <c r="P87" i="35"/>
  <c r="D87" i="35" s="1"/>
  <c r="E87" i="35" s="1"/>
  <c r="F87" i="35" s="1"/>
  <c r="G87" i="35" s="1"/>
  <c r="H87" i="35" s="1"/>
  <c r="I87" i="35" s="1"/>
  <c r="J87" i="35" s="1"/>
  <c r="K87" i="35" s="1"/>
  <c r="L87" i="35" s="1"/>
  <c r="M87" i="35" s="1"/>
  <c r="N87" i="35" s="1"/>
  <c r="O87" i="35" s="1"/>
  <c r="BP86" i="35"/>
  <c r="BD86" i="35" s="1"/>
  <c r="BE86" i="35" s="1"/>
  <c r="BF86" i="35" s="1"/>
  <c r="BG86" i="35" s="1"/>
  <c r="BH86" i="35" s="1"/>
  <c r="BI86" i="35" s="1"/>
  <c r="BJ86" i="35" s="1"/>
  <c r="BK86" i="35" s="1"/>
  <c r="BL86" i="35" s="1"/>
  <c r="BM86" i="35" s="1"/>
  <c r="BN86" i="35" s="1"/>
  <c r="BO86" i="35" s="1"/>
  <c r="BC86" i="35"/>
  <c r="AQ86" i="35" s="1"/>
  <c r="AR86" i="35" s="1"/>
  <c r="AS86" i="35" s="1"/>
  <c r="AT86" i="35" s="1"/>
  <c r="AU86" i="35" s="1"/>
  <c r="AV86" i="35" s="1"/>
  <c r="AW86" i="35" s="1"/>
  <c r="AX86" i="35" s="1"/>
  <c r="AY86" i="35" s="1"/>
  <c r="AZ86" i="35" s="1"/>
  <c r="BA86" i="35" s="1"/>
  <c r="BB86" i="35" s="1"/>
  <c r="AP86" i="35"/>
  <c r="AD86" i="35" s="1"/>
  <c r="AE86" i="35" s="1"/>
  <c r="AF86" i="35" s="1"/>
  <c r="AG86" i="35" s="1"/>
  <c r="AH86" i="35" s="1"/>
  <c r="AI86" i="35" s="1"/>
  <c r="AJ86" i="35" s="1"/>
  <c r="AK86" i="35" s="1"/>
  <c r="AL86" i="35" s="1"/>
  <c r="AM86" i="35" s="1"/>
  <c r="AN86" i="35" s="1"/>
  <c r="AO86" i="35" s="1"/>
  <c r="AC86" i="35"/>
  <c r="Q86" i="35" s="1"/>
  <c r="R86" i="35" s="1"/>
  <c r="S86" i="35" s="1"/>
  <c r="T86" i="35" s="1"/>
  <c r="U86" i="35" s="1"/>
  <c r="V86" i="35" s="1"/>
  <c r="W86" i="35" s="1"/>
  <c r="X86" i="35" s="1"/>
  <c r="Y86" i="35" s="1"/>
  <c r="Z86" i="35" s="1"/>
  <c r="AA86" i="35" s="1"/>
  <c r="AB86" i="35" s="1"/>
  <c r="P86" i="35"/>
  <c r="D86" i="35" s="1"/>
  <c r="E86" i="35" s="1"/>
  <c r="F86" i="35" s="1"/>
  <c r="G86" i="35" s="1"/>
  <c r="H86" i="35" s="1"/>
  <c r="I86" i="35" s="1"/>
  <c r="J86" i="35" s="1"/>
  <c r="K86" i="35" s="1"/>
  <c r="L86" i="35" s="1"/>
  <c r="M86" i="35" s="1"/>
  <c r="N86" i="35" s="1"/>
  <c r="O86" i="35" s="1"/>
  <c r="BP85" i="35"/>
  <c r="BD85" i="35" s="1"/>
  <c r="BE85" i="35" s="1"/>
  <c r="BF85" i="35" s="1"/>
  <c r="BG85" i="35" s="1"/>
  <c r="BH85" i="35" s="1"/>
  <c r="BI85" i="35" s="1"/>
  <c r="BJ85" i="35" s="1"/>
  <c r="BK85" i="35" s="1"/>
  <c r="BL85" i="35" s="1"/>
  <c r="BM85" i="35" s="1"/>
  <c r="BN85" i="35" s="1"/>
  <c r="BO85" i="35" s="1"/>
  <c r="BC85" i="35"/>
  <c r="AQ85" i="35"/>
  <c r="AR85" i="35" s="1"/>
  <c r="AS85" i="35" s="1"/>
  <c r="AT85" i="35" s="1"/>
  <c r="AU85" i="35" s="1"/>
  <c r="AV85" i="35" s="1"/>
  <c r="AW85" i="35" s="1"/>
  <c r="AX85" i="35" s="1"/>
  <c r="AY85" i="35" s="1"/>
  <c r="AZ85" i="35" s="1"/>
  <c r="BA85" i="35" s="1"/>
  <c r="BB85" i="35" s="1"/>
  <c r="AP85" i="35"/>
  <c r="AD85" i="35" s="1"/>
  <c r="AC85" i="35"/>
  <c r="Q85" i="35"/>
  <c r="R85" i="35" s="1"/>
  <c r="S85" i="35" s="1"/>
  <c r="T85" i="35" s="1"/>
  <c r="U85" i="35" s="1"/>
  <c r="V85" i="35" s="1"/>
  <c r="W85" i="35" s="1"/>
  <c r="X85" i="35" s="1"/>
  <c r="Y85" i="35" s="1"/>
  <c r="Z85" i="35" s="1"/>
  <c r="AA85" i="35" s="1"/>
  <c r="AB85" i="35" s="1"/>
  <c r="P85" i="35"/>
  <c r="D85" i="35"/>
  <c r="E85" i="35" s="1"/>
  <c r="F85" i="35" s="1"/>
  <c r="G85" i="35" s="1"/>
  <c r="H85" i="35" s="1"/>
  <c r="I85" i="35" s="1"/>
  <c r="J85" i="35" s="1"/>
  <c r="K85" i="35" s="1"/>
  <c r="L85" i="35" s="1"/>
  <c r="M85" i="35" s="1"/>
  <c r="N85" i="35" s="1"/>
  <c r="O85" i="35" s="1"/>
  <c r="BP84" i="35"/>
  <c r="BD84" i="35" s="1"/>
  <c r="BE84" i="35" s="1"/>
  <c r="BF84" i="35" s="1"/>
  <c r="BG84" i="35" s="1"/>
  <c r="BH84" i="35" s="1"/>
  <c r="BI84" i="35" s="1"/>
  <c r="BJ84" i="35" s="1"/>
  <c r="BK84" i="35" s="1"/>
  <c r="BL84" i="35" s="1"/>
  <c r="BM84" i="35" s="1"/>
  <c r="BN84" i="35" s="1"/>
  <c r="BO84" i="35" s="1"/>
  <c r="BC84" i="35"/>
  <c r="AQ84" i="35"/>
  <c r="AR84" i="35" s="1"/>
  <c r="AS84" i="35" s="1"/>
  <c r="AT84" i="35" s="1"/>
  <c r="AU84" i="35" s="1"/>
  <c r="AV84" i="35" s="1"/>
  <c r="AW84" i="35" s="1"/>
  <c r="AX84" i="35" s="1"/>
  <c r="AY84" i="35" s="1"/>
  <c r="AZ84" i="35" s="1"/>
  <c r="BA84" i="35" s="1"/>
  <c r="BB84" i="35" s="1"/>
  <c r="AP84" i="35"/>
  <c r="AD84" i="35" s="1"/>
  <c r="AE84" i="35" s="1"/>
  <c r="AF84" i="35" s="1"/>
  <c r="AG84" i="35" s="1"/>
  <c r="AH84" i="35" s="1"/>
  <c r="AI84" i="35" s="1"/>
  <c r="AJ84" i="35" s="1"/>
  <c r="AK84" i="35" s="1"/>
  <c r="AL84" i="35" s="1"/>
  <c r="AM84" i="35" s="1"/>
  <c r="AN84" i="35" s="1"/>
  <c r="AO84" i="35" s="1"/>
  <c r="AC84" i="35"/>
  <c r="Q84" i="35" s="1"/>
  <c r="R84" i="35" s="1"/>
  <c r="S84" i="35" s="1"/>
  <c r="T84" i="35" s="1"/>
  <c r="U84" i="35" s="1"/>
  <c r="V84" i="35" s="1"/>
  <c r="W84" i="35" s="1"/>
  <c r="X84" i="35" s="1"/>
  <c r="Y84" i="35" s="1"/>
  <c r="Z84" i="35" s="1"/>
  <c r="AA84" i="35" s="1"/>
  <c r="AB84" i="35" s="1"/>
  <c r="P84" i="35"/>
  <c r="D84" i="35" s="1"/>
  <c r="E84" i="35" s="1"/>
  <c r="F84" i="35" s="1"/>
  <c r="G84" i="35" s="1"/>
  <c r="H84" i="35" s="1"/>
  <c r="I84" i="35" s="1"/>
  <c r="J84" i="35" s="1"/>
  <c r="K84" i="35" s="1"/>
  <c r="L84" i="35" s="1"/>
  <c r="M84" i="35" s="1"/>
  <c r="N84" i="35" s="1"/>
  <c r="O84" i="35" s="1"/>
  <c r="BP83" i="35"/>
  <c r="BD83" i="35" s="1"/>
  <c r="BE83" i="35" s="1"/>
  <c r="BF83" i="35" s="1"/>
  <c r="BG83" i="35" s="1"/>
  <c r="BH83" i="35" s="1"/>
  <c r="BI83" i="35" s="1"/>
  <c r="BJ83" i="35" s="1"/>
  <c r="BK83" i="35" s="1"/>
  <c r="BL83" i="35" s="1"/>
  <c r="BM83" i="35" s="1"/>
  <c r="BN83" i="35" s="1"/>
  <c r="BO83" i="35" s="1"/>
  <c r="BC83" i="35"/>
  <c r="AQ83" i="35"/>
  <c r="AR83" i="35" s="1"/>
  <c r="AS83" i="35" s="1"/>
  <c r="AT83" i="35" s="1"/>
  <c r="AU83" i="35" s="1"/>
  <c r="AV83" i="35" s="1"/>
  <c r="AW83" i="35" s="1"/>
  <c r="AX83" i="35" s="1"/>
  <c r="AY83" i="35" s="1"/>
  <c r="AZ83" i="35" s="1"/>
  <c r="BA83" i="35" s="1"/>
  <c r="BB83" i="35" s="1"/>
  <c r="AP83" i="35"/>
  <c r="AD83" i="35"/>
  <c r="AE83" i="35" s="1"/>
  <c r="AF83" i="35" s="1"/>
  <c r="AG83" i="35" s="1"/>
  <c r="AH83" i="35" s="1"/>
  <c r="AI83" i="35" s="1"/>
  <c r="AJ83" i="35" s="1"/>
  <c r="AK83" i="35" s="1"/>
  <c r="AL83" i="35" s="1"/>
  <c r="AM83" i="35" s="1"/>
  <c r="AN83" i="35" s="1"/>
  <c r="AO83" i="35" s="1"/>
  <c r="AC83" i="35"/>
  <c r="Q83" i="35" s="1"/>
  <c r="R83" i="35" s="1"/>
  <c r="S83" i="35" s="1"/>
  <c r="T83" i="35" s="1"/>
  <c r="U83" i="35" s="1"/>
  <c r="V83" i="35" s="1"/>
  <c r="W83" i="35" s="1"/>
  <c r="X83" i="35" s="1"/>
  <c r="Y83" i="35" s="1"/>
  <c r="Z83" i="35" s="1"/>
  <c r="AA83" i="35" s="1"/>
  <c r="AB83" i="35" s="1"/>
  <c r="P83" i="35"/>
  <c r="D83" i="35" s="1"/>
  <c r="E83" i="35" s="1"/>
  <c r="F83" i="35" s="1"/>
  <c r="G83" i="35" s="1"/>
  <c r="H83" i="35" s="1"/>
  <c r="I83" i="35" s="1"/>
  <c r="J83" i="35" s="1"/>
  <c r="K83" i="35" s="1"/>
  <c r="L83" i="35" s="1"/>
  <c r="M83" i="35" s="1"/>
  <c r="N83" i="35" s="1"/>
  <c r="O83" i="35" s="1"/>
  <c r="BP82" i="35"/>
  <c r="BD82" i="35" s="1"/>
  <c r="BE82" i="35" s="1"/>
  <c r="BF82" i="35" s="1"/>
  <c r="BG82" i="35" s="1"/>
  <c r="BH82" i="35" s="1"/>
  <c r="BI82" i="35" s="1"/>
  <c r="BJ82" i="35" s="1"/>
  <c r="BK82" i="35" s="1"/>
  <c r="BL82" i="35" s="1"/>
  <c r="BM82" i="35" s="1"/>
  <c r="BN82" i="35" s="1"/>
  <c r="BO82" i="35" s="1"/>
  <c r="BC82" i="35"/>
  <c r="AQ82" i="35" s="1"/>
  <c r="AR82" i="35" s="1"/>
  <c r="AS82" i="35" s="1"/>
  <c r="AT82" i="35" s="1"/>
  <c r="AU82" i="35" s="1"/>
  <c r="AV82" i="35" s="1"/>
  <c r="AW82" i="35" s="1"/>
  <c r="AX82" i="35" s="1"/>
  <c r="AY82" i="35" s="1"/>
  <c r="AZ82" i="35" s="1"/>
  <c r="BA82" i="35" s="1"/>
  <c r="BB82" i="35" s="1"/>
  <c r="AP82" i="35"/>
  <c r="AD82" i="35" s="1"/>
  <c r="AE82" i="35" s="1"/>
  <c r="AF82" i="35" s="1"/>
  <c r="AG82" i="35" s="1"/>
  <c r="AH82" i="35" s="1"/>
  <c r="AI82" i="35" s="1"/>
  <c r="AJ82" i="35" s="1"/>
  <c r="AK82" i="35" s="1"/>
  <c r="AL82" i="35" s="1"/>
  <c r="AM82" i="35" s="1"/>
  <c r="AN82" i="35" s="1"/>
  <c r="AO82" i="35" s="1"/>
  <c r="AC82" i="35"/>
  <c r="Q82" i="35" s="1"/>
  <c r="R82" i="35" s="1"/>
  <c r="S82" i="35" s="1"/>
  <c r="T82" i="35" s="1"/>
  <c r="U82" i="35" s="1"/>
  <c r="V82" i="35" s="1"/>
  <c r="W82" i="35" s="1"/>
  <c r="X82" i="35" s="1"/>
  <c r="Y82" i="35" s="1"/>
  <c r="Z82" i="35" s="1"/>
  <c r="AA82" i="35" s="1"/>
  <c r="AB82" i="35" s="1"/>
  <c r="P82" i="35"/>
  <c r="D82" i="35"/>
  <c r="E82" i="35" s="1"/>
  <c r="F82" i="35" s="1"/>
  <c r="G82" i="35" s="1"/>
  <c r="H82" i="35" s="1"/>
  <c r="I82" i="35" s="1"/>
  <c r="J82" i="35" s="1"/>
  <c r="K82" i="35" s="1"/>
  <c r="L82" i="35" s="1"/>
  <c r="M82" i="35" s="1"/>
  <c r="N82" i="35" s="1"/>
  <c r="O82" i="35" s="1"/>
  <c r="BP81" i="35"/>
  <c r="BD81" i="35" s="1"/>
  <c r="BE81" i="35" s="1"/>
  <c r="BF81" i="35" s="1"/>
  <c r="BG81" i="35" s="1"/>
  <c r="BH81" i="35" s="1"/>
  <c r="BI81" i="35" s="1"/>
  <c r="BJ81" i="35" s="1"/>
  <c r="BK81" i="35" s="1"/>
  <c r="BL81" i="35" s="1"/>
  <c r="BM81" i="35" s="1"/>
  <c r="BN81" i="35" s="1"/>
  <c r="BO81" i="35" s="1"/>
  <c r="BC81" i="35"/>
  <c r="AQ81" i="35"/>
  <c r="AR81" i="35" s="1"/>
  <c r="AS81" i="35" s="1"/>
  <c r="AT81" i="35" s="1"/>
  <c r="AU81" i="35" s="1"/>
  <c r="AV81" i="35" s="1"/>
  <c r="AW81" i="35" s="1"/>
  <c r="AX81" i="35" s="1"/>
  <c r="AY81" i="35" s="1"/>
  <c r="AZ81" i="35" s="1"/>
  <c r="BA81" i="35" s="1"/>
  <c r="BB81" i="35" s="1"/>
  <c r="AP81" i="35"/>
  <c r="AD81" i="35"/>
  <c r="AE81" i="35" s="1"/>
  <c r="AF81" i="35" s="1"/>
  <c r="AG81" i="35" s="1"/>
  <c r="AH81" i="35" s="1"/>
  <c r="AI81" i="35" s="1"/>
  <c r="AJ81" i="35" s="1"/>
  <c r="AK81" i="35" s="1"/>
  <c r="AL81" i="35" s="1"/>
  <c r="AM81" i="35" s="1"/>
  <c r="AN81" i="35" s="1"/>
  <c r="AO81" i="35" s="1"/>
  <c r="AC81" i="35"/>
  <c r="Q81" i="35" s="1"/>
  <c r="R81" i="35" s="1"/>
  <c r="S81" i="35" s="1"/>
  <c r="T81" i="35" s="1"/>
  <c r="U81" i="35" s="1"/>
  <c r="V81" i="35" s="1"/>
  <c r="W81" i="35" s="1"/>
  <c r="X81" i="35" s="1"/>
  <c r="Y81" i="35" s="1"/>
  <c r="Z81" i="35" s="1"/>
  <c r="AA81" i="35" s="1"/>
  <c r="AB81" i="35" s="1"/>
  <c r="P81" i="35"/>
  <c r="D81" i="35" s="1"/>
  <c r="E81" i="35" s="1"/>
  <c r="F81" i="35" s="1"/>
  <c r="G81" i="35" s="1"/>
  <c r="H81" i="35" s="1"/>
  <c r="I81" i="35" s="1"/>
  <c r="J81" i="35" s="1"/>
  <c r="K81" i="35" s="1"/>
  <c r="L81" i="35" s="1"/>
  <c r="M81" i="35" s="1"/>
  <c r="N81" i="35" s="1"/>
  <c r="O81" i="35" s="1"/>
  <c r="BP80" i="35"/>
  <c r="BD80" i="35" s="1"/>
  <c r="BE80" i="35" s="1"/>
  <c r="BF80" i="35" s="1"/>
  <c r="BG80" i="35" s="1"/>
  <c r="BH80" i="35" s="1"/>
  <c r="BI80" i="35" s="1"/>
  <c r="BJ80" i="35" s="1"/>
  <c r="BK80" i="35" s="1"/>
  <c r="BL80" i="35" s="1"/>
  <c r="BM80" i="35" s="1"/>
  <c r="BN80" i="35" s="1"/>
  <c r="BO80" i="35" s="1"/>
  <c r="BC80" i="35"/>
  <c r="AQ80" i="35" s="1"/>
  <c r="AR80" i="35" s="1"/>
  <c r="AS80" i="35" s="1"/>
  <c r="AT80" i="35" s="1"/>
  <c r="AU80" i="35" s="1"/>
  <c r="AV80" i="35" s="1"/>
  <c r="AW80" i="35" s="1"/>
  <c r="AX80" i="35" s="1"/>
  <c r="AY80" i="35" s="1"/>
  <c r="AZ80" i="35" s="1"/>
  <c r="BA80" i="35" s="1"/>
  <c r="BB80" i="35" s="1"/>
  <c r="AP80" i="35"/>
  <c r="AD80" i="35"/>
  <c r="AE80" i="35" s="1"/>
  <c r="AF80" i="35" s="1"/>
  <c r="AG80" i="35" s="1"/>
  <c r="AH80" i="35" s="1"/>
  <c r="AI80" i="35" s="1"/>
  <c r="AJ80" i="35" s="1"/>
  <c r="AK80" i="35" s="1"/>
  <c r="AL80" i="35" s="1"/>
  <c r="AM80" i="35" s="1"/>
  <c r="AN80" i="35" s="1"/>
  <c r="AO80" i="35" s="1"/>
  <c r="AC80" i="35"/>
  <c r="Q80" i="35"/>
  <c r="R80" i="35" s="1"/>
  <c r="S80" i="35" s="1"/>
  <c r="T80" i="35" s="1"/>
  <c r="U80" i="35" s="1"/>
  <c r="V80" i="35" s="1"/>
  <c r="W80" i="35" s="1"/>
  <c r="X80" i="35" s="1"/>
  <c r="Y80" i="35" s="1"/>
  <c r="Z80" i="35" s="1"/>
  <c r="AA80" i="35" s="1"/>
  <c r="AB80" i="35" s="1"/>
  <c r="P80" i="35"/>
  <c r="D80" i="35" s="1"/>
  <c r="BP79" i="35"/>
  <c r="BD79" i="35"/>
  <c r="BE79" i="35" s="1"/>
  <c r="BF79" i="35" s="1"/>
  <c r="BG79" i="35" s="1"/>
  <c r="BH79" i="35" s="1"/>
  <c r="BI79" i="35" s="1"/>
  <c r="BJ79" i="35" s="1"/>
  <c r="BK79" i="35" s="1"/>
  <c r="BL79" i="35" s="1"/>
  <c r="BM79" i="35" s="1"/>
  <c r="BN79" i="35" s="1"/>
  <c r="BO79" i="35" s="1"/>
  <c r="BC79" i="35"/>
  <c r="AQ79" i="35"/>
  <c r="AR79" i="35" s="1"/>
  <c r="AS79" i="35" s="1"/>
  <c r="AT79" i="35" s="1"/>
  <c r="AU79" i="35" s="1"/>
  <c r="AV79" i="35" s="1"/>
  <c r="AW79" i="35" s="1"/>
  <c r="AX79" i="35" s="1"/>
  <c r="AY79" i="35" s="1"/>
  <c r="AZ79" i="35" s="1"/>
  <c r="BA79" i="35" s="1"/>
  <c r="BB79" i="35" s="1"/>
  <c r="AP79" i="35"/>
  <c r="AD79" i="35" s="1"/>
  <c r="AE79" i="35" s="1"/>
  <c r="AF79" i="35" s="1"/>
  <c r="AG79" i="35" s="1"/>
  <c r="AH79" i="35" s="1"/>
  <c r="AI79" i="35" s="1"/>
  <c r="AJ79" i="35" s="1"/>
  <c r="AK79" i="35" s="1"/>
  <c r="AL79" i="35" s="1"/>
  <c r="AM79" i="35" s="1"/>
  <c r="AN79" i="35" s="1"/>
  <c r="AO79" i="35" s="1"/>
  <c r="AC79" i="35"/>
  <c r="Q79" i="35" s="1"/>
  <c r="R79" i="35" s="1"/>
  <c r="S79" i="35" s="1"/>
  <c r="T79" i="35" s="1"/>
  <c r="U79" i="35" s="1"/>
  <c r="V79" i="35" s="1"/>
  <c r="W79" i="35" s="1"/>
  <c r="X79" i="35" s="1"/>
  <c r="Y79" i="35" s="1"/>
  <c r="Z79" i="35" s="1"/>
  <c r="AA79" i="35" s="1"/>
  <c r="AB79" i="35" s="1"/>
  <c r="P79" i="35"/>
  <c r="D79" i="35" s="1"/>
  <c r="E79" i="35" s="1"/>
  <c r="F79" i="35" s="1"/>
  <c r="G79" i="35" s="1"/>
  <c r="H79" i="35" s="1"/>
  <c r="I79" i="35" s="1"/>
  <c r="J79" i="35" s="1"/>
  <c r="K79" i="35" s="1"/>
  <c r="L79" i="35" s="1"/>
  <c r="M79" i="35" s="1"/>
  <c r="N79" i="35" s="1"/>
  <c r="O79" i="35" s="1"/>
  <c r="BP78" i="35"/>
  <c r="BD78" i="35" s="1"/>
  <c r="BC78" i="35"/>
  <c r="AQ78" i="35" s="1"/>
  <c r="AP78" i="35"/>
  <c r="AD78" i="35"/>
  <c r="AE78" i="35" s="1"/>
  <c r="AF78" i="35" s="1"/>
  <c r="AG78" i="35" s="1"/>
  <c r="AH78" i="35" s="1"/>
  <c r="AI78" i="35" s="1"/>
  <c r="AJ78" i="35" s="1"/>
  <c r="AK78" i="35" s="1"/>
  <c r="AL78" i="35" s="1"/>
  <c r="AM78" i="35" s="1"/>
  <c r="AN78" i="35" s="1"/>
  <c r="AO78" i="35" s="1"/>
  <c r="AC78" i="35"/>
  <c r="Q78" i="35" s="1"/>
  <c r="R78" i="35" s="1"/>
  <c r="S78" i="35" s="1"/>
  <c r="T78" i="35" s="1"/>
  <c r="U78" i="35" s="1"/>
  <c r="V78" i="35" s="1"/>
  <c r="W78" i="35" s="1"/>
  <c r="X78" i="35" s="1"/>
  <c r="Y78" i="35" s="1"/>
  <c r="Z78" i="35" s="1"/>
  <c r="AA78" i="35" s="1"/>
  <c r="AB78" i="35" s="1"/>
  <c r="P78" i="35"/>
  <c r="D78" i="35"/>
  <c r="E78" i="35" s="1"/>
  <c r="F78" i="35" s="1"/>
  <c r="G78" i="35" s="1"/>
  <c r="H78" i="35" s="1"/>
  <c r="I78" i="35" s="1"/>
  <c r="J78" i="35" s="1"/>
  <c r="K78" i="35" s="1"/>
  <c r="L78" i="35" s="1"/>
  <c r="M78" i="35" s="1"/>
  <c r="N78" i="35" s="1"/>
  <c r="O78" i="35" s="1"/>
  <c r="BP77" i="35"/>
  <c r="BD77" i="35"/>
  <c r="BE77" i="35" s="1"/>
  <c r="BF77" i="35" s="1"/>
  <c r="BG77" i="35" s="1"/>
  <c r="BH77" i="35" s="1"/>
  <c r="BI77" i="35" s="1"/>
  <c r="BJ77" i="35" s="1"/>
  <c r="BK77" i="35" s="1"/>
  <c r="BL77" i="35" s="1"/>
  <c r="BM77" i="35" s="1"/>
  <c r="BN77" i="35" s="1"/>
  <c r="BO77" i="35" s="1"/>
  <c r="BC77" i="35"/>
  <c r="AQ77" i="35"/>
  <c r="AR77" i="35" s="1"/>
  <c r="AS77" i="35" s="1"/>
  <c r="AT77" i="35" s="1"/>
  <c r="AU77" i="35" s="1"/>
  <c r="AV77" i="35" s="1"/>
  <c r="AW77" i="35" s="1"/>
  <c r="AX77" i="35" s="1"/>
  <c r="AY77" i="35" s="1"/>
  <c r="AZ77" i="35" s="1"/>
  <c r="BA77" i="35" s="1"/>
  <c r="BB77" i="35" s="1"/>
  <c r="AP77" i="35"/>
  <c r="AD77" i="35"/>
  <c r="AE77" i="35" s="1"/>
  <c r="AF77" i="35" s="1"/>
  <c r="AG77" i="35" s="1"/>
  <c r="AH77" i="35" s="1"/>
  <c r="AI77" i="35" s="1"/>
  <c r="AJ77" i="35" s="1"/>
  <c r="AK77" i="35" s="1"/>
  <c r="AL77" i="35" s="1"/>
  <c r="AM77" i="35" s="1"/>
  <c r="AN77" i="35" s="1"/>
  <c r="AO77" i="35" s="1"/>
  <c r="AC77" i="35"/>
  <c r="Q77" i="35" s="1"/>
  <c r="R77" i="35" s="1"/>
  <c r="S77" i="35" s="1"/>
  <c r="T77" i="35" s="1"/>
  <c r="U77" i="35" s="1"/>
  <c r="V77" i="35" s="1"/>
  <c r="W77" i="35" s="1"/>
  <c r="X77" i="35" s="1"/>
  <c r="Y77" i="35" s="1"/>
  <c r="Z77" i="35" s="1"/>
  <c r="AA77" i="35" s="1"/>
  <c r="AB77" i="35" s="1"/>
  <c r="P77" i="35"/>
  <c r="D77" i="35" s="1"/>
  <c r="E77" i="35" s="1"/>
  <c r="F77" i="35" s="1"/>
  <c r="G77" i="35" s="1"/>
  <c r="H77" i="35" s="1"/>
  <c r="I77" i="35" s="1"/>
  <c r="J77" i="35" s="1"/>
  <c r="K77" i="35" s="1"/>
  <c r="L77" i="35" s="1"/>
  <c r="M77" i="35" s="1"/>
  <c r="N77" i="35" s="1"/>
  <c r="O77" i="35" s="1"/>
  <c r="BP76" i="35"/>
  <c r="BD76" i="35"/>
  <c r="BE76" i="35" s="1"/>
  <c r="BC76" i="35"/>
  <c r="AQ76" i="35" s="1"/>
  <c r="AR76" i="35" s="1"/>
  <c r="AP76" i="35"/>
  <c r="AD76" i="35" s="1"/>
  <c r="AE76" i="35" s="1"/>
  <c r="AC76" i="35"/>
  <c r="Q76" i="35"/>
  <c r="R76" i="35" s="1"/>
  <c r="P76" i="35"/>
  <c r="D76" i="35" s="1"/>
  <c r="E76" i="35" s="1"/>
  <c r="BD72" i="35"/>
  <c r="AQ72" i="35"/>
  <c r="AD72" i="35"/>
  <c r="Q72" i="35"/>
  <c r="D72" i="35"/>
  <c r="BD71" i="35"/>
  <c r="AQ71" i="35"/>
  <c r="AD71" i="35"/>
  <c r="Q71" i="35"/>
  <c r="D71" i="35"/>
  <c r="BD70" i="35"/>
  <c r="AQ70" i="35"/>
  <c r="AD70" i="35"/>
  <c r="Q70" i="35"/>
  <c r="D70" i="35"/>
  <c r="BP68" i="35"/>
  <c r="BD68" i="35" s="1"/>
  <c r="BC68" i="35"/>
  <c r="AQ68" i="35" s="1"/>
  <c r="AP68" i="35"/>
  <c r="AD68" i="35" s="1"/>
  <c r="AC68" i="35"/>
  <c r="Q68" i="35" s="1"/>
  <c r="P68" i="35"/>
  <c r="D68" i="35" s="1"/>
  <c r="BO61" i="35"/>
  <c r="BO73" i="35" s="1"/>
  <c r="BN61" i="35"/>
  <c r="BN73" i="35" s="1"/>
  <c r="BM61" i="35"/>
  <c r="BM73" i="35" s="1"/>
  <c r="BL61" i="35"/>
  <c r="BL73" i="35" s="1"/>
  <c r="BK61" i="35"/>
  <c r="BK73" i="35" s="1"/>
  <c r="BJ61" i="35"/>
  <c r="BJ73" i="35" s="1"/>
  <c r="BI61" i="35"/>
  <c r="BI73" i="35" s="1"/>
  <c r="BH61" i="35"/>
  <c r="BH73" i="35" s="1"/>
  <c r="BG61" i="35"/>
  <c r="BG73" i="35" s="1"/>
  <c r="BF61" i="35"/>
  <c r="BF73" i="35" s="1"/>
  <c r="BE61" i="35"/>
  <c r="BE73" i="35" s="1"/>
  <c r="BB61" i="35"/>
  <c r="BB73" i="35" s="1"/>
  <c r="BA61" i="35"/>
  <c r="BA73" i="35" s="1"/>
  <c r="AZ61" i="35"/>
  <c r="AZ73" i="35" s="1"/>
  <c r="AY61" i="35"/>
  <c r="AY73" i="35" s="1"/>
  <c r="AX61" i="35"/>
  <c r="AX73" i="35" s="1"/>
  <c r="AW61" i="35"/>
  <c r="AW73" i="35" s="1"/>
  <c r="AV61" i="35"/>
  <c r="AV73" i="35" s="1"/>
  <c r="AU61" i="35"/>
  <c r="AU73" i="35" s="1"/>
  <c r="AT61" i="35"/>
  <c r="AT73" i="35" s="1"/>
  <c r="AS61" i="35"/>
  <c r="AS73" i="35" s="1"/>
  <c r="AR61" i="35"/>
  <c r="AR73" i="35" s="1"/>
  <c r="AO61" i="35"/>
  <c r="AO73" i="35" s="1"/>
  <c r="AN61" i="35"/>
  <c r="AN73" i="35" s="1"/>
  <c r="AM61" i="35"/>
  <c r="AM73" i="35" s="1"/>
  <c r="AL61" i="35"/>
  <c r="AL73" i="35" s="1"/>
  <c r="AK61" i="35"/>
  <c r="AK73" i="35" s="1"/>
  <c r="AJ61" i="35"/>
  <c r="AJ73" i="35" s="1"/>
  <c r="AI61" i="35"/>
  <c r="AI73" i="35" s="1"/>
  <c r="AH61" i="35"/>
  <c r="AH73" i="35" s="1"/>
  <c r="AG61" i="35"/>
  <c r="AG73" i="35" s="1"/>
  <c r="AF61" i="35"/>
  <c r="AF73" i="35" s="1"/>
  <c r="AE61" i="35"/>
  <c r="AE73" i="35" s="1"/>
  <c r="AB61" i="35"/>
  <c r="AB73" i="35" s="1"/>
  <c r="AA61" i="35"/>
  <c r="AA73" i="35" s="1"/>
  <c r="Z61" i="35"/>
  <c r="Z73" i="35" s="1"/>
  <c r="Y61" i="35"/>
  <c r="Y73" i="35" s="1"/>
  <c r="X61" i="35"/>
  <c r="X73" i="35" s="1"/>
  <c r="W61" i="35"/>
  <c r="W73" i="35" s="1"/>
  <c r="V61" i="35"/>
  <c r="V73" i="35" s="1"/>
  <c r="U61" i="35"/>
  <c r="U73" i="35" s="1"/>
  <c r="T61" i="35"/>
  <c r="T73" i="35" s="1"/>
  <c r="S61" i="35"/>
  <c r="S73" i="35" s="1"/>
  <c r="R61" i="35"/>
  <c r="R73" i="35" s="1"/>
  <c r="O61" i="35"/>
  <c r="O73" i="35" s="1"/>
  <c r="N61" i="35"/>
  <c r="N73" i="35" s="1"/>
  <c r="M61" i="35"/>
  <c r="M73" i="35" s="1"/>
  <c r="L61" i="35"/>
  <c r="L73" i="35" s="1"/>
  <c r="K61" i="35"/>
  <c r="K73" i="35" s="1"/>
  <c r="J61" i="35"/>
  <c r="J73" i="35" s="1"/>
  <c r="I61" i="35"/>
  <c r="I73" i="35" s="1"/>
  <c r="H61" i="35"/>
  <c r="H73" i="35" s="1"/>
  <c r="G61" i="35"/>
  <c r="G73" i="35" s="1"/>
  <c r="F61" i="35"/>
  <c r="F73" i="35" s="1"/>
  <c r="E61" i="35"/>
  <c r="E73" i="35" s="1"/>
  <c r="BO58" i="35"/>
  <c r="BN58" i="35"/>
  <c r="BM58" i="35"/>
  <c r="BL58" i="35"/>
  <c r="BK58" i="35"/>
  <c r="BJ58" i="35"/>
  <c r="BI58" i="35"/>
  <c r="BH58" i="35"/>
  <c r="BG58" i="35"/>
  <c r="BF58" i="35"/>
  <c r="BE58" i="35"/>
  <c r="BD58" i="35"/>
  <c r="BB58" i="35"/>
  <c r="BA58" i="35"/>
  <c r="AZ58" i="35"/>
  <c r="AY58" i="35"/>
  <c r="AX58" i="35"/>
  <c r="AW58" i="35"/>
  <c r="AV58" i="35"/>
  <c r="AU58" i="35"/>
  <c r="AT58" i="35"/>
  <c r="AS58" i="35"/>
  <c r="AR58" i="35"/>
  <c r="AQ58" i="35"/>
  <c r="AO58" i="35"/>
  <c r="AN58" i="35"/>
  <c r="AM58" i="35"/>
  <c r="AL58" i="35"/>
  <c r="AK58" i="35"/>
  <c r="AJ58" i="35"/>
  <c r="AI58" i="35"/>
  <c r="AH58" i="35"/>
  <c r="AG58" i="35"/>
  <c r="AF58" i="35"/>
  <c r="AE58" i="35"/>
  <c r="AD58" i="35"/>
  <c r="AB58" i="35"/>
  <c r="AA58" i="35"/>
  <c r="Z58" i="35"/>
  <c r="Y58" i="35"/>
  <c r="X58" i="35"/>
  <c r="W58" i="35"/>
  <c r="V58" i="35"/>
  <c r="U58" i="35"/>
  <c r="T58" i="35"/>
  <c r="S58" i="35"/>
  <c r="R58" i="35"/>
  <c r="Q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BO57" i="35"/>
  <c r="BN57" i="35"/>
  <c r="BM57" i="35"/>
  <c r="BL57" i="35"/>
  <c r="BK57" i="35"/>
  <c r="BJ57" i="35"/>
  <c r="BI57" i="35"/>
  <c r="BH57" i="35"/>
  <c r="BG57" i="35"/>
  <c r="BF57" i="35"/>
  <c r="BE57" i="35"/>
  <c r="BD57" i="35"/>
  <c r="BB57" i="35"/>
  <c r="BA57" i="35"/>
  <c r="AZ57" i="35"/>
  <c r="AY57" i="35"/>
  <c r="AX57" i="35"/>
  <c r="AW57" i="35"/>
  <c r="AV57" i="35"/>
  <c r="AU57" i="35"/>
  <c r="AT57" i="35"/>
  <c r="AS57" i="35"/>
  <c r="AR57" i="35"/>
  <c r="AQ57" i="35"/>
  <c r="AO57" i="35"/>
  <c r="AN57" i="35"/>
  <c r="AM57" i="35"/>
  <c r="AL57" i="35"/>
  <c r="AK57" i="35"/>
  <c r="AJ57" i="35"/>
  <c r="AI57" i="35"/>
  <c r="AH57" i="35"/>
  <c r="AG57" i="35"/>
  <c r="AF57" i="35"/>
  <c r="AE57" i="35"/>
  <c r="AD57" i="35"/>
  <c r="AB57" i="35"/>
  <c r="AA57" i="35"/>
  <c r="Z57" i="35"/>
  <c r="Y57" i="35"/>
  <c r="X57" i="35"/>
  <c r="W57" i="35"/>
  <c r="V57" i="35"/>
  <c r="U57" i="35"/>
  <c r="T57" i="35"/>
  <c r="S57" i="35"/>
  <c r="R57" i="35"/>
  <c r="Q57" i="35"/>
  <c r="O57" i="35"/>
  <c r="N57" i="35"/>
  <c r="M57" i="35"/>
  <c r="L57" i="35"/>
  <c r="K57" i="35"/>
  <c r="J57" i="35"/>
  <c r="I57" i="35"/>
  <c r="H57" i="35"/>
  <c r="G57" i="35"/>
  <c r="F57" i="35"/>
  <c r="E57" i="35"/>
  <c r="D57" i="35"/>
  <c r="BO56" i="35"/>
  <c r="BN56" i="35"/>
  <c r="BM56" i="35"/>
  <c r="BL56" i="35"/>
  <c r="BK56" i="35"/>
  <c r="BJ56" i="35"/>
  <c r="BI56" i="35"/>
  <c r="BH56" i="35"/>
  <c r="BG56" i="35"/>
  <c r="BF56" i="35"/>
  <c r="BE56" i="35"/>
  <c r="BD56" i="35"/>
  <c r="BB56" i="35"/>
  <c r="BA56" i="35"/>
  <c r="AZ56" i="35"/>
  <c r="AY56" i="35"/>
  <c r="AX56" i="35"/>
  <c r="AW56" i="35"/>
  <c r="AV56" i="35"/>
  <c r="AU56" i="35"/>
  <c r="AT56" i="35"/>
  <c r="AS56" i="35"/>
  <c r="AR56" i="35"/>
  <c r="AQ56" i="35"/>
  <c r="AO56" i="35"/>
  <c r="AN56" i="35"/>
  <c r="AM56" i="35"/>
  <c r="AL56" i="35"/>
  <c r="AK56" i="35"/>
  <c r="AJ56" i="35"/>
  <c r="AI56" i="35"/>
  <c r="AH56" i="35"/>
  <c r="AG56" i="35"/>
  <c r="AF56" i="35"/>
  <c r="AE56" i="35"/>
  <c r="AD56" i="35"/>
  <c r="AB56" i="35"/>
  <c r="AA56" i="35"/>
  <c r="Z56" i="35"/>
  <c r="Y56" i="35"/>
  <c r="X56" i="35"/>
  <c r="W56" i="35"/>
  <c r="V56" i="35"/>
  <c r="U56" i="35"/>
  <c r="T56" i="35"/>
  <c r="S56" i="35"/>
  <c r="R56" i="35"/>
  <c r="Q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BO55" i="35"/>
  <c r="BN55" i="35"/>
  <c r="BM55" i="35"/>
  <c r="BL55" i="35"/>
  <c r="BK55" i="35"/>
  <c r="BJ55" i="35"/>
  <c r="BI55" i="35"/>
  <c r="BH55" i="35"/>
  <c r="BG55" i="35"/>
  <c r="BF55" i="35"/>
  <c r="BE55" i="35"/>
  <c r="BD55" i="35"/>
  <c r="BB55" i="35"/>
  <c r="BA55" i="35"/>
  <c r="AZ55" i="35"/>
  <c r="AY55" i="35"/>
  <c r="AX55" i="35"/>
  <c r="AW55" i="35"/>
  <c r="AV55" i="35"/>
  <c r="AU55" i="35"/>
  <c r="AT55" i="35"/>
  <c r="AS55" i="35"/>
  <c r="AR55" i="35"/>
  <c r="AQ55" i="35"/>
  <c r="AO55" i="35"/>
  <c r="AN55" i="35"/>
  <c r="AM55" i="35"/>
  <c r="AL55" i="35"/>
  <c r="AK55" i="35"/>
  <c r="AJ55" i="35"/>
  <c r="AI55" i="35"/>
  <c r="AH55" i="35"/>
  <c r="AG55" i="35"/>
  <c r="AF55" i="35"/>
  <c r="AE55" i="35"/>
  <c r="AD55" i="35"/>
  <c r="AB55" i="35"/>
  <c r="AA55" i="35"/>
  <c r="Z55" i="35"/>
  <c r="Y55" i="35"/>
  <c r="X55" i="35"/>
  <c r="W55" i="35"/>
  <c r="V55" i="35"/>
  <c r="U55" i="35"/>
  <c r="T55" i="35"/>
  <c r="S55" i="35"/>
  <c r="R55" i="35"/>
  <c r="Q55" i="35"/>
  <c r="O55" i="35"/>
  <c r="N55" i="35"/>
  <c r="M55" i="35"/>
  <c r="L55" i="35"/>
  <c r="K55" i="35"/>
  <c r="J55" i="35"/>
  <c r="I55" i="35"/>
  <c r="H55" i="35"/>
  <c r="G55" i="35"/>
  <c r="F55" i="35"/>
  <c r="E55" i="35"/>
  <c r="D55" i="35"/>
  <c r="BO54" i="35"/>
  <c r="BN54" i="35"/>
  <c r="BM54" i="35"/>
  <c r="BL54" i="35"/>
  <c r="BK54" i="35"/>
  <c r="BJ54" i="35"/>
  <c r="BI54" i="35"/>
  <c r="BH54" i="35"/>
  <c r="BG54" i="35"/>
  <c r="BF54" i="35"/>
  <c r="BE54" i="35"/>
  <c r="BD54" i="35"/>
  <c r="BB54" i="35"/>
  <c r="BA54" i="35"/>
  <c r="AZ54" i="35"/>
  <c r="AY54" i="35"/>
  <c r="AX54" i="35"/>
  <c r="AW54" i="35"/>
  <c r="AV54" i="35"/>
  <c r="AU54" i="35"/>
  <c r="AT54" i="35"/>
  <c r="AS54" i="35"/>
  <c r="AR54" i="35"/>
  <c r="AQ54" i="35"/>
  <c r="AO54" i="35"/>
  <c r="AN54" i="35"/>
  <c r="AM54" i="35"/>
  <c r="AL54" i="35"/>
  <c r="AK54" i="35"/>
  <c r="AJ54" i="35"/>
  <c r="AI54" i="35"/>
  <c r="AH54" i="35"/>
  <c r="AG54" i="35"/>
  <c r="AF54" i="35"/>
  <c r="AE54" i="35"/>
  <c r="AD54" i="35"/>
  <c r="AB54" i="35"/>
  <c r="AA54" i="35"/>
  <c r="Z54" i="35"/>
  <c r="Y54" i="35"/>
  <c r="X54" i="35"/>
  <c r="W54" i="35"/>
  <c r="V54" i="35"/>
  <c r="U54" i="35"/>
  <c r="T54" i="35"/>
  <c r="S54" i="35"/>
  <c r="R54" i="35"/>
  <c r="Q54" i="35"/>
  <c r="O54" i="35"/>
  <c r="N54" i="35"/>
  <c r="M54" i="35"/>
  <c r="L54" i="35"/>
  <c r="K54" i="35"/>
  <c r="J54" i="35"/>
  <c r="I54" i="35"/>
  <c r="H54" i="35"/>
  <c r="G54" i="35"/>
  <c r="F54" i="35"/>
  <c r="E54" i="35"/>
  <c r="D54" i="35"/>
  <c r="BO53" i="35"/>
  <c r="BN53" i="35"/>
  <c r="BM53" i="35"/>
  <c r="BL53" i="35"/>
  <c r="BK53" i="35"/>
  <c r="BJ53" i="35"/>
  <c r="BI53" i="35"/>
  <c r="BH53" i="35"/>
  <c r="BG53" i="35"/>
  <c r="BF53" i="35"/>
  <c r="BE53" i="35"/>
  <c r="BD53" i="35"/>
  <c r="BB53" i="35"/>
  <c r="BA53" i="35"/>
  <c r="AZ53" i="35"/>
  <c r="AY53" i="35"/>
  <c r="AX53" i="35"/>
  <c r="AW53" i="35"/>
  <c r="AV53" i="35"/>
  <c r="AU53" i="35"/>
  <c r="AT53" i="35"/>
  <c r="AS53" i="35"/>
  <c r="AR53" i="35"/>
  <c r="AQ53" i="35"/>
  <c r="AO53" i="35"/>
  <c r="AN53" i="35"/>
  <c r="AM53" i="35"/>
  <c r="AL53" i="35"/>
  <c r="AK53" i="35"/>
  <c r="AJ53" i="35"/>
  <c r="AI53" i="35"/>
  <c r="AH53" i="35"/>
  <c r="AG53" i="35"/>
  <c r="AF53" i="35"/>
  <c r="AE53" i="35"/>
  <c r="AD53" i="35"/>
  <c r="AB53" i="35"/>
  <c r="AA53" i="35"/>
  <c r="Z53" i="35"/>
  <c r="Y53" i="35"/>
  <c r="X53" i="35"/>
  <c r="W53" i="35"/>
  <c r="V53" i="35"/>
  <c r="U53" i="35"/>
  <c r="T53" i="35"/>
  <c r="S53" i="35"/>
  <c r="R53" i="35"/>
  <c r="Q53" i="35"/>
  <c r="O53" i="35"/>
  <c r="N53" i="35"/>
  <c r="M53" i="35"/>
  <c r="L53" i="35"/>
  <c r="K53" i="35"/>
  <c r="J53" i="35"/>
  <c r="I53" i="35"/>
  <c r="H53" i="35"/>
  <c r="G53" i="35"/>
  <c r="F53" i="35"/>
  <c r="E53" i="35"/>
  <c r="D53" i="35"/>
  <c r="BO52" i="35"/>
  <c r="BN52" i="35"/>
  <c r="BM52" i="35"/>
  <c r="BL52" i="35"/>
  <c r="BK52" i="35"/>
  <c r="BJ52" i="35"/>
  <c r="BI52" i="35"/>
  <c r="BH52" i="35"/>
  <c r="BG52" i="35"/>
  <c r="BF52" i="35"/>
  <c r="BE52" i="35"/>
  <c r="BD52" i="35"/>
  <c r="BB52" i="35"/>
  <c r="BA52" i="35"/>
  <c r="AZ52" i="35"/>
  <c r="AY52" i="35"/>
  <c r="AX52" i="35"/>
  <c r="AW52" i="35"/>
  <c r="AV52" i="35"/>
  <c r="AU52" i="35"/>
  <c r="AT52" i="35"/>
  <c r="AS52" i="35"/>
  <c r="AR52" i="35"/>
  <c r="AQ52" i="35"/>
  <c r="AO52" i="35"/>
  <c r="AN52" i="35"/>
  <c r="AM52" i="35"/>
  <c r="AL52" i="35"/>
  <c r="AK52" i="35"/>
  <c r="AJ52" i="35"/>
  <c r="AI52" i="35"/>
  <c r="AH52" i="35"/>
  <c r="AG52" i="35"/>
  <c r="AF52" i="35"/>
  <c r="AE52" i="35"/>
  <c r="AD52" i="35"/>
  <c r="AB52" i="35"/>
  <c r="AA52" i="35"/>
  <c r="Z52" i="35"/>
  <c r="Y52" i="35"/>
  <c r="X52" i="35"/>
  <c r="W52" i="35"/>
  <c r="V52" i="35"/>
  <c r="U52" i="35"/>
  <c r="T52" i="35"/>
  <c r="S52" i="35"/>
  <c r="R52" i="35"/>
  <c r="Q52" i="35"/>
  <c r="O52" i="35"/>
  <c r="N52" i="35"/>
  <c r="M52" i="35"/>
  <c r="L52" i="35"/>
  <c r="K52" i="35"/>
  <c r="J52" i="35"/>
  <c r="I52" i="35"/>
  <c r="H52" i="35"/>
  <c r="G52" i="35"/>
  <c r="F52" i="35"/>
  <c r="E52" i="35"/>
  <c r="D52" i="35"/>
  <c r="BO51" i="35"/>
  <c r="BN51" i="35"/>
  <c r="BM51" i="35"/>
  <c r="BL51" i="35"/>
  <c r="BK51" i="35"/>
  <c r="BJ51" i="35"/>
  <c r="BI51" i="35"/>
  <c r="BH51" i="35"/>
  <c r="BG51" i="35"/>
  <c r="BF51" i="35"/>
  <c r="BE51" i="35"/>
  <c r="BD51" i="35"/>
  <c r="BB51" i="35"/>
  <c r="BA51" i="35"/>
  <c r="AZ51" i="35"/>
  <c r="AY51" i="35"/>
  <c r="AX51" i="35"/>
  <c r="AW51" i="35"/>
  <c r="AV51" i="35"/>
  <c r="AU51" i="35"/>
  <c r="AT51" i="35"/>
  <c r="AS51" i="35"/>
  <c r="AR51" i="35"/>
  <c r="AQ51" i="35"/>
  <c r="AO51" i="35"/>
  <c r="AN51" i="35"/>
  <c r="AM51" i="35"/>
  <c r="AL51" i="35"/>
  <c r="AK51" i="35"/>
  <c r="AJ51" i="35"/>
  <c r="AI51" i="35"/>
  <c r="AH51" i="35"/>
  <c r="AG51" i="35"/>
  <c r="AF51" i="35"/>
  <c r="AE51" i="35"/>
  <c r="AD51" i="35"/>
  <c r="AB51" i="35"/>
  <c r="AA51" i="35"/>
  <c r="Z51" i="35"/>
  <c r="Y51" i="35"/>
  <c r="X51" i="35"/>
  <c r="W51" i="35"/>
  <c r="V51" i="35"/>
  <c r="U51" i="35"/>
  <c r="T51" i="35"/>
  <c r="S51" i="35"/>
  <c r="R51" i="35"/>
  <c r="Q51" i="35"/>
  <c r="O51" i="35"/>
  <c r="N51" i="35"/>
  <c r="M51" i="35"/>
  <c r="L51" i="35"/>
  <c r="K51" i="35"/>
  <c r="J51" i="35"/>
  <c r="I51" i="35"/>
  <c r="H51" i="35"/>
  <c r="G51" i="35"/>
  <c r="F51" i="35"/>
  <c r="E51" i="35"/>
  <c r="D51" i="35"/>
  <c r="BO50" i="35"/>
  <c r="BN50" i="35"/>
  <c r="BM50" i="35"/>
  <c r="BL50" i="35"/>
  <c r="BK50" i="35"/>
  <c r="BJ50" i="35"/>
  <c r="BI50" i="35"/>
  <c r="BH50" i="35"/>
  <c r="BG50" i="35"/>
  <c r="BF50" i="35"/>
  <c r="BE50" i="35"/>
  <c r="BD50" i="35"/>
  <c r="BB50" i="35"/>
  <c r="BA50" i="35"/>
  <c r="AZ50" i="35"/>
  <c r="AY50" i="35"/>
  <c r="AX50" i="35"/>
  <c r="AW50" i="35"/>
  <c r="AV50" i="35"/>
  <c r="AU50" i="35"/>
  <c r="AT50" i="35"/>
  <c r="AS50" i="35"/>
  <c r="AR50" i="35"/>
  <c r="AQ50" i="35"/>
  <c r="AO50" i="35"/>
  <c r="AN50" i="35"/>
  <c r="AM50" i="35"/>
  <c r="AL50" i="35"/>
  <c r="AK50" i="35"/>
  <c r="AJ50" i="35"/>
  <c r="AI50" i="35"/>
  <c r="AH50" i="35"/>
  <c r="AG50" i="35"/>
  <c r="AF50" i="35"/>
  <c r="AE50" i="35"/>
  <c r="AD50" i="35"/>
  <c r="AB50" i="35"/>
  <c r="AA50" i="35"/>
  <c r="Z50" i="35"/>
  <c r="Y50" i="35"/>
  <c r="X50" i="35"/>
  <c r="W50" i="35"/>
  <c r="V50" i="35"/>
  <c r="U50" i="35"/>
  <c r="T50" i="35"/>
  <c r="S50" i="35"/>
  <c r="R50" i="35"/>
  <c r="Q50" i="35"/>
  <c r="O50" i="35"/>
  <c r="N50" i="35"/>
  <c r="M50" i="35"/>
  <c r="L50" i="35"/>
  <c r="K50" i="35"/>
  <c r="J50" i="35"/>
  <c r="I50" i="35"/>
  <c r="H50" i="35"/>
  <c r="G50" i="35"/>
  <c r="F50" i="35"/>
  <c r="E50" i="35"/>
  <c r="D50" i="35"/>
  <c r="BO49" i="35"/>
  <c r="BN49" i="35"/>
  <c r="BM49" i="35"/>
  <c r="BL49" i="35"/>
  <c r="BK49" i="35"/>
  <c r="BJ49" i="35"/>
  <c r="BI49" i="35"/>
  <c r="BH49" i="35"/>
  <c r="BG49" i="35"/>
  <c r="BF49" i="35"/>
  <c r="BE49" i="35"/>
  <c r="BD49" i="35"/>
  <c r="BB49" i="35"/>
  <c r="BA49" i="35"/>
  <c r="AZ49" i="35"/>
  <c r="AY49" i="35"/>
  <c r="AX49" i="35"/>
  <c r="AW49" i="35"/>
  <c r="AV49" i="35"/>
  <c r="AU49" i="35"/>
  <c r="AT49" i="35"/>
  <c r="AS49" i="35"/>
  <c r="AR49" i="35"/>
  <c r="AQ49" i="35"/>
  <c r="AO49" i="35"/>
  <c r="AN49" i="35"/>
  <c r="AM49" i="35"/>
  <c r="AL49" i="35"/>
  <c r="AK49" i="35"/>
  <c r="AJ49" i="35"/>
  <c r="AI49" i="35"/>
  <c r="AH49" i="35"/>
  <c r="AG49" i="35"/>
  <c r="AF49" i="35"/>
  <c r="AE49" i="35"/>
  <c r="AD49" i="35"/>
  <c r="AB49" i="35"/>
  <c r="AA49" i="35"/>
  <c r="Z49" i="35"/>
  <c r="Y49" i="35"/>
  <c r="X49" i="35"/>
  <c r="W49" i="35"/>
  <c r="V49" i="35"/>
  <c r="U49" i="35"/>
  <c r="T49" i="35"/>
  <c r="S49" i="35"/>
  <c r="R49" i="35"/>
  <c r="Q49" i="35"/>
  <c r="O49" i="35"/>
  <c r="N49" i="35"/>
  <c r="M49" i="35"/>
  <c r="L49" i="35"/>
  <c r="K49" i="35"/>
  <c r="J49" i="35"/>
  <c r="I49" i="35"/>
  <c r="H49" i="35"/>
  <c r="G49" i="35"/>
  <c r="F49" i="35"/>
  <c r="E49" i="35"/>
  <c r="D49" i="35"/>
  <c r="BO47" i="35"/>
  <c r="BN47" i="35"/>
  <c r="BM47" i="35"/>
  <c r="BL47" i="35"/>
  <c r="BK47" i="35"/>
  <c r="BJ47" i="35"/>
  <c r="BI47" i="35"/>
  <c r="BH47" i="35"/>
  <c r="BG47" i="35"/>
  <c r="BF47" i="35"/>
  <c r="BE47" i="35"/>
  <c r="BD47" i="35"/>
  <c r="BB47" i="35"/>
  <c r="BA47" i="35"/>
  <c r="AZ47" i="35"/>
  <c r="AY47" i="35"/>
  <c r="AX47" i="35"/>
  <c r="AW47" i="35"/>
  <c r="AV47" i="35"/>
  <c r="AU47" i="35"/>
  <c r="AT47" i="35"/>
  <c r="AS47" i="35"/>
  <c r="AR47" i="35"/>
  <c r="AQ47" i="35"/>
  <c r="AO47" i="35"/>
  <c r="AN47" i="35"/>
  <c r="AM47" i="35"/>
  <c r="AL47" i="35"/>
  <c r="AK47" i="35"/>
  <c r="AJ47" i="35"/>
  <c r="AI47" i="35"/>
  <c r="AH47" i="35"/>
  <c r="AG47" i="35"/>
  <c r="AF47" i="35"/>
  <c r="AE47" i="35"/>
  <c r="AD47" i="35"/>
  <c r="AB47" i="35"/>
  <c r="AA47" i="35"/>
  <c r="Z47" i="35"/>
  <c r="Y47" i="35"/>
  <c r="X47" i="35"/>
  <c r="W47" i="35"/>
  <c r="V47" i="35"/>
  <c r="U47" i="35"/>
  <c r="T47" i="35"/>
  <c r="S47" i="35"/>
  <c r="R47" i="35"/>
  <c r="Q47" i="35"/>
  <c r="O47" i="35"/>
  <c r="N47" i="35"/>
  <c r="M47" i="35"/>
  <c r="L47" i="35"/>
  <c r="K47" i="35"/>
  <c r="J47" i="35"/>
  <c r="I47" i="35"/>
  <c r="H47" i="35"/>
  <c r="G47" i="35"/>
  <c r="F47" i="35"/>
  <c r="E47" i="35"/>
  <c r="D47" i="35"/>
  <c r="BO46" i="35"/>
  <c r="BN46" i="35"/>
  <c r="BM46" i="35"/>
  <c r="BL46" i="35"/>
  <c r="BK46" i="35"/>
  <c r="BJ46" i="35"/>
  <c r="BI46" i="35"/>
  <c r="BH46" i="35"/>
  <c r="BG46" i="35"/>
  <c r="BF46" i="35"/>
  <c r="BE46" i="35"/>
  <c r="BD46" i="35"/>
  <c r="BB46" i="35"/>
  <c r="BA46" i="35"/>
  <c r="AZ46" i="35"/>
  <c r="AY46" i="35"/>
  <c r="AX46" i="35"/>
  <c r="AW46" i="35"/>
  <c r="AV46" i="35"/>
  <c r="AU46" i="35"/>
  <c r="AT46" i="35"/>
  <c r="AS46" i="35"/>
  <c r="AR46" i="35"/>
  <c r="AQ46" i="35"/>
  <c r="AO46" i="35"/>
  <c r="AN46" i="35"/>
  <c r="AM46" i="35"/>
  <c r="AL46" i="35"/>
  <c r="AK46" i="35"/>
  <c r="AJ46" i="35"/>
  <c r="AI46" i="35"/>
  <c r="AH46" i="35"/>
  <c r="AG46" i="35"/>
  <c r="AF46" i="35"/>
  <c r="AE46" i="35"/>
  <c r="AD46" i="35"/>
  <c r="AB46" i="35"/>
  <c r="AA46" i="35"/>
  <c r="Z46" i="35"/>
  <c r="Y46" i="35"/>
  <c r="X46" i="35"/>
  <c r="W46" i="35"/>
  <c r="V46" i="35"/>
  <c r="U46" i="35"/>
  <c r="T46" i="35"/>
  <c r="S46" i="35"/>
  <c r="R46" i="35"/>
  <c r="Q46" i="35"/>
  <c r="O46" i="35"/>
  <c r="N46" i="35"/>
  <c r="M46" i="35"/>
  <c r="L46" i="35"/>
  <c r="K46" i="35"/>
  <c r="J46" i="35"/>
  <c r="I46" i="35"/>
  <c r="H46" i="35"/>
  <c r="G46" i="35"/>
  <c r="F46" i="35"/>
  <c r="E46" i="35"/>
  <c r="D46" i="35"/>
  <c r="BO45" i="35"/>
  <c r="BN45" i="35"/>
  <c r="BM45" i="35"/>
  <c r="BL45" i="35"/>
  <c r="BK45" i="35"/>
  <c r="BJ45" i="35"/>
  <c r="BI45" i="35"/>
  <c r="BH45" i="35"/>
  <c r="BG45" i="35"/>
  <c r="BF45" i="35"/>
  <c r="BE45" i="35"/>
  <c r="BD45" i="35"/>
  <c r="BB45" i="35"/>
  <c r="BA45" i="35"/>
  <c r="AZ45" i="35"/>
  <c r="AY45" i="35"/>
  <c r="AX45" i="35"/>
  <c r="AW45" i="35"/>
  <c r="AV45" i="35"/>
  <c r="AU45" i="35"/>
  <c r="AT45" i="35"/>
  <c r="AS45" i="35"/>
  <c r="AR45" i="35"/>
  <c r="AQ45" i="35"/>
  <c r="AO45" i="35"/>
  <c r="AN45" i="35"/>
  <c r="AM45" i="35"/>
  <c r="AL45" i="35"/>
  <c r="AK45" i="35"/>
  <c r="AJ45" i="35"/>
  <c r="AI45" i="35"/>
  <c r="AH45" i="35"/>
  <c r="AG45" i="35"/>
  <c r="AF45" i="35"/>
  <c r="AE45" i="35"/>
  <c r="AD45" i="35"/>
  <c r="AB45" i="35"/>
  <c r="AA45" i="35"/>
  <c r="Z45" i="35"/>
  <c r="Y45" i="35"/>
  <c r="X45" i="35"/>
  <c r="W45" i="35"/>
  <c r="V45" i="35"/>
  <c r="U45" i="35"/>
  <c r="T45" i="35"/>
  <c r="S45" i="35"/>
  <c r="R45" i="35"/>
  <c r="Q45" i="35"/>
  <c r="O45" i="35"/>
  <c r="N45" i="35"/>
  <c r="M45" i="35"/>
  <c r="L45" i="35"/>
  <c r="K45" i="35"/>
  <c r="J45" i="35"/>
  <c r="I45" i="35"/>
  <c r="H45" i="35"/>
  <c r="G45" i="35"/>
  <c r="F45" i="35"/>
  <c r="E45" i="35"/>
  <c r="D45" i="35"/>
  <c r="BO44" i="35"/>
  <c r="BN44" i="35"/>
  <c r="BM44" i="35"/>
  <c r="BL44" i="35"/>
  <c r="BK44" i="35"/>
  <c r="BJ44" i="35"/>
  <c r="BI44" i="35"/>
  <c r="BH44" i="35"/>
  <c r="BG44" i="35"/>
  <c r="BF44" i="35"/>
  <c r="BE44" i="35"/>
  <c r="BD44" i="35"/>
  <c r="BB44" i="35"/>
  <c r="BA44" i="35"/>
  <c r="AZ44" i="35"/>
  <c r="AY44" i="35"/>
  <c r="AX44" i="35"/>
  <c r="AW44" i="35"/>
  <c r="AV44" i="35"/>
  <c r="AU44" i="35"/>
  <c r="AT44" i="35"/>
  <c r="AS44" i="35"/>
  <c r="AR44" i="35"/>
  <c r="AQ44" i="35"/>
  <c r="AO44" i="35"/>
  <c r="AN44" i="35"/>
  <c r="AM44" i="35"/>
  <c r="AL44" i="35"/>
  <c r="AK44" i="35"/>
  <c r="AJ44" i="35"/>
  <c r="AI44" i="35"/>
  <c r="AH44" i="35"/>
  <c r="AG44" i="35"/>
  <c r="AF44" i="35"/>
  <c r="AE44" i="35"/>
  <c r="AD44" i="35"/>
  <c r="AB44" i="35"/>
  <c r="AA44" i="35"/>
  <c r="Z44" i="35"/>
  <c r="Y44" i="35"/>
  <c r="X44" i="35"/>
  <c r="W44" i="35"/>
  <c r="V44" i="35"/>
  <c r="U44" i="35"/>
  <c r="T44" i="35"/>
  <c r="S44" i="35"/>
  <c r="R44" i="35"/>
  <c r="Q44" i="35"/>
  <c r="O44" i="35"/>
  <c r="N44" i="35"/>
  <c r="M44" i="35"/>
  <c r="L44" i="35"/>
  <c r="K44" i="35"/>
  <c r="J44" i="35"/>
  <c r="I44" i="35"/>
  <c r="H44" i="35"/>
  <c r="G44" i="35"/>
  <c r="F44" i="35"/>
  <c r="E44" i="35"/>
  <c r="D44" i="35"/>
  <c r="BO43" i="35"/>
  <c r="BN43" i="35"/>
  <c r="BM43" i="35"/>
  <c r="BL43" i="35"/>
  <c r="BK43" i="35"/>
  <c r="BJ43" i="35"/>
  <c r="BI43" i="35"/>
  <c r="BH43" i="35"/>
  <c r="BG43" i="35"/>
  <c r="BF43" i="35"/>
  <c r="BE43" i="35"/>
  <c r="BD43" i="35"/>
  <c r="BB43" i="35"/>
  <c r="BA43" i="35"/>
  <c r="AZ43" i="35"/>
  <c r="AY43" i="35"/>
  <c r="AX43" i="35"/>
  <c r="AW43" i="35"/>
  <c r="AV43" i="35"/>
  <c r="AU43" i="35"/>
  <c r="AT43" i="35"/>
  <c r="AS43" i="35"/>
  <c r="AR43" i="35"/>
  <c r="AQ43" i="35"/>
  <c r="AO43" i="35"/>
  <c r="AN43" i="35"/>
  <c r="AM43" i="35"/>
  <c r="AL43" i="35"/>
  <c r="AK43" i="35"/>
  <c r="AJ43" i="35"/>
  <c r="AI43" i="35"/>
  <c r="AH43" i="35"/>
  <c r="AG43" i="35"/>
  <c r="AF43" i="35"/>
  <c r="AE43" i="35"/>
  <c r="AD43" i="35"/>
  <c r="AB43" i="35"/>
  <c r="AA43" i="35"/>
  <c r="Z43" i="35"/>
  <c r="Y43" i="35"/>
  <c r="X43" i="35"/>
  <c r="W43" i="35"/>
  <c r="V43" i="35"/>
  <c r="U43" i="35"/>
  <c r="T43" i="35"/>
  <c r="S43" i="35"/>
  <c r="R43" i="35"/>
  <c r="Q43" i="35"/>
  <c r="O43" i="35"/>
  <c r="N43" i="35"/>
  <c r="M43" i="35"/>
  <c r="L43" i="35"/>
  <c r="K43" i="35"/>
  <c r="J43" i="35"/>
  <c r="I43" i="35"/>
  <c r="H43" i="35"/>
  <c r="G43" i="35"/>
  <c r="F43" i="35"/>
  <c r="E43" i="35"/>
  <c r="D43" i="35"/>
  <c r="BO42" i="35"/>
  <c r="BN42" i="35"/>
  <c r="BM42" i="35"/>
  <c r="BL42" i="35"/>
  <c r="BK42" i="35"/>
  <c r="BJ42" i="35"/>
  <c r="BI42" i="35"/>
  <c r="BH42" i="35"/>
  <c r="BG42" i="35"/>
  <c r="BF42" i="35"/>
  <c r="BE42" i="35"/>
  <c r="BD42" i="35"/>
  <c r="BB42" i="35"/>
  <c r="BA42" i="35"/>
  <c r="AZ42" i="35"/>
  <c r="AY42" i="35"/>
  <c r="AX42" i="35"/>
  <c r="AW42" i="35"/>
  <c r="AV42" i="35"/>
  <c r="AU42" i="35"/>
  <c r="AT42" i="35"/>
  <c r="AS42" i="35"/>
  <c r="AR42" i="35"/>
  <c r="AQ42" i="35"/>
  <c r="AO42" i="35"/>
  <c r="AN42" i="35"/>
  <c r="AM42" i="35"/>
  <c r="AL42" i="35"/>
  <c r="AK42" i="35"/>
  <c r="AJ42" i="35"/>
  <c r="AI42" i="35"/>
  <c r="AH42" i="35"/>
  <c r="AG42" i="35"/>
  <c r="AF42" i="35"/>
  <c r="AE42" i="35"/>
  <c r="AD42" i="35"/>
  <c r="AB42" i="35"/>
  <c r="AA42" i="35"/>
  <c r="Z42" i="35"/>
  <c r="Y42" i="35"/>
  <c r="X42" i="35"/>
  <c r="W42" i="35"/>
  <c r="V42" i="35"/>
  <c r="U42" i="35"/>
  <c r="T42" i="35"/>
  <c r="S42" i="35"/>
  <c r="R42" i="35"/>
  <c r="Q42" i="35"/>
  <c r="O42" i="35"/>
  <c r="N42" i="35"/>
  <c r="M42" i="35"/>
  <c r="L42" i="35"/>
  <c r="K42" i="35"/>
  <c r="J42" i="35"/>
  <c r="I42" i="35"/>
  <c r="H42" i="35"/>
  <c r="G42" i="35"/>
  <c r="F42" i="35"/>
  <c r="E42" i="35"/>
  <c r="D42" i="35"/>
  <c r="BO41" i="35"/>
  <c r="BN41" i="35"/>
  <c r="BM41" i="35"/>
  <c r="BL41" i="35"/>
  <c r="BK41" i="35"/>
  <c r="BJ41" i="35"/>
  <c r="BI41" i="35"/>
  <c r="BH41" i="35"/>
  <c r="BG41" i="35"/>
  <c r="BF41" i="35"/>
  <c r="BE41" i="35"/>
  <c r="BD41" i="35"/>
  <c r="BB41" i="35"/>
  <c r="BA41" i="35"/>
  <c r="AZ41" i="35"/>
  <c r="AY41" i="35"/>
  <c r="AX41" i="35"/>
  <c r="AW41" i="35"/>
  <c r="AV41" i="35"/>
  <c r="AU41" i="35"/>
  <c r="AT41" i="35"/>
  <c r="AS41" i="35"/>
  <c r="AR41" i="35"/>
  <c r="AQ41" i="35"/>
  <c r="AO41" i="35"/>
  <c r="AN41" i="35"/>
  <c r="AM41" i="35"/>
  <c r="AL41" i="35"/>
  <c r="AK41" i="35"/>
  <c r="AJ41" i="35"/>
  <c r="AI41" i="35"/>
  <c r="AH41" i="35"/>
  <c r="AG41" i="35"/>
  <c r="AF41" i="35"/>
  <c r="AE41" i="35"/>
  <c r="AD41" i="35"/>
  <c r="AB41" i="35"/>
  <c r="AA41" i="35"/>
  <c r="Z41" i="35"/>
  <c r="Y41" i="35"/>
  <c r="X41" i="35"/>
  <c r="W41" i="35"/>
  <c r="V41" i="35"/>
  <c r="U41" i="35"/>
  <c r="T41" i="35"/>
  <c r="S41" i="35"/>
  <c r="R41" i="35"/>
  <c r="Q41" i="35"/>
  <c r="O41" i="35"/>
  <c r="N41" i="35"/>
  <c r="M41" i="35"/>
  <c r="L41" i="35"/>
  <c r="K41" i="35"/>
  <c r="J41" i="35"/>
  <c r="I41" i="35"/>
  <c r="H41" i="35"/>
  <c r="G41" i="35"/>
  <c r="F41" i="35"/>
  <c r="E41" i="35"/>
  <c r="D41" i="35"/>
  <c r="BO40" i="35"/>
  <c r="BN40" i="35"/>
  <c r="BM40" i="35"/>
  <c r="BL40" i="35"/>
  <c r="BK40" i="35"/>
  <c r="BK39" i="35" s="1"/>
  <c r="BJ40" i="35"/>
  <c r="BI40" i="35"/>
  <c r="BH40" i="35"/>
  <c r="BG40" i="35"/>
  <c r="BF40" i="35"/>
  <c r="BE40" i="35"/>
  <c r="BD40" i="35"/>
  <c r="BB40" i="35"/>
  <c r="BA40" i="35"/>
  <c r="AZ40" i="35"/>
  <c r="AY40" i="35"/>
  <c r="AX40" i="35"/>
  <c r="AW40" i="35"/>
  <c r="AV40" i="35"/>
  <c r="AV39" i="35" s="1"/>
  <c r="AU40" i="35"/>
  <c r="AT40" i="35"/>
  <c r="AS40" i="35"/>
  <c r="AR40" i="35"/>
  <c r="AQ40" i="35"/>
  <c r="AO40" i="35"/>
  <c r="AN40" i="35"/>
  <c r="AM40" i="35"/>
  <c r="AL40" i="35"/>
  <c r="AK40" i="35"/>
  <c r="AJ40" i="35"/>
  <c r="AI40" i="35"/>
  <c r="AH40" i="35"/>
  <c r="AG40" i="35"/>
  <c r="AF40" i="35"/>
  <c r="AE40" i="35"/>
  <c r="AD40" i="35"/>
  <c r="AB40" i="35"/>
  <c r="AA40" i="35"/>
  <c r="Z40" i="35"/>
  <c r="Y40" i="35"/>
  <c r="X40" i="35"/>
  <c r="W40" i="35"/>
  <c r="V40" i="35"/>
  <c r="U40" i="35"/>
  <c r="T40" i="35"/>
  <c r="S40" i="35"/>
  <c r="R40" i="35"/>
  <c r="Q40" i="35"/>
  <c r="O40" i="35"/>
  <c r="N40" i="35"/>
  <c r="M40" i="35"/>
  <c r="L40" i="35"/>
  <c r="K40" i="35"/>
  <c r="J40" i="35"/>
  <c r="I40" i="35"/>
  <c r="H40" i="35"/>
  <c r="G40" i="35"/>
  <c r="F40" i="35"/>
  <c r="E40" i="35"/>
  <c r="D40" i="35"/>
  <c r="C38" i="35"/>
  <c r="BO36" i="35"/>
  <c r="BN36" i="35"/>
  <c r="BM36" i="35"/>
  <c r="BL36" i="35"/>
  <c r="BK36" i="35"/>
  <c r="BJ36" i="35"/>
  <c r="BI36" i="35"/>
  <c r="BH36" i="35"/>
  <c r="BG36" i="35"/>
  <c r="BF36" i="35"/>
  <c r="BE36" i="35"/>
  <c r="BD36" i="35"/>
  <c r="BB36" i="35"/>
  <c r="BA36" i="35"/>
  <c r="AZ36" i="35"/>
  <c r="AY36" i="35"/>
  <c r="AX36" i="35"/>
  <c r="AW36" i="35"/>
  <c r="AV36" i="35"/>
  <c r="AU36" i="35"/>
  <c r="AT36" i="35"/>
  <c r="AS36" i="35"/>
  <c r="AR36" i="35"/>
  <c r="AQ36" i="35"/>
  <c r="AO36" i="35"/>
  <c r="AN36" i="35"/>
  <c r="AM36" i="35"/>
  <c r="AL36" i="35"/>
  <c r="AK36" i="35"/>
  <c r="AJ36" i="35"/>
  <c r="AI36" i="35"/>
  <c r="AH36" i="35"/>
  <c r="AG36" i="35"/>
  <c r="AF36" i="35"/>
  <c r="AE36" i="35"/>
  <c r="AD36" i="35"/>
  <c r="AB36" i="35"/>
  <c r="AA36" i="35"/>
  <c r="Z36" i="35"/>
  <c r="Y36" i="35"/>
  <c r="X36" i="35"/>
  <c r="W36" i="35"/>
  <c r="V36" i="35"/>
  <c r="U36" i="35"/>
  <c r="T36" i="35"/>
  <c r="S36" i="35"/>
  <c r="R36" i="35"/>
  <c r="Q36" i="35"/>
  <c r="O36" i="35"/>
  <c r="N36" i="35"/>
  <c r="M36" i="35"/>
  <c r="L36" i="35"/>
  <c r="K36" i="35"/>
  <c r="J36" i="35"/>
  <c r="I36" i="35"/>
  <c r="H36" i="35"/>
  <c r="G36" i="35"/>
  <c r="F36" i="35"/>
  <c r="E36" i="35"/>
  <c r="D36" i="35"/>
  <c r="BO35" i="35"/>
  <c r="BN35" i="35"/>
  <c r="BM35" i="35"/>
  <c r="BL35" i="35"/>
  <c r="BK35" i="35"/>
  <c r="BJ35" i="35"/>
  <c r="BI35" i="35"/>
  <c r="BH35" i="35"/>
  <c r="BG35" i="35"/>
  <c r="BF35" i="35"/>
  <c r="BE35" i="35"/>
  <c r="BD35" i="35"/>
  <c r="BB35" i="35"/>
  <c r="BA35" i="35"/>
  <c r="AZ35" i="35"/>
  <c r="AY35" i="35"/>
  <c r="AX35" i="35"/>
  <c r="AW35" i="35"/>
  <c r="AV35" i="35"/>
  <c r="AU35" i="35"/>
  <c r="AT35" i="35"/>
  <c r="AS35" i="35"/>
  <c r="AR35" i="35"/>
  <c r="AQ35" i="35"/>
  <c r="AO35" i="35"/>
  <c r="AN35" i="35"/>
  <c r="AM35" i="35"/>
  <c r="AL35" i="35"/>
  <c r="AK35" i="35"/>
  <c r="AJ35" i="35"/>
  <c r="AI35" i="35"/>
  <c r="AH35" i="35"/>
  <c r="AG35" i="35"/>
  <c r="AF35" i="35"/>
  <c r="AE35" i="35"/>
  <c r="AD35" i="35"/>
  <c r="AB35" i="35"/>
  <c r="AA35" i="35"/>
  <c r="Z35" i="35"/>
  <c r="Y35" i="35"/>
  <c r="X35" i="35"/>
  <c r="W35" i="35"/>
  <c r="V35" i="35"/>
  <c r="U35" i="35"/>
  <c r="T35" i="35"/>
  <c r="S35" i="35"/>
  <c r="R35" i="35"/>
  <c r="Q35" i="35"/>
  <c r="O35" i="35"/>
  <c r="N35" i="35"/>
  <c r="M35" i="35"/>
  <c r="L35" i="35"/>
  <c r="K35" i="35"/>
  <c r="J35" i="35"/>
  <c r="I35" i="35"/>
  <c r="H35" i="35"/>
  <c r="G35" i="35"/>
  <c r="F35" i="35"/>
  <c r="E35" i="35"/>
  <c r="D35" i="35"/>
  <c r="BO34" i="35"/>
  <c r="BN34" i="35"/>
  <c r="BM34" i="35"/>
  <c r="BL34" i="35"/>
  <c r="BK34" i="35"/>
  <c r="BJ34" i="35"/>
  <c r="BI34" i="35"/>
  <c r="BH34" i="35"/>
  <c r="BG34" i="35"/>
  <c r="BF34" i="35"/>
  <c r="BE34" i="35"/>
  <c r="BD34" i="35"/>
  <c r="BB34" i="35"/>
  <c r="BA34" i="35"/>
  <c r="AZ34" i="35"/>
  <c r="AY34" i="35"/>
  <c r="AX34" i="35"/>
  <c r="AW34" i="35"/>
  <c r="AV34" i="35"/>
  <c r="AU34" i="35"/>
  <c r="AT34" i="35"/>
  <c r="AS34" i="35"/>
  <c r="AR34" i="35"/>
  <c r="AQ34" i="35"/>
  <c r="AO34" i="35"/>
  <c r="AN34" i="35"/>
  <c r="AM34" i="35"/>
  <c r="AL34" i="35"/>
  <c r="AK34" i="35"/>
  <c r="AJ34" i="35"/>
  <c r="AI34" i="35"/>
  <c r="AH34" i="35"/>
  <c r="AG34" i="35"/>
  <c r="AF34" i="35"/>
  <c r="AE34" i="35"/>
  <c r="AD34" i="35"/>
  <c r="AB34" i="35"/>
  <c r="AA34" i="35"/>
  <c r="Z34" i="35"/>
  <c r="Y34" i="35"/>
  <c r="X34" i="35"/>
  <c r="W34" i="35"/>
  <c r="V34" i="35"/>
  <c r="U34" i="35"/>
  <c r="T34" i="35"/>
  <c r="S34" i="35"/>
  <c r="R34" i="35"/>
  <c r="Q34" i="35"/>
  <c r="O34" i="35"/>
  <c r="N34" i="35"/>
  <c r="M34" i="35"/>
  <c r="L34" i="35"/>
  <c r="K34" i="35"/>
  <c r="J34" i="35"/>
  <c r="I34" i="35"/>
  <c r="H34" i="35"/>
  <c r="G34" i="35"/>
  <c r="F34" i="35"/>
  <c r="E34" i="35"/>
  <c r="D34" i="35"/>
  <c r="BO33" i="35"/>
  <c r="BN33" i="35"/>
  <c r="BM33" i="35"/>
  <c r="BL33" i="35"/>
  <c r="BK33" i="35"/>
  <c r="BJ33" i="35"/>
  <c r="BI33" i="35"/>
  <c r="BH33" i="35"/>
  <c r="BG33" i="35"/>
  <c r="BF33" i="35"/>
  <c r="BE33" i="35"/>
  <c r="BD33" i="35"/>
  <c r="BB33" i="35"/>
  <c r="BA33" i="35"/>
  <c r="AZ33" i="35"/>
  <c r="AY33" i="35"/>
  <c r="AX33" i="35"/>
  <c r="AW33" i="35"/>
  <c r="AV33" i="35"/>
  <c r="AU33" i="35"/>
  <c r="AT33" i="35"/>
  <c r="AS33" i="35"/>
  <c r="AR33" i="35"/>
  <c r="AQ33" i="35"/>
  <c r="AO33" i="35"/>
  <c r="AN33" i="35"/>
  <c r="AM33" i="35"/>
  <c r="AL33" i="35"/>
  <c r="AK33" i="35"/>
  <c r="AJ33" i="35"/>
  <c r="AI33" i="35"/>
  <c r="AH33" i="35"/>
  <c r="AG33" i="35"/>
  <c r="AF33" i="35"/>
  <c r="AE33" i="35"/>
  <c r="AD33" i="35"/>
  <c r="AB33" i="35"/>
  <c r="AA33" i="35"/>
  <c r="Z33" i="35"/>
  <c r="Y33" i="35"/>
  <c r="X33" i="35"/>
  <c r="W33" i="35"/>
  <c r="V33" i="35"/>
  <c r="U33" i="35"/>
  <c r="T33" i="35"/>
  <c r="S33" i="35"/>
  <c r="R33" i="35"/>
  <c r="Q33" i="35"/>
  <c r="O33" i="35"/>
  <c r="N33" i="35"/>
  <c r="M33" i="35"/>
  <c r="L33" i="35"/>
  <c r="K33" i="35"/>
  <c r="J33" i="35"/>
  <c r="I33" i="35"/>
  <c r="H33" i="35"/>
  <c r="G33" i="35"/>
  <c r="F33" i="35"/>
  <c r="E33" i="35"/>
  <c r="D33" i="35"/>
  <c r="BP2" i="35"/>
  <c r="BC2" i="35"/>
  <c r="AP2" i="35"/>
  <c r="AC2" i="35"/>
  <c r="P2" i="35"/>
  <c r="P1" i="35"/>
  <c r="M5" i="31"/>
  <c r="N5" i="31" s="1"/>
  <c r="Q5" i="31"/>
  <c r="R5" i="31" s="1"/>
  <c r="S5" i="31" s="1"/>
  <c r="T5" i="31" s="1"/>
  <c r="U5" i="31" s="1"/>
  <c r="V5" i="31" s="1"/>
  <c r="W5" i="31" s="1"/>
  <c r="K171" i="23"/>
  <c r="L171" i="23" s="1"/>
  <c r="M171" i="23" s="1"/>
  <c r="N171" i="23" s="1"/>
  <c r="O171" i="23" s="1"/>
  <c r="P171" i="23" s="1"/>
  <c r="K163" i="23"/>
  <c r="L163" i="23" s="1"/>
  <c r="M163" i="23" s="1"/>
  <c r="N163" i="23" s="1"/>
  <c r="O163" i="23" s="1"/>
  <c r="P163" i="23" s="1"/>
  <c r="H28" i="10"/>
  <c r="I28" i="10" s="1"/>
  <c r="J28" i="10" s="1"/>
  <c r="K28" i="10" s="1"/>
  <c r="L28" i="10" s="1"/>
  <c r="M28" i="10" s="1"/>
  <c r="N28" i="10" s="1"/>
  <c r="O28" i="10" s="1"/>
  <c r="P28" i="10" s="1"/>
  <c r="D78" i="34"/>
  <c r="D21" i="34" s="1"/>
  <c r="O28" i="20"/>
  <c r="O119" i="34" s="1"/>
  <c r="P28" i="20"/>
  <c r="M28" i="20"/>
  <c r="M119" i="34" s="1"/>
  <c r="N28" i="20"/>
  <c r="N119" i="34" s="1"/>
  <c r="K28" i="20"/>
  <c r="K119" i="34" s="1"/>
  <c r="L28" i="20"/>
  <c r="I28" i="20"/>
  <c r="I119" i="34" s="1"/>
  <c r="J28" i="20"/>
  <c r="J119" i="34" s="1"/>
  <c r="F28" i="20"/>
  <c r="F119" i="34" s="1"/>
  <c r="G28" i="20"/>
  <c r="G119" i="34" s="1"/>
  <c r="E28" i="20"/>
  <c r="E119" i="34" s="1"/>
  <c r="H28" i="20"/>
  <c r="H119" i="34" s="1"/>
  <c r="U28" i="20"/>
  <c r="V28" i="20"/>
  <c r="W28" i="20"/>
  <c r="O27" i="20"/>
  <c r="P27" i="20"/>
  <c r="M27" i="20"/>
  <c r="N27" i="20"/>
  <c r="K27" i="20"/>
  <c r="L27" i="20"/>
  <c r="I27" i="20"/>
  <c r="F27" i="20"/>
  <c r="G27" i="20"/>
  <c r="H27" i="20"/>
  <c r="E27" i="20"/>
  <c r="J27" i="20"/>
  <c r="S37" i="25"/>
  <c r="T37" i="25"/>
  <c r="U37" i="25"/>
  <c r="V37" i="25"/>
  <c r="W37" i="25"/>
  <c r="S30" i="25"/>
  <c r="T30" i="25"/>
  <c r="U30" i="25"/>
  <c r="V30" i="25"/>
  <c r="W30" i="25"/>
  <c r="S32" i="25"/>
  <c r="T32" i="25"/>
  <c r="U32" i="25"/>
  <c r="V32" i="25"/>
  <c r="W32" i="25"/>
  <c r="S18" i="25"/>
  <c r="T18" i="25"/>
  <c r="U18" i="25"/>
  <c r="V18" i="25"/>
  <c r="W18" i="25"/>
  <c r="S20" i="25"/>
  <c r="T20" i="25"/>
  <c r="U20" i="25"/>
  <c r="V20" i="25"/>
  <c r="W20" i="25"/>
  <c r="S33" i="34"/>
  <c r="S34" i="34"/>
  <c r="S36" i="34"/>
  <c r="S37" i="34"/>
  <c r="S43" i="34"/>
  <c r="T43" i="34"/>
  <c r="U43" i="34"/>
  <c r="V43" i="34"/>
  <c r="W43" i="34"/>
  <c r="S44" i="34"/>
  <c r="S48" i="34"/>
  <c r="T48" i="34"/>
  <c r="U48" i="34"/>
  <c r="V48" i="34"/>
  <c r="W48" i="34"/>
  <c r="S49" i="34"/>
  <c r="S55" i="34"/>
  <c r="S56" i="34"/>
  <c r="S62" i="34"/>
  <c r="S64" i="34"/>
  <c r="S65" i="34"/>
  <c r="S66" i="34"/>
  <c r="T66" i="34"/>
  <c r="U66" i="34"/>
  <c r="V66" i="34"/>
  <c r="W66" i="34"/>
  <c r="S67" i="34"/>
  <c r="T67" i="34"/>
  <c r="U67" i="34"/>
  <c r="V67" i="34"/>
  <c r="W67" i="34"/>
  <c r="S69" i="34"/>
  <c r="S73" i="34"/>
  <c r="T73" i="34"/>
  <c r="U73" i="34"/>
  <c r="V73" i="34"/>
  <c r="W73" i="34"/>
  <c r="S74" i="34"/>
  <c r="S75" i="34"/>
  <c r="S76" i="34"/>
  <c r="T76" i="34"/>
  <c r="U76" i="34"/>
  <c r="V76" i="34"/>
  <c r="W76" i="34"/>
  <c r="S77" i="34"/>
  <c r="T77" i="34"/>
  <c r="S79" i="34"/>
  <c r="S81" i="34"/>
  <c r="T81" i="34"/>
  <c r="U81" i="34"/>
  <c r="V81" i="34"/>
  <c r="W81" i="34"/>
  <c r="S82" i="34"/>
  <c r="S86" i="34"/>
  <c r="T86" i="34"/>
  <c r="U86" i="34"/>
  <c r="V86" i="34"/>
  <c r="W86" i="34"/>
  <c r="S93" i="34"/>
  <c r="S94" i="34"/>
  <c r="T94" i="34"/>
  <c r="U94" i="34"/>
  <c r="V94" i="34"/>
  <c r="W94" i="34"/>
  <c r="S97" i="34"/>
  <c r="S98" i="34"/>
  <c r="T98" i="34"/>
  <c r="U98" i="34"/>
  <c r="V98" i="34"/>
  <c r="W98" i="34"/>
  <c r="S100" i="34"/>
  <c r="T100" i="34"/>
  <c r="U100" i="34"/>
  <c r="V100" i="34"/>
  <c r="W100" i="34"/>
  <c r="S101" i="34"/>
  <c r="T101" i="34"/>
  <c r="U101" i="34"/>
  <c r="V101" i="34"/>
  <c r="W101" i="34"/>
  <c r="S102" i="34"/>
  <c r="T102" i="34"/>
  <c r="U102" i="34"/>
  <c r="V102" i="34"/>
  <c r="W102" i="34"/>
  <c r="S106" i="34"/>
  <c r="S107" i="34"/>
  <c r="T107" i="34"/>
  <c r="U107" i="34"/>
  <c r="V107" i="34"/>
  <c r="W107" i="34"/>
  <c r="S111" i="34"/>
  <c r="T111" i="34"/>
  <c r="U111" i="34"/>
  <c r="V111" i="34"/>
  <c r="W111" i="34"/>
  <c r="S113" i="34"/>
  <c r="T113" i="34"/>
  <c r="U113" i="34"/>
  <c r="V113" i="34"/>
  <c r="W113" i="34"/>
  <c r="S116" i="34"/>
  <c r="T116" i="34"/>
  <c r="U116" i="34"/>
  <c r="V116" i="34"/>
  <c r="W116" i="34"/>
  <c r="S117" i="34"/>
  <c r="T117" i="34"/>
  <c r="U117" i="34"/>
  <c r="V117" i="34"/>
  <c r="W117" i="34"/>
  <c r="S118" i="34"/>
  <c r="T118" i="34"/>
  <c r="U118" i="34"/>
  <c r="V118" i="34"/>
  <c r="W118" i="34"/>
  <c r="S124" i="34"/>
  <c r="T124" i="34"/>
  <c r="U124" i="34"/>
  <c r="V124" i="34"/>
  <c r="W124" i="34"/>
  <c r="D59" i="34"/>
  <c r="D18" i="34" s="1"/>
  <c r="O20" i="20"/>
  <c r="P20" i="20"/>
  <c r="M20" i="20"/>
  <c r="N20" i="20"/>
  <c r="K20" i="20"/>
  <c r="L20" i="20"/>
  <c r="I20" i="20"/>
  <c r="J20" i="20"/>
  <c r="F20" i="20"/>
  <c r="F78" i="34" s="1"/>
  <c r="G20" i="20"/>
  <c r="G78" i="34" s="1"/>
  <c r="E20" i="20"/>
  <c r="E78" i="34" s="1"/>
  <c r="H20" i="20"/>
  <c r="H78" i="34" s="1"/>
  <c r="P19" i="20"/>
  <c r="O19" i="20"/>
  <c r="W63" i="34" s="1"/>
  <c r="N19" i="20"/>
  <c r="M19" i="20"/>
  <c r="V63" i="34" s="1"/>
  <c r="L19" i="20"/>
  <c r="K19" i="20"/>
  <c r="J19" i="20"/>
  <c r="I19" i="20"/>
  <c r="T63" i="34" s="1"/>
  <c r="H19" i="20"/>
  <c r="G19" i="20"/>
  <c r="F19" i="20"/>
  <c r="E19" i="20"/>
  <c r="E18" i="20"/>
  <c r="E61" i="25" s="1"/>
  <c r="E24" i="25" s="1"/>
  <c r="R18" i="20"/>
  <c r="P18" i="20"/>
  <c r="N18" i="20"/>
  <c r="L18" i="20"/>
  <c r="L61" i="25" s="1"/>
  <c r="L24" i="25" s="1"/>
  <c r="J18" i="20"/>
  <c r="J61" i="25" s="1"/>
  <c r="J24" i="25" s="1"/>
  <c r="H18" i="20"/>
  <c r="H61" i="25" s="1"/>
  <c r="H24" i="25" s="1"/>
  <c r="D35" i="34"/>
  <c r="D10" i="34" s="1"/>
  <c r="E32" i="34"/>
  <c r="F32" i="34"/>
  <c r="G32" i="34"/>
  <c r="H32" i="34"/>
  <c r="D32" i="34"/>
  <c r="BO107" i="29"/>
  <c r="BN107" i="29"/>
  <c r="BM107" i="29"/>
  <c r="BL107" i="29"/>
  <c r="BK107" i="29"/>
  <c r="BJ107" i="29"/>
  <c r="BI107" i="29"/>
  <c r="BH107" i="29"/>
  <c r="BG107" i="29"/>
  <c r="BF107" i="29"/>
  <c r="BE107" i="29"/>
  <c r="BD107" i="29"/>
  <c r="BP107" i="29" s="1"/>
  <c r="BO106" i="29"/>
  <c r="BN106" i="29"/>
  <c r="BM106" i="29"/>
  <c r="BL106" i="29"/>
  <c r="BK106" i="29"/>
  <c r="BJ106" i="29"/>
  <c r="BI106" i="29"/>
  <c r="BH106" i="29"/>
  <c r="BG106" i="29"/>
  <c r="BF106" i="29"/>
  <c r="BE106" i="29"/>
  <c r="BD106" i="29"/>
  <c r="BP106" i="29" s="1"/>
  <c r="BO105" i="29"/>
  <c r="BN105" i="29"/>
  <c r="BM105" i="29"/>
  <c r="BL105" i="29"/>
  <c r="BK105" i="29"/>
  <c r="BJ105" i="29"/>
  <c r="BI105" i="29"/>
  <c r="BH105" i="29"/>
  <c r="BG105" i="29"/>
  <c r="BF105" i="29"/>
  <c r="BE105" i="29"/>
  <c r="BD105" i="29"/>
  <c r="BP105" i="29" s="1"/>
  <c r="BO104" i="29"/>
  <c r="BN104" i="29"/>
  <c r="BM104" i="29"/>
  <c r="BL104" i="29"/>
  <c r="BK104" i="29"/>
  <c r="BJ104" i="29"/>
  <c r="BI104" i="29"/>
  <c r="BH104" i="29"/>
  <c r="BG104" i="29"/>
  <c r="BF104" i="29"/>
  <c r="BE104" i="29"/>
  <c r="BD104" i="29"/>
  <c r="BP104" i="29" s="1"/>
  <c r="BO103" i="29"/>
  <c r="BN103" i="29"/>
  <c r="BM103" i="29"/>
  <c r="BL103" i="29"/>
  <c r="BK103" i="29"/>
  <c r="BJ103" i="29"/>
  <c r="BI103" i="29"/>
  <c r="BH103" i="29"/>
  <c r="BG103" i="29"/>
  <c r="BF103" i="29"/>
  <c r="BE103" i="29"/>
  <c r="BD103" i="29"/>
  <c r="BP103" i="29" s="1"/>
  <c r="BO102" i="29"/>
  <c r="BN102" i="29"/>
  <c r="BM102" i="29"/>
  <c r="BL102" i="29"/>
  <c r="BK102" i="29"/>
  <c r="BJ102" i="29"/>
  <c r="BI102" i="29"/>
  <c r="BH102" i="29"/>
  <c r="BG102" i="29"/>
  <c r="BF102" i="29"/>
  <c r="BE102" i="29"/>
  <c r="BD102" i="29"/>
  <c r="BO101" i="29"/>
  <c r="BN101" i="29"/>
  <c r="BM101" i="29"/>
  <c r="BL101" i="29"/>
  <c r="BK101" i="29"/>
  <c r="BJ101" i="29"/>
  <c r="BI101" i="29"/>
  <c r="BH101" i="29"/>
  <c r="BG101" i="29"/>
  <c r="BF101" i="29"/>
  <c r="BE101" i="29"/>
  <c r="BD101" i="29"/>
  <c r="BO100" i="29"/>
  <c r="BN100" i="29"/>
  <c r="BM100" i="29"/>
  <c r="BL100" i="29"/>
  <c r="BK100" i="29"/>
  <c r="BJ100" i="29"/>
  <c r="BI100" i="29"/>
  <c r="BH100" i="29"/>
  <c r="BG100" i="29"/>
  <c r="BF100" i="29"/>
  <c r="BE100" i="29"/>
  <c r="BD100" i="29"/>
  <c r="BO99" i="29"/>
  <c r="BN99" i="29"/>
  <c r="BM99" i="29"/>
  <c r="BL99" i="29"/>
  <c r="BK99" i="29"/>
  <c r="BJ99" i="29"/>
  <c r="BI99" i="29"/>
  <c r="BH99" i="29"/>
  <c r="BG99" i="29"/>
  <c r="BF99" i="29"/>
  <c r="BE99" i="29"/>
  <c r="BD99" i="29"/>
  <c r="BP99" i="29" s="1"/>
  <c r="BO97" i="29"/>
  <c r="BN97" i="29"/>
  <c r="BM97" i="29"/>
  <c r="BL97" i="29"/>
  <c r="BK97" i="29"/>
  <c r="BJ97" i="29"/>
  <c r="BI97" i="29"/>
  <c r="BH97" i="29"/>
  <c r="BG97" i="29"/>
  <c r="BF97" i="29"/>
  <c r="BE97" i="29"/>
  <c r="BD97" i="29"/>
  <c r="BP97" i="29" s="1"/>
  <c r="BO95" i="29"/>
  <c r="BN95" i="29"/>
  <c r="BM95" i="29"/>
  <c r="BL95" i="29"/>
  <c r="BK95" i="29"/>
  <c r="BJ95" i="29"/>
  <c r="BI95" i="29"/>
  <c r="BH95" i="29"/>
  <c r="BG95" i="29"/>
  <c r="BF95" i="29"/>
  <c r="BE95" i="29"/>
  <c r="BD95" i="29"/>
  <c r="BP95" i="29" s="1"/>
  <c r="BO94" i="29"/>
  <c r="BN94" i="29"/>
  <c r="BM94" i="29"/>
  <c r="BL94" i="29"/>
  <c r="BK94" i="29"/>
  <c r="BJ94" i="29"/>
  <c r="BI94" i="29"/>
  <c r="BH94" i="29"/>
  <c r="BG94" i="29"/>
  <c r="BF94" i="29"/>
  <c r="BE94" i="29"/>
  <c r="BD94" i="29"/>
  <c r="BP94" i="29" s="1"/>
  <c r="BO93" i="29"/>
  <c r="BN93" i="29"/>
  <c r="BM93" i="29"/>
  <c r="BL93" i="29"/>
  <c r="BK93" i="29"/>
  <c r="BJ93" i="29"/>
  <c r="BI93" i="29"/>
  <c r="BH93" i="29"/>
  <c r="BG93" i="29"/>
  <c r="BF93" i="29"/>
  <c r="BE93" i="29"/>
  <c r="BD93" i="29"/>
  <c r="BO92" i="29"/>
  <c r="BN92" i="29"/>
  <c r="BM92" i="29"/>
  <c r="BL92" i="29"/>
  <c r="BK92" i="29"/>
  <c r="BJ92" i="29"/>
  <c r="BI92" i="29"/>
  <c r="BH92" i="29"/>
  <c r="BG92" i="29"/>
  <c r="BF92" i="29"/>
  <c r="BE92" i="29"/>
  <c r="BD92" i="29"/>
  <c r="BO91" i="29"/>
  <c r="BN91" i="29"/>
  <c r="BM91" i="29"/>
  <c r="BL91" i="29"/>
  <c r="BK91" i="29"/>
  <c r="BJ91" i="29"/>
  <c r="BI91" i="29"/>
  <c r="BH91" i="29"/>
  <c r="BG91" i="29"/>
  <c r="BF91" i="29"/>
  <c r="BE91" i="29"/>
  <c r="BD91" i="29"/>
  <c r="BO88" i="29"/>
  <c r="BN88" i="29"/>
  <c r="BM88" i="29"/>
  <c r="BL88" i="29"/>
  <c r="BK88" i="29"/>
  <c r="BJ88" i="29"/>
  <c r="BI88" i="29"/>
  <c r="BH88" i="29"/>
  <c r="BG88" i="29"/>
  <c r="BF88" i="29"/>
  <c r="BE88" i="29"/>
  <c r="BD88" i="29"/>
  <c r="BP88" i="29" s="1"/>
  <c r="BO87" i="29"/>
  <c r="BN87" i="29"/>
  <c r="BM87" i="29"/>
  <c r="BL87" i="29"/>
  <c r="BK87" i="29"/>
  <c r="BJ87" i="29"/>
  <c r="BI87" i="29"/>
  <c r="BH87" i="29"/>
  <c r="BG87" i="29"/>
  <c r="BF87" i="29"/>
  <c r="BE87" i="29"/>
  <c r="BD87" i="29"/>
  <c r="BP87" i="29" s="1"/>
  <c r="BO82" i="29"/>
  <c r="BN82" i="29"/>
  <c r="BM82" i="29"/>
  <c r="BL82" i="29"/>
  <c r="BK82" i="29"/>
  <c r="BJ82" i="29"/>
  <c r="BI82" i="29"/>
  <c r="BH82" i="29"/>
  <c r="BG82" i="29"/>
  <c r="BF82" i="29"/>
  <c r="BE82" i="29"/>
  <c r="BD82" i="29"/>
  <c r="BP82" i="29" s="1"/>
  <c r="BO81" i="29"/>
  <c r="BN81" i="29"/>
  <c r="BM81" i="29"/>
  <c r="BL81" i="29"/>
  <c r="BK81" i="29"/>
  <c r="BJ81" i="29"/>
  <c r="BI81" i="29"/>
  <c r="BH81" i="29"/>
  <c r="BG81" i="29"/>
  <c r="BF81" i="29"/>
  <c r="BE81" i="29"/>
  <c r="BD81" i="29"/>
  <c r="BP81" i="29" s="1"/>
  <c r="BO80" i="29"/>
  <c r="BN80" i="29"/>
  <c r="BM80" i="29"/>
  <c r="BL80" i="29"/>
  <c r="BK80" i="29"/>
  <c r="BJ80" i="29"/>
  <c r="BI80" i="29"/>
  <c r="BH80" i="29"/>
  <c r="BG80" i="29"/>
  <c r="BF80" i="29"/>
  <c r="BE80" i="29"/>
  <c r="BD80" i="29"/>
  <c r="BP80" i="29" s="1"/>
  <c r="BB107" i="29"/>
  <c r="BA107" i="29"/>
  <c r="AZ107" i="29"/>
  <c r="AY107" i="29"/>
  <c r="AX107" i="29"/>
  <c r="AW107" i="29"/>
  <c r="AV107" i="29"/>
  <c r="AU107" i="29"/>
  <c r="AT107" i="29"/>
  <c r="AS107" i="29"/>
  <c r="AR107" i="29"/>
  <c r="AQ107" i="29"/>
  <c r="BC107" i="29" s="1"/>
  <c r="BB106" i="29"/>
  <c r="BA106" i="29"/>
  <c r="AZ106" i="29"/>
  <c r="AY106" i="29"/>
  <c r="AX106" i="29"/>
  <c r="AW106" i="29"/>
  <c r="AV106" i="29"/>
  <c r="AU106" i="29"/>
  <c r="AT106" i="29"/>
  <c r="AS106" i="29"/>
  <c r="AR106" i="29"/>
  <c r="AQ106" i="29"/>
  <c r="BC106" i="29" s="1"/>
  <c r="BB105" i="29"/>
  <c r="BA105" i="29"/>
  <c r="AZ105" i="29"/>
  <c r="AY105" i="29"/>
  <c r="AX105" i="29"/>
  <c r="AW105" i="29"/>
  <c r="AV105" i="29"/>
  <c r="AU105" i="29"/>
  <c r="AT105" i="29"/>
  <c r="AS105" i="29"/>
  <c r="AR105" i="29"/>
  <c r="AQ105" i="29"/>
  <c r="BC105" i="29" s="1"/>
  <c r="BB104" i="29"/>
  <c r="BA104" i="29"/>
  <c r="AZ104" i="29"/>
  <c r="AY104" i="29"/>
  <c r="AX104" i="29"/>
  <c r="AW104" i="29"/>
  <c r="AV104" i="29"/>
  <c r="AU104" i="29"/>
  <c r="AT104" i="29"/>
  <c r="AS104" i="29"/>
  <c r="AR104" i="29"/>
  <c r="AQ104" i="29"/>
  <c r="BC104" i="29" s="1"/>
  <c r="BB103" i="29"/>
  <c r="BA103" i="29"/>
  <c r="AZ103" i="29"/>
  <c r="AY103" i="29"/>
  <c r="AX103" i="29"/>
  <c r="AW103" i="29"/>
  <c r="AV103" i="29"/>
  <c r="AU103" i="29"/>
  <c r="AT103" i="29"/>
  <c r="AS103" i="29"/>
  <c r="AR103" i="29"/>
  <c r="AQ103" i="29"/>
  <c r="BC103" i="29" s="1"/>
  <c r="BB102" i="29"/>
  <c r="BA102" i="29"/>
  <c r="AZ102" i="29"/>
  <c r="AY102" i="29"/>
  <c r="AX102" i="29"/>
  <c r="AW102" i="29"/>
  <c r="AV102" i="29"/>
  <c r="AU102" i="29"/>
  <c r="AT102" i="29"/>
  <c r="AS102" i="29"/>
  <c r="AR102" i="29"/>
  <c r="AQ102" i="29"/>
  <c r="BB101" i="29"/>
  <c r="BA101" i="29"/>
  <c r="AZ101" i="29"/>
  <c r="AY101" i="29"/>
  <c r="AX101" i="29"/>
  <c r="AW101" i="29"/>
  <c r="AV101" i="29"/>
  <c r="AU101" i="29"/>
  <c r="AT101" i="29"/>
  <c r="AS101" i="29"/>
  <c r="AR101" i="29"/>
  <c r="AQ101" i="29"/>
  <c r="BB100" i="29"/>
  <c r="BA100" i="29"/>
  <c r="AZ100" i="29"/>
  <c r="AY100" i="29"/>
  <c r="AX100" i="29"/>
  <c r="AW100" i="29"/>
  <c r="AV100" i="29"/>
  <c r="AU100" i="29"/>
  <c r="AT100" i="29"/>
  <c r="AS100" i="29"/>
  <c r="AR100" i="29"/>
  <c r="AQ100" i="29"/>
  <c r="BB99" i="29"/>
  <c r="BA99" i="29"/>
  <c r="AZ99" i="29"/>
  <c r="AY99" i="29"/>
  <c r="AX99" i="29"/>
  <c r="AW99" i="29"/>
  <c r="AV99" i="29"/>
  <c r="AU99" i="29"/>
  <c r="AT99" i="29"/>
  <c r="AS99" i="29"/>
  <c r="AR99" i="29"/>
  <c r="AQ99" i="29"/>
  <c r="BC99" i="29" s="1"/>
  <c r="BB97" i="29"/>
  <c r="BA97" i="29"/>
  <c r="AZ97" i="29"/>
  <c r="AY97" i="29"/>
  <c r="AX97" i="29"/>
  <c r="AW97" i="29"/>
  <c r="AV97" i="29"/>
  <c r="AU97" i="29"/>
  <c r="AT97" i="29"/>
  <c r="AS97" i="29"/>
  <c r="AR97" i="29"/>
  <c r="AQ97" i="29"/>
  <c r="BC97" i="29" s="1"/>
  <c r="BB95" i="29"/>
  <c r="BA95" i="29"/>
  <c r="AZ95" i="29"/>
  <c r="AY95" i="29"/>
  <c r="AX95" i="29"/>
  <c r="AW95" i="29"/>
  <c r="AV95" i="29"/>
  <c r="AU95" i="29"/>
  <c r="AT95" i="29"/>
  <c r="AS95" i="29"/>
  <c r="AR95" i="29"/>
  <c r="AQ95" i="29"/>
  <c r="BC95" i="29" s="1"/>
  <c r="BB94" i="29"/>
  <c r="BA94" i="29"/>
  <c r="AZ94" i="29"/>
  <c r="AY94" i="29"/>
  <c r="AX94" i="29"/>
  <c r="AW94" i="29"/>
  <c r="AV94" i="29"/>
  <c r="AU94" i="29"/>
  <c r="AT94" i="29"/>
  <c r="AS94" i="29"/>
  <c r="AR94" i="29"/>
  <c r="AQ94" i="29"/>
  <c r="BC94" i="29" s="1"/>
  <c r="BB93" i="29"/>
  <c r="BA93" i="29"/>
  <c r="AZ93" i="29"/>
  <c r="AY93" i="29"/>
  <c r="AX93" i="29"/>
  <c r="AW93" i="29"/>
  <c r="AV93" i="29"/>
  <c r="AU93" i="29"/>
  <c r="AT93" i="29"/>
  <c r="AS93" i="29"/>
  <c r="AR93" i="29"/>
  <c r="AQ93" i="29"/>
  <c r="BB92" i="29"/>
  <c r="BA92" i="29"/>
  <c r="AZ92" i="29"/>
  <c r="AY92" i="29"/>
  <c r="AX92" i="29"/>
  <c r="AW92" i="29"/>
  <c r="AV92" i="29"/>
  <c r="AU92" i="29"/>
  <c r="AT92" i="29"/>
  <c r="AS92" i="29"/>
  <c r="AR92" i="29"/>
  <c r="AQ92" i="29"/>
  <c r="BB91" i="29"/>
  <c r="BA91" i="29"/>
  <c r="AZ91" i="29"/>
  <c r="AY91" i="29"/>
  <c r="AX91" i="29"/>
  <c r="AW91" i="29"/>
  <c r="AV91" i="29"/>
  <c r="AU91" i="29"/>
  <c r="AT91" i="29"/>
  <c r="AS91" i="29"/>
  <c r="AR91" i="29"/>
  <c r="AQ91" i="29"/>
  <c r="BB88" i="29"/>
  <c r="BA88" i="29"/>
  <c r="AZ88" i="29"/>
  <c r="AY88" i="29"/>
  <c r="AX88" i="29"/>
  <c r="AW88" i="29"/>
  <c r="AV88" i="29"/>
  <c r="AU88" i="29"/>
  <c r="AT88" i="29"/>
  <c r="AS88" i="29"/>
  <c r="AR88" i="29"/>
  <c r="AQ88" i="29"/>
  <c r="BC88" i="29" s="1"/>
  <c r="BB87" i="29"/>
  <c r="BA87" i="29"/>
  <c r="AZ87" i="29"/>
  <c r="AY87" i="29"/>
  <c r="AX87" i="29"/>
  <c r="AW87" i="29"/>
  <c r="AV87" i="29"/>
  <c r="AU87" i="29"/>
  <c r="AT87" i="29"/>
  <c r="AS87" i="29"/>
  <c r="AR87" i="29"/>
  <c r="AQ87" i="29"/>
  <c r="BC87" i="29" s="1"/>
  <c r="BB82" i="29"/>
  <c r="BA82" i="29"/>
  <c r="AZ82" i="29"/>
  <c r="AY82" i="29"/>
  <c r="AX82" i="29"/>
  <c r="AW82" i="29"/>
  <c r="AV82" i="29"/>
  <c r="AU82" i="29"/>
  <c r="AT82" i="29"/>
  <c r="AS82" i="29"/>
  <c r="AR82" i="29"/>
  <c r="AQ82" i="29"/>
  <c r="BB81" i="29"/>
  <c r="BA81" i="29"/>
  <c r="AZ81" i="29"/>
  <c r="AY81" i="29"/>
  <c r="AX81" i="29"/>
  <c r="AW81" i="29"/>
  <c r="AV81" i="29"/>
  <c r="AU81" i="29"/>
  <c r="AT81" i="29"/>
  <c r="AS81" i="29"/>
  <c r="AR81" i="29"/>
  <c r="AQ81" i="29"/>
  <c r="BC81" i="29" s="1"/>
  <c r="BB80" i="29"/>
  <c r="BA80" i="29"/>
  <c r="AZ80" i="29"/>
  <c r="AY80" i="29"/>
  <c r="AX80" i="29"/>
  <c r="AW80" i="29"/>
  <c r="AV80" i="29"/>
  <c r="AU80" i="29"/>
  <c r="AT80" i="29"/>
  <c r="AS80" i="29"/>
  <c r="AR80" i="29"/>
  <c r="AQ80" i="29"/>
  <c r="BC80" i="29" s="1"/>
  <c r="AO107" i="29"/>
  <c r="AN107" i="29"/>
  <c r="AM107" i="29"/>
  <c r="AL107" i="29"/>
  <c r="AK107" i="29"/>
  <c r="AJ107" i="29"/>
  <c r="AI107" i="29"/>
  <c r="AH107" i="29"/>
  <c r="AG107" i="29"/>
  <c r="AF107" i="29"/>
  <c r="AE107" i="29"/>
  <c r="AD107" i="29"/>
  <c r="AP107" i="29" s="1"/>
  <c r="AO106" i="29"/>
  <c r="AN106" i="29"/>
  <c r="AM106" i="29"/>
  <c r="AL106" i="29"/>
  <c r="AK106" i="29"/>
  <c r="AJ106" i="29"/>
  <c r="AI106" i="29"/>
  <c r="AH106" i="29"/>
  <c r="AG106" i="29"/>
  <c r="AF106" i="29"/>
  <c r="AE106" i="29"/>
  <c r="AD106" i="29"/>
  <c r="AP106" i="29" s="1"/>
  <c r="AO105" i="29"/>
  <c r="AN105" i="29"/>
  <c r="AM105" i="29"/>
  <c r="AL105" i="29"/>
  <c r="AK105" i="29"/>
  <c r="AJ105" i="29"/>
  <c r="AI105" i="29"/>
  <c r="AH105" i="29"/>
  <c r="AG105" i="29"/>
  <c r="AF105" i="29"/>
  <c r="AE105" i="29"/>
  <c r="AD105" i="29"/>
  <c r="AP105" i="29" s="1"/>
  <c r="AO104" i="29"/>
  <c r="AN104" i="29"/>
  <c r="AM104" i="29"/>
  <c r="AL104" i="29"/>
  <c r="AK104" i="29"/>
  <c r="AJ104" i="29"/>
  <c r="AI104" i="29"/>
  <c r="AH104" i="29"/>
  <c r="AG104" i="29"/>
  <c r="AF104" i="29"/>
  <c r="AE104" i="29"/>
  <c r="AD104" i="29"/>
  <c r="AP104" i="29" s="1"/>
  <c r="AO103" i="29"/>
  <c r="AN103" i="29"/>
  <c r="AM103" i="29"/>
  <c r="AL103" i="29"/>
  <c r="AK103" i="29"/>
  <c r="AJ103" i="29"/>
  <c r="AI103" i="29"/>
  <c r="AH103" i="29"/>
  <c r="AG103" i="29"/>
  <c r="AF103" i="29"/>
  <c r="AE103" i="29"/>
  <c r="AD103" i="29"/>
  <c r="AP103" i="29" s="1"/>
  <c r="AO102" i="29"/>
  <c r="AN102" i="29"/>
  <c r="AM102" i="29"/>
  <c r="AL102" i="29"/>
  <c r="AK102" i="29"/>
  <c r="AJ102" i="29"/>
  <c r="AI102" i="29"/>
  <c r="AH102" i="29"/>
  <c r="AG102" i="29"/>
  <c r="AF102" i="29"/>
  <c r="AE102" i="29"/>
  <c r="AD102" i="29"/>
  <c r="AO101" i="29"/>
  <c r="AN101" i="29"/>
  <c r="AM101" i="29"/>
  <c r="AL101" i="29"/>
  <c r="AK101" i="29"/>
  <c r="AJ101" i="29"/>
  <c r="AI101" i="29"/>
  <c r="AH101" i="29"/>
  <c r="AG101" i="29"/>
  <c r="AF101" i="29"/>
  <c r="AE101" i="29"/>
  <c r="AD101" i="29"/>
  <c r="AO100" i="29"/>
  <c r="AN100" i="29"/>
  <c r="AM100" i="29"/>
  <c r="AL100" i="29"/>
  <c r="AK100" i="29"/>
  <c r="AJ100" i="29"/>
  <c r="AI100" i="29"/>
  <c r="AH100" i="29"/>
  <c r="AG100" i="29"/>
  <c r="AF100" i="29"/>
  <c r="AE100" i="29"/>
  <c r="AD100" i="29"/>
  <c r="AO99" i="29"/>
  <c r="AN99" i="29"/>
  <c r="AM99" i="29"/>
  <c r="AL99" i="29"/>
  <c r="AK99" i="29"/>
  <c r="AJ99" i="29"/>
  <c r="AI99" i="29"/>
  <c r="AH99" i="29"/>
  <c r="AG99" i="29"/>
  <c r="AF99" i="29"/>
  <c r="AE99" i="29"/>
  <c r="AD99" i="29"/>
  <c r="AP99" i="29" s="1"/>
  <c r="AO97" i="29"/>
  <c r="AN97" i="29"/>
  <c r="AM97" i="29"/>
  <c r="AL97" i="29"/>
  <c r="AK97" i="29"/>
  <c r="AJ97" i="29"/>
  <c r="AI97" i="29"/>
  <c r="AH97" i="29"/>
  <c r="AG97" i="29"/>
  <c r="AF97" i="29"/>
  <c r="AE97" i="29"/>
  <c r="AD97" i="29"/>
  <c r="AP97" i="29" s="1"/>
  <c r="AO95" i="29"/>
  <c r="AN95" i="29"/>
  <c r="AM95" i="29"/>
  <c r="AL95" i="29"/>
  <c r="AK95" i="29"/>
  <c r="AJ95" i="29"/>
  <c r="AI95" i="29"/>
  <c r="AH95" i="29"/>
  <c r="AG95" i="29"/>
  <c r="AF95" i="29"/>
  <c r="AE95" i="29"/>
  <c r="AD95" i="29"/>
  <c r="AP95" i="29" s="1"/>
  <c r="AO94" i="29"/>
  <c r="AN94" i="29"/>
  <c r="AM94" i="29"/>
  <c r="AL94" i="29"/>
  <c r="AK94" i="29"/>
  <c r="AJ94" i="29"/>
  <c r="AI94" i="29"/>
  <c r="AH94" i="29"/>
  <c r="AG94" i="29"/>
  <c r="AF94" i="29"/>
  <c r="AE94" i="29"/>
  <c r="AD94" i="29"/>
  <c r="AO93" i="29"/>
  <c r="AN93" i="29"/>
  <c r="AM93" i="29"/>
  <c r="AL93" i="29"/>
  <c r="AK93" i="29"/>
  <c r="AJ93" i="29"/>
  <c r="AI93" i="29"/>
  <c r="AH93" i="29"/>
  <c r="AG93" i="29"/>
  <c r="AF93" i="29"/>
  <c r="AE93" i="29"/>
  <c r="AD93" i="29"/>
  <c r="AO92" i="29"/>
  <c r="AN92" i="29"/>
  <c r="AM92" i="29"/>
  <c r="AL92" i="29"/>
  <c r="AK92" i="29"/>
  <c r="AJ92" i="29"/>
  <c r="AI92" i="29"/>
  <c r="AH92" i="29"/>
  <c r="AG92" i="29"/>
  <c r="AF92" i="29"/>
  <c r="AE92" i="29"/>
  <c r="AD92" i="29"/>
  <c r="AO91" i="29"/>
  <c r="AN91" i="29"/>
  <c r="AM91" i="29"/>
  <c r="AL91" i="29"/>
  <c r="AK91" i="29"/>
  <c r="AJ91" i="29"/>
  <c r="AI91" i="29"/>
  <c r="AH91" i="29"/>
  <c r="AG91" i="29"/>
  <c r="AF91" i="29"/>
  <c r="AE91" i="29"/>
  <c r="AD91" i="29"/>
  <c r="AO88" i="29"/>
  <c r="AN88" i="29"/>
  <c r="AM88" i="29"/>
  <c r="AL88" i="29"/>
  <c r="AK88" i="29"/>
  <c r="AJ88" i="29"/>
  <c r="AI88" i="29"/>
  <c r="AH88" i="29"/>
  <c r="AG88" i="29"/>
  <c r="AF88" i="29"/>
  <c r="AE88" i="29"/>
  <c r="AD88" i="29"/>
  <c r="AP88" i="29" s="1"/>
  <c r="AO87" i="29"/>
  <c r="AN87" i="29"/>
  <c r="AM87" i="29"/>
  <c r="AL87" i="29"/>
  <c r="AK87" i="29"/>
  <c r="AJ87" i="29"/>
  <c r="AI87" i="29"/>
  <c r="AH87" i="29"/>
  <c r="AG87" i="29"/>
  <c r="AF87" i="29"/>
  <c r="AE87" i="29"/>
  <c r="AD87" i="29"/>
  <c r="AP87" i="29" s="1"/>
  <c r="AO82" i="29"/>
  <c r="AN82" i="29"/>
  <c r="AM82" i="29"/>
  <c r="AL82" i="29"/>
  <c r="AK82" i="29"/>
  <c r="AJ82" i="29"/>
  <c r="AI82" i="29"/>
  <c r="AH82" i="29"/>
  <c r="AG82" i="29"/>
  <c r="AF82" i="29"/>
  <c r="AE82" i="29"/>
  <c r="AD82" i="29"/>
  <c r="AP82" i="29" s="1"/>
  <c r="AO81" i="29"/>
  <c r="AN81" i="29"/>
  <c r="AM81" i="29"/>
  <c r="AL81" i="29"/>
  <c r="AK81" i="29"/>
  <c r="AJ81" i="29"/>
  <c r="AI81" i="29"/>
  <c r="AH81" i="29"/>
  <c r="AG81" i="29"/>
  <c r="AF81" i="29"/>
  <c r="AE81" i="29"/>
  <c r="AD81" i="29"/>
  <c r="AP81" i="29" s="1"/>
  <c r="AO80" i="29"/>
  <c r="AN80" i="29"/>
  <c r="AM80" i="29"/>
  <c r="AL80" i="29"/>
  <c r="AK80" i="29"/>
  <c r="AJ80" i="29"/>
  <c r="AI80" i="29"/>
  <c r="AH80" i="29"/>
  <c r="AG80" i="29"/>
  <c r="AF80" i="29"/>
  <c r="AE80" i="29"/>
  <c r="AD80" i="29"/>
  <c r="AP80" i="29" s="1"/>
  <c r="AB107" i="29"/>
  <c r="AA107" i="29"/>
  <c r="Z107" i="29"/>
  <c r="Y107" i="29"/>
  <c r="X107" i="29"/>
  <c r="W107" i="29"/>
  <c r="V107" i="29"/>
  <c r="U107" i="29"/>
  <c r="T107" i="29"/>
  <c r="S107" i="29"/>
  <c r="R107" i="29"/>
  <c r="Q107" i="29"/>
  <c r="AC107" i="29" s="1"/>
  <c r="AB106" i="29"/>
  <c r="AA106" i="29"/>
  <c r="Z106" i="29"/>
  <c r="Y106" i="29"/>
  <c r="X106" i="29"/>
  <c r="W106" i="29"/>
  <c r="V106" i="29"/>
  <c r="U106" i="29"/>
  <c r="T106" i="29"/>
  <c r="S106" i="29"/>
  <c r="R106" i="29"/>
  <c r="Q106" i="29"/>
  <c r="AC106" i="29" s="1"/>
  <c r="AB105" i="29"/>
  <c r="AA105" i="29"/>
  <c r="Z105" i="29"/>
  <c r="Y105" i="29"/>
  <c r="X105" i="29"/>
  <c r="W105" i="29"/>
  <c r="V105" i="29"/>
  <c r="U105" i="29"/>
  <c r="T105" i="29"/>
  <c r="S105" i="29"/>
  <c r="R105" i="29"/>
  <c r="Q105" i="29"/>
  <c r="AC105" i="29" s="1"/>
  <c r="AB104" i="29"/>
  <c r="AA104" i="29"/>
  <c r="Z104" i="29"/>
  <c r="Y104" i="29"/>
  <c r="X104" i="29"/>
  <c r="W104" i="29"/>
  <c r="V104" i="29"/>
  <c r="U104" i="29"/>
  <c r="T104" i="29"/>
  <c r="S104" i="29"/>
  <c r="R104" i="29"/>
  <c r="Q104" i="29"/>
  <c r="AC104" i="29" s="1"/>
  <c r="AB103" i="29"/>
  <c r="AA103" i="29"/>
  <c r="Z103" i="29"/>
  <c r="Y103" i="29"/>
  <c r="X103" i="29"/>
  <c r="W103" i="29"/>
  <c r="V103" i="29"/>
  <c r="U103" i="29"/>
  <c r="T103" i="29"/>
  <c r="S103" i="29"/>
  <c r="R103" i="29"/>
  <c r="Q103" i="29"/>
  <c r="AC103" i="29" s="1"/>
  <c r="AB102" i="29"/>
  <c r="AA102" i="29"/>
  <c r="Z102" i="29"/>
  <c r="Y102" i="29"/>
  <c r="X102" i="29"/>
  <c r="W102" i="29"/>
  <c r="V102" i="29"/>
  <c r="U102" i="29"/>
  <c r="T102" i="29"/>
  <c r="S102" i="29"/>
  <c r="R102" i="29"/>
  <c r="Q102" i="29"/>
  <c r="AB101" i="29"/>
  <c r="AA101" i="29"/>
  <c r="Z101" i="29"/>
  <c r="Y101" i="29"/>
  <c r="X101" i="29"/>
  <c r="W101" i="29"/>
  <c r="V101" i="29"/>
  <c r="U101" i="29"/>
  <c r="T101" i="29"/>
  <c r="S101" i="29"/>
  <c r="R101" i="29"/>
  <c r="Q101" i="29"/>
  <c r="AB100" i="29"/>
  <c r="AA100" i="29"/>
  <c r="Z100" i="29"/>
  <c r="Y100" i="29"/>
  <c r="X100" i="29"/>
  <c r="W100" i="29"/>
  <c r="V100" i="29"/>
  <c r="U100" i="29"/>
  <c r="T100" i="29"/>
  <c r="S100" i="29"/>
  <c r="R100" i="29"/>
  <c r="Q100" i="29"/>
  <c r="AB99" i="29"/>
  <c r="AA99" i="29"/>
  <c r="Z99" i="29"/>
  <c r="Y99" i="29"/>
  <c r="X99" i="29"/>
  <c r="W99" i="29"/>
  <c r="V99" i="29"/>
  <c r="U99" i="29"/>
  <c r="T99" i="29"/>
  <c r="S99" i="29"/>
  <c r="R99" i="29"/>
  <c r="Q99" i="29"/>
  <c r="AC99" i="29" s="1"/>
  <c r="AB97" i="29"/>
  <c r="AA97" i="29"/>
  <c r="Z97" i="29"/>
  <c r="Y97" i="29"/>
  <c r="X97" i="29"/>
  <c r="W97" i="29"/>
  <c r="V97" i="29"/>
  <c r="U97" i="29"/>
  <c r="T97" i="29"/>
  <c r="S97" i="29"/>
  <c r="R97" i="29"/>
  <c r="Q97" i="29"/>
  <c r="AC97" i="29" s="1"/>
  <c r="AB95" i="29"/>
  <c r="AA95" i="29"/>
  <c r="Z95" i="29"/>
  <c r="Y95" i="29"/>
  <c r="X95" i="29"/>
  <c r="W95" i="29"/>
  <c r="V95" i="29"/>
  <c r="U95" i="29"/>
  <c r="T95" i="29"/>
  <c r="S95" i="29"/>
  <c r="R95" i="29"/>
  <c r="Q95" i="29"/>
  <c r="AB94" i="29"/>
  <c r="AA94" i="29"/>
  <c r="Z94" i="29"/>
  <c r="Y94" i="29"/>
  <c r="X94" i="29"/>
  <c r="W94" i="29"/>
  <c r="V94" i="29"/>
  <c r="U94" i="29"/>
  <c r="T94" i="29"/>
  <c r="S94" i="29"/>
  <c r="R94" i="29"/>
  <c r="Q94" i="29"/>
  <c r="AB93" i="29"/>
  <c r="AA93" i="29"/>
  <c r="Z93" i="29"/>
  <c r="Y93" i="29"/>
  <c r="X93" i="29"/>
  <c r="W93" i="29"/>
  <c r="V93" i="29"/>
  <c r="U93" i="29"/>
  <c r="T93" i="29"/>
  <c r="S93" i="29"/>
  <c r="R93" i="29"/>
  <c r="Q93" i="29"/>
  <c r="AB92" i="29"/>
  <c r="AA92" i="29"/>
  <c r="Z92" i="29"/>
  <c r="Y92" i="29"/>
  <c r="X92" i="29"/>
  <c r="W92" i="29"/>
  <c r="V92" i="29"/>
  <c r="U92" i="29"/>
  <c r="T92" i="29"/>
  <c r="S92" i="29"/>
  <c r="R92" i="29"/>
  <c r="Q92" i="29"/>
  <c r="AB91" i="29"/>
  <c r="AA91" i="29"/>
  <c r="Z91" i="29"/>
  <c r="Y91" i="29"/>
  <c r="X91" i="29"/>
  <c r="W91" i="29"/>
  <c r="V91" i="29"/>
  <c r="U91" i="29"/>
  <c r="T91" i="29"/>
  <c r="S91" i="29"/>
  <c r="R91" i="29"/>
  <c r="Q91" i="29"/>
  <c r="AB88" i="29"/>
  <c r="AA88" i="29"/>
  <c r="Z88" i="29"/>
  <c r="Y88" i="29"/>
  <c r="X88" i="29"/>
  <c r="W88" i="29"/>
  <c r="V88" i="29"/>
  <c r="U88" i="29"/>
  <c r="T88" i="29"/>
  <c r="S88" i="29"/>
  <c r="R88" i="29"/>
  <c r="Q88" i="29"/>
  <c r="AC88" i="29" s="1"/>
  <c r="AB87" i="29"/>
  <c r="AA87" i="29"/>
  <c r="Z87" i="29"/>
  <c r="Y87" i="29"/>
  <c r="X87" i="29"/>
  <c r="W87" i="29"/>
  <c r="V87" i="29"/>
  <c r="U87" i="29"/>
  <c r="T87" i="29"/>
  <c r="S87" i="29"/>
  <c r="R87" i="29"/>
  <c r="Q87" i="29"/>
  <c r="AC87" i="29" s="1"/>
  <c r="AB82" i="29"/>
  <c r="AA82" i="29"/>
  <c r="Z82" i="29"/>
  <c r="Y82" i="29"/>
  <c r="X82" i="29"/>
  <c r="W82" i="29"/>
  <c r="V82" i="29"/>
  <c r="U82" i="29"/>
  <c r="T82" i="29"/>
  <c r="S82" i="29"/>
  <c r="R82" i="29"/>
  <c r="Q82" i="29"/>
  <c r="AC82" i="29" s="1"/>
  <c r="AB81" i="29"/>
  <c r="AA81" i="29"/>
  <c r="Z81" i="29"/>
  <c r="Y81" i="29"/>
  <c r="X81" i="29"/>
  <c r="W81" i="29"/>
  <c r="V81" i="29"/>
  <c r="U81" i="29"/>
  <c r="T81" i="29"/>
  <c r="S81" i="29"/>
  <c r="R81" i="29"/>
  <c r="Q81" i="29"/>
  <c r="AC81" i="29" s="1"/>
  <c r="AB80" i="29"/>
  <c r="AA80" i="29"/>
  <c r="Z80" i="29"/>
  <c r="Y80" i="29"/>
  <c r="X80" i="29"/>
  <c r="W80" i="29"/>
  <c r="V80" i="29"/>
  <c r="U80" i="29"/>
  <c r="T80" i="29"/>
  <c r="S80" i="29"/>
  <c r="R80" i="29"/>
  <c r="Q80" i="29"/>
  <c r="AC80" i="29" s="1"/>
  <c r="E80" i="29"/>
  <c r="F80" i="29"/>
  <c r="G80" i="29"/>
  <c r="H80" i="29"/>
  <c r="I80" i="29"/>
  <c r="J80" i="29"/>
  <c r="K80" i="29"/>
  <c r="L80" i="29"/>
  <c r="M80" i="29"/>
  <c r="N80" i="29"/>
  <c r="O80" i="29"/>
  <c r="E81" i="29"/>
  <c r="F81" i="29"/>
  <c r="G81" i="29"/>
  <c r="H81" i="29"/>
  <c r="I81" i="29"/>
  <c r="J81" i="29"/>
  <c r="K81" i="29"/>
  <c r="L81" i="29"/>
  <c r="M81" i="29"/>
  <c r="N81" i="29"/>
  <c r="O81" i="29"/>
  <c r="E82" i="29"/>
  <c r="F82" i="29"/>
  <c r="G82" i="29"/>
  <c r="H82" i="29"/>
  <c r="I82" i="29"/>
  <c r="J82" i="29"/>
  <c r="K82" i="29"/>
  <c r="L82" i="29"/>
  <c r="M82" i="29"/>
  <c r="N82" i="29"/>
  <c r="O82" i="29"/>
  <c r="E87" i="29"/>
  <c r="F87" i="29"/>
  <c r="G87" i="29"/>
  <c r="H87" i="29"/>
  <c r="I87" i="29"/>
  <c r="J87" i="29"/>
  <c r="K87" i="29"/>
  <c r="L87" i="29"/>
  <c r="M87" i="29"/>
  <c r="N87" i="29"/>
  <c r="O87" i="29"/>
  <c r="E88" i="29"/>
  <c r="F88" i="29"/>
  <c r="G88" i="29"/>
  <c r="H88" i="29"/>
  <c r="I88" i="29"/>
  <c r="J88" i="29"/>
  <c r="K88" i="29"/>
  <c r="L88" i="29"/>
  <c r="M88" i="29"/>
  <c r="N88" i="29"/>
  <c r="O88" i="29"/>
  <c r="E91" i="29"/>
  <c r="F91" i="29"/>
  <c r="G91" i="29"/>
  <c r="H91" i="29"/>
  <c r="I91" i="29"/>
  <c r="J91" i="29"/>
  <c r="K91" i="29"/>
  <c r="L91" i="29"/>
  <c r="M91" i="29"/>
  <c r="N91" i="29"/>
  <c r="O91" i="29"/>
  <c r="E92" i="29"/>
  <c r="F92" i="29"/>
  <c r="G92" i="29"/>
  <c r="H92" i="29"/>
  <c r="I92" i="29"/>
  <c r="J92" i="29"/>
  <c r="K92" i="29"/>
  <c r="L92" i="29"/>
  <c r="M92" i="29"/>
  <c r="N92" i="29"/>
  <c r="O92" i="29"/>
  <c r="E93" i="29"/>
  <c r="F93" i="29"/>
  <c r="G93" i="29"/>
  <c r="H93" i="29"/>
  <c r="I93" i="29"/>
  <c r="J93" i="29"/>
  <c r="K93" i="29"/>
  <c r="L93" i="29"/>
  <c r="M93" i="29"/>
  <c r="N93" i="29"/>
  <c r="O93" i="29"/>
  <c r="E94" i="29"/>
  <c r="F94" i="29"/>
  <c r="G94" i="29"/>
  <c r="H94" i="29"/>
  <c r="I94" i="29"/>
  <c r="J94" i="29"/>
  <c r="K94" i="29"/>
  <c r="L94" i="29"/>
  <c r="M94" i="29"/>
  <c r="N94" i="29"/>
  <c r="O94" i="29"/>
  <c r="E95" i="29"/>
  <c r="F95" i="29"/>
  <c r="G95" i="29"/>
  <c r="H95" i="29"/>
  <c r="I95" i="29"/>
  <c r="J95" i="29"/>
  <c r="K95" i="29"/>
  <c r="L95" i="29"/>
  <c r="M95" i="29"/>
  <c r="N95" i="29"/>
  <c r="O95" i="29"/>
  <c r="E97" i="29"/>
  <c r="F97" i="29"/>
  <c r="G97" i="29"/>
  <c r="H97" i="29"/>
  <c r="I97" i="29"/>
  <c r="J97" i="29"/>
  <c r="K97" i="29"/>
  <c r="L97" i="29"/>
  <c r="M97" i="29"/>
  <c r="N97" i="29"/>
  <c r="O97" i="29"/>
  <c r="E99" i="29"/>
  <c r="F99" i="29"/>
  <c r="G99" i="29"/>
  <c r="H99" i="29"/>
  <c r="I99" i="29"/>
  <c r="J99" i="29"/>
  <c r="K99" i="29"/>
  <c r="L99" i="29"/>
  <c r="M99" i="29"/>
  <c r="N99" i="29"/>
  <c r="O99" i="29"/>
  <c r="E100" i="29"/>
  <c r="F100" i="29"/>
  <c r="G100" i="29"/>
  <c r="H100" i="29"/>
  <c r="I100" i="29"/>
  <c r="J100" i="29"/>
  <c r="K100" i="29"/>
  <c r="L100" i="29"/>
  <c r="M100" i="29"/>
  <c r="N100" i="29"/>
  <c r="O100" i="29"/>
  <c r="E101" i="29"/>
  <c r="F101" i="29"/>
  <c r="G101" i="29"/>
  <c r="H101" i="29"/>
  <c r="I101" i="29"/>
  <c r="J101" i="29"/>
  <c r="K101" i="29"/>
  <c r="L101" i="29"/>
  <c r="M101" i="29"/>
  <c r="N101" i="29"/>
  <c r="O101" i="29"/>
  <c r="E102" i="29"/>
  <c r="F102" i="29"/>
  <c r="G102" i="29"/>
  <c r="H102" i="29"/>
  <c r="I102" i="29"/>
  <c r="J102" i="29"/>
  <c r="K102" i="29"/>
  <c r="L102" i="29"/>
  <c r="M102" i="29"/>
  <c r="N102" i="29"/>
  <c r="O102" i="29"/>
  <c r="E103" i="29"/>
  <c r="F103" i="29"/>
  <c r="G103" i="29"/>
  <c r="H103" i="29"/>
  <c r="I103" i="29"/>
  <c r="J103" i="29"/>
  <c r="K103" i="29"/>
  <c r="L103" i="29"/>
  <c r="M103" i="29"/>
  <c r="N103" i="29"/>
  <c r="O103" i="29"/>
  <c r="E104" i="29"/>
  <c r="F104" i="29"/>
  <c r="G104" i="29"/>
  <c r="H104" i="29"/>
  <c r="I104" i="29"/>
  <c r="J104" i="29"/>
  <c r="K104" i="29"/>
  <c r="L104" i="29"/>
  <c r="M104" i="29"/>
  <c r="N104" i="29"/>
  <c r="O104" i="29"/>
  <c r="E105" i="29"/>
  <c r="F105" i="29"/>
  <c r="G105" i="29"/>
  <c r="H105" i="29"/>
  <c r="I105" i="29"/>
  <c r="J105" i="29"/>
  <c r="K105" i="29"/>
  <c r="L105" i="29"/>
  <c r="M105" i="29"/>
  <c r="N105" i="29"/>
  <c r="O105" i="29"/>
  <c r="E106" i="29"/>
  <c r="F106" i="29"/>
  <c r="G106" i="29"/>
  <c r="H106" i="29"/>
  <c r="I106" i="29"/>
  <c r="J106" i="29"/>
  <c r="K106" i="29"/>
  <c r="L106" i="29"/>
  <c r="M106" i="29"/>
  <c r="N106" i="29"/>
  <c r="O106" i="29"/>
  <c r="E107" i="29"/>
  <c r="F107" i="29"/>
  <c r="G107" i="29"/>
  <c r="H107" i="29"/>
  <c r="I107" i="29"/>
  <c r="J107" i="29"/>
  <c r="K107" i="29"/>
  <c r="L107" i="29"/>
  <c r="M107" i="29"/>
  <c r="N107" i="29"/>
  <c r="O107" i="29"/>
  <c r="D80" i="29"/>
  <c r="D81" i="29"/>
  <c r="D82" i="29"/>
  <c r="D87" i="29"/>
  <c r="D88" i="29"/>
  <c r="D91" i="29"/>
  <c r="D92" i="29"/>
  <c r="D93" i="29"/>
  <c r="D94" i="29"/>
  <c r="D95" i="29"/>
  <c r="D97" i="29"/>
  <c r="D99" i="29"/>
  <c r="D100" i="29"/>
  <c r="D101" i="29"/>
  <c r="D102" i="29"/>
  <c r="D103" i="29"/>
  <c r="D104" i="29"/>
  <c r="D105" i="29"/>
  <c r="D106" i="29"/>
  <c r="D107" i="29"/>
  <c r="P107" i="29"/>
  <c r="D71" i="34"/>
  <c r="D19" i="34" s="1"/>
  <c r="I50" i="25"/>
  <c r="I16" i="25" s="1"/>
  <c r="D17" i="25"/>
  <c r="D16" i="25"/>
  <c r="E16" i="25"/>
  <c r="F16" i="25"/>
  <c r="G16" i="25"/>
  <c r="H16" i="25"/>
  <c r="S16" i="25" s="1"/>
  <c r="C98" i="36" s="1"/>
  <c r="I82" i="34"/>
  <c r="I56" i="34"/>
  <c r="I37" i="34"/>
  <c r="I34" i="34"/>
  <c r="E54" i="34"/>
  <c r="F54" i="34"/>
  <c r="G54" i="34"/>
  <c r="H54" i="34"/>
  <c r="D54" i="34"/>
  <c r="D16" i="34" s="1"/>
  <c r="R13" i="10"/>
  <c r="BS16" i="28"/>
  <c r="F86" i="25" s="1"/>
  <c r="BR16" i="28"/>
  <c r="E86" i="25" s="1"/>
  <c r="J20" i="28"/>
  <c r="K20" i="28" s="1"/>
  <c r="L20" i="28" s="1"/>
  <c r="M20" i="28" s="1"/>
  <c r="N20" i="28" s="1"/>
  <c r="O20" i="28" s="1"/>
  <c r="BR88" i="28"/>
  <c r="BS88" i="28"/>
  <c r="BT88" i="28"/>
  <c r="BU88" i="28"/>
  <c r="BV88" i="28"/>
  <c r="BW88" i="28"/>
  <c r="BX88" i="28"/>
  <c r="BY88" i="28"/>
  <c r="BZ88" i="28"/>
  <c r="CA88" i="28"/>
  <c r="CB88" i="28"/>
  <c r="CC88" i="28"/>
  <c r="BR89" i="28"/>
  <c r="BS89" i="28"/>
  <c r="BT89" i="28"/>
  <c r="BU89" i="28"/>
  <c r="BV89" i="28"/>
  <c r="BW89" i="28"/>
  <c r="BX89" i="28"/>
  <c r="BY89" i="28"/>
  <c r="BZ89" i="28"/>
  <c r="CA89" i="28"/>
  <c r="CB89" i="28"/>
  <c r="CC89" i="28"/>
  <c r="BR90" i="28"/>
  <c r="BS90" i="28"/>
  <c r="BT90" i="28"/>
  <c r="BU90" i="28"/>
  <c r="BV90" i="28"/>
  <c r="BW90" i="28"/>
  <c r="BX90" i="28"/>
  <c r="BY90" i="28"/>
  <c r="BZ90" i="28"/>
  <c r="CA90" i="28"/>
  <c r="CB90" i="28"/>
  <c r="CC90" i="28"/>
  <c r="BR96" i="28"/>
  <c r="BS96" i="28"/>
  <c r="BT96" i="28"/>
  <c r="BU96" i="28"/>
  <c r="BV96" i="28"/>
  <c r="BW96" i="28"/>
  <c r="BX96" i="28"/>
  <c r="BY96" i="28"/>
  <c r="BZ96" i="28"/>
  <c r="CA96" i="28"/>
  <c r="CB96" i="28"/>
  <c r="CC96" i="28"/>
  <c r="BR97" i="28"/>
  <c r="BS97" i="28"/>
  <c r="BT97" i="28"/>
  <c r="BU97" i="28"/>
  <c r="BV97" i="28"/>
  <c r="BW97" i="28"/>
  <c r="BX97" i="28"/>
  <c r="BY97" i="28"/>
  <c r="BZ97" i="28"/>
  <c r="CA97" i="28"/>
  <c r="CB97" i="28"/>
  <c r="CC97" i="28"/>
  <c r="BR99" i="28"/>
  <c r="BS99" i="28"/>
  <c r="BT99" i="28"/>
  <c r="BU99" i="28"/>
  <c r="BV99" i="28"/>
  <c r="BW99" i="28"/>
  <c r="BX99" i="28"/>
  <c r="BY99" i="28"/>
  <c r="BZ99" i="28"/>
  <c r="CA99" i="28"/>
  <c r="CB99" i="28"/>
  <c r="CC99" i="28"/>
  <c r="BR100" i="28"/>
  <c r="BS100" i="28"/>
  <c r="BT100" i="28"/>
  <c r="BU100" i="28"/>
  <c r="BV100" i="28"/>
  <c r="BW100" i="28"/>
  <c r="BX100" i="28"/>
  <c r="BY100" i="28"/>
  <c r="BZ100" i="28"/>
  <c r="CA100" i="28"/>
  <c r="CB100" i="28"/>
  <c r="CC100" i="28"/>
  <c r="BR102" i="28"/>
  <c r="BS102" i="28"/>
  <c r="BT102" i="28"/>
  <c r="BU102" i="28"/>
  <c r="BV102" i="28"/>
  <c r="BW102" i="28"/>
  <c r="BX102" i="28"/>
  <c r="BY102" i="28"/>
  <c r="BZ102" i="28"/>
  <c r="CA102" i="28"/>
  <c r="CB102" i="28"/>
  <c r="CC102" i="28"/>
  <c r="BR112" i="28"/>
  <c r="BS112" i="28"/>
  <c r="BT112" i="28"/>
  <c r="BU112" i="28"/>
  <c r="BV112" i="28"/>
  <c r="BW112" i="28"/>
  <c r="BX112" i="28"/>
  <c r="BY112" i="28"/>
  <c r="BZ112" i="28"/>
  <c r="CA112" i="28"/>
  <c r="CB112" i="28"/>
  <c r="CC112" i="28"/>
  <c r="BR113" i="28"/>
  <c r="BS113" i="28"/>
  <c r="BT113" i="28"/>
  <c r="BU113" i="28"/>
  <c r="BV113" i="28"/>
  <c r="BW113" i="28"/>
  <c r="BX113" i="28"/>
  <c r="BY113" i="28"/>
  <c r="BZ113" i="28"/>
  <c r="CA113" i="28"/>
  <c r="CB113" i="28"/>
  <c r="CC113" i="28"/>
  <c r="BP113" i="28"/>
  <c r="BC113" i="28"/>
  <c r="AP113" i="28"/>
  <c r="AC113" i="28"/>
  <c r="P113" i="28"/>
  <c r="BP112" i="28"/>
  <c r="BC112" i="28"/>
  <c r="AP112" i="28"/>
  <c r="AC112" i="28"/>
  <c r="P112" i="28"/>
  <c r="BP102" i="28"/>
  <c r="BC102" i="28"/>
  <c r="AP102" i="28"/>
  <c r="AC102" i="28"/>
  <c r="P102" i="28"/>
  <c r="BP100" i="28"/>
  <c r="BC100" i="28"/>
  <c r="AP100" i="28"/>
  <c r="AC100" i="28"/>
  <c r="P100" i="28"/>
  <c r="BP99" i="28"/>
  <c r="BC99" i="28"/>
  <c r="AP99" i="28"/>
  <c r="AC99" i="28"/>
  <c r="P99" i="28"/>
  <c r="BP97" i="28"/>
  <c r="BC97" i="28"/>
  <c r="AP97" i="28"/>
  <c r="AC97" i="28"/>
  <c r="P97" i="28"/>
  <c r="BP96" i="28"/>
  <c r="BC96" i="28"/>
  <c r="AP96" i="28"/>
  <c r="AC96" i="28"/>
  <c r="P96" i="28"/>
  <c r="BP90" i="28"/>
  <c r="BC90" i="28"/>
  <c r="AP90" i="28"/>
  <c r="AC90" i="28"/>
  <c r="P90" i="28"/>
  <c r="BP89" i="28"/>
  <c r="BC89" i="28"/>
  <c r="AP89" i="28"/>
  <c r="AC89" i="28"/>
  <c r="P89" i="28"/>
  <c r="BP88" i="28"/>
  <c r="BC88" i="28"/>
  <c r="AP88" i="28"/>
  <c r="AC88" i="28"/>
  <c r="P88" i="28"/>
  <c r="E52" i="34"/>
  <c r="F52" i="34"/>
  <c r="F51" i="34" s="1"/>
  <c r="F14" i="34" s="1"/>
  <c r="D52" i="34"/>
  <c r="D51" i="34" s="1"/>
  <c r="D14" i="34" s="1"/>
  <c r="R20" i="10"/>
  <c r="R21" i="10"/>
  <c r="E46" i="34"/>
  <c r="F46" i="34"/>
  <c r="D46" i="34"/>
  <c r="R19" i="10"/>
  <c r="R18" i="10"/>
  <c r="E41" i="34"/>
  <c r="F41" i="34"/>
  <c r="D41" i="34"/>
  <c r="R17" i="10"/>
  <c r="R16" i="10"/>
  <c r="E62" i="25"/>
  <c r="E26" i="25" s="1"/>
  <c r="F62" i="25"/>
  <c r="F26" i="25" s="1"/>
  <c r="D62" i="25"/>
  <c r="D26" i="25" s="1"/>
  <c r="D23" i="25" s="1"/>
  <c r="P99" i="34"/>
  <c r="O99" i="34"/>
  <c r="W99" i="34" s="1"/>
  <c r="N99" i="34"/>
  <c r="M99" i="34"/>
  <c r="V99" i="34" s="1"/>
  <c r="L99" i="34"/>
  <c r="K99" i="34"/>
  <c r="U99" i="34" s="1"/>
  <c r="J99" i="34"/>
  <c r="I99" i="34"/>
  <c r="T99" i="34" s="1"/>
  <c r="H99" i="34"/>
  <c r="G99" i="34"/>
  <c r="F99" i="34"/>
  <c r="E99" i="34"/>
  <c r="S99" i="34" s="1"/>
  <c r="D99" i="34"/>
  <c r="D90" i="34"/>
  <c r="D20" i="34"/>
  <c r="E20" i="34"/>
  <c r="F20" i="34"/>
  <c r="G20" i="34"/>
  <c r="H20" i="34"/>
  <c r="I20" i="34"/>
  <c r="J20" i="34"/>
  <c r="D27" i="34"/>
  <c r="E27" i="34"/>
  <c r="F27" i="34"/>
  <c r="G27" i="34"/>
  <c r="H27" i="34"/>
  <c r="I27" i="34"/>
  <c r="J27" i="34"/>
  <c r="K27" i="34"/>
  <c r="L27" i="34"/>
  <c r="M27" i="34"/>
  <c r="N27" i="34"/>
  <c r="O27" i="34"/>
  <c r="P27" i="34"/>
  <c r="C73" i="36"/>
  <c r="D73" i="36"/>
  <c r="E73" i="36"/>
  <c r="F73" i="36"/>
  <c r="G73" i="36"/>
  <c r="C77" i="36"/>
  <c r="D77" i="36"/>
  <c r="E77" i="36"/>
  <c r="F77" i="36"/>
  <c r="G77" i="36"/>
  <c r="E17" i="25"/>
  <c r="F17" i="25"/>
  <c r="G17" i="25"/>
  <c r="H17" i="25"/>
  <c r="S17" i="25" s="1"/>
  <c r="C99" i="36" s="1"/>
  <c r="I17" i="25"/>
  <c r="E28" i="25"/>
  <c r="F28" i="25"/>
  <c r="G28" i="25"/>
  <c r="H28" i="25"/>
  <c r="I28" i="25"/>
  <c r="D12" i="25"/>
  <c r="D13" i="25"/>
  <c r="D11" i="25"/>
  <c r="D14" i="25"/>
  <c r="D19" i="25"/>
  <c r="D28" i="25"/>
  <c r="D31" i="25"/>
  <c r="D35" i="25"/>
  <c r="D105" i="25"/>
  <c r="D101" i="25"/>
  <c r="D80" i="25"/>
  <c r="D93" i="25" s="1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P101" i="25"/>
  <c r="O101" i="25"/>
  <c r="N101" i="25"/>
  <c r="M101" i="25"/>
  <c r="L101" i="25"/>
  <c r="K101" i="25"/>
  <c r="J101" i="25"/>
  <c r="I101" i="25"/>
  <c r="H101" i="25"/>
  <c r="G101" i="25"/>
  <c r="F101" i="25"/>
  <c r="E101" i="25"/>
  <c r="E75" i="25"/>
  <c r="F75" i="25"/>
  <c r="G75" i="25"/>
  <c r="H75" i="25"/>
  <c r="I75" i="25"/>
  <c r="J75" i="25"/>
  <c r="K75" i="25"/>
  <c r="L75" i="25"/>
  <c r="M75" i="25"/>
  <c r="N75" i="25"/>
  <c r="O75" i="25"/>
  <c r="P75" i="25"/>
  <c r="D75" i="25"/>
  <c r="D65" i="25"/>
  <c r="D33" i="25" s="1"/>
  <c r="D42" i="25"/>
  <c r="D9" i="25" s="1"/>
  <c r="E13" i="20"/>
  <c r="F13" i="20"/>
  <c r="G13" i="20"/>
  <c r="H13" i="20"/>
  <c r="S13" i="20" s="1"/>
  <c r="C94" i="36" s="1"/>
  <c r="I13" i="20"/>
  <c r="P13" i="20"/>
  <c r="W13" i="20" s="1"/>
  <c r="D13" i="20"/>
  <c r="R13" i="20" s="1"/>
  <c r="R25" i="21"/>
  <c r="S25" i="21"/>
  <c r="W25" i="21"/>
  <c r="R26" i="21"/>
  <c r="S26" i="21"/>
  <c r="T26" i="21"/>
  <c r="R27" i="21"/>
  <c r="S27" i="21"/>
  <c r="T27" i="21"/>
  <c r="D30" i="21"/>
  <c r="D16" i="21"/>
  <c r="D8" i="21"/>
  <c r="D11" i="21"/>
  <c r="D24" i="21" s="1"/>
  <c r="D8" i="10" s="1"/>
  <c r="P8" i="21"/>
  <c r="N8" i="21"/>
  <c r="L8" i="21"/>
  <c r="J8" i="21"/>
  <c r="H8" i="21"/>
  <c r="H9" i="21" s="1"/>
  <c r="D4" i="33"/>
  <c r="F4" i="33"/>
  <c r="H4" i="33"/>
  <c r="D5" i="33"/>
  <c r="F5" i="33"/>
  <c r="H5" i="33"/>
  <c r="D6" i="33"/>
  <c r="F6" i="33"/>
  <c r="H6" i="33"/>
  <c r="D7" i="33"/>
  <c r="F7" i="33"/>
  <c r="H7" i="33"/>
  <c r="D8" i="33"/>
  <c r="F8" i="33"/>
  <c r="H8" i="33"/>
  <c r="D9" i="33"/>
  <c r="F9" i="33"/>
  <c r="H9" i="33"/>
  <c r="D10" i="33"/>
  <c r="F10" i="33"/>
  <c r="H10" i="33"/>
  <c r="D11" i="33"/>
  <c r="F11" i="33"/>
  <c r="H11" i="33"/>
  <c r="D12" i="33"/>
  <c r="F12" i="33"/>
  <c r="H12" i="33"/>
  <c r="D13" i="33"/>
  <c r="F13" i="33"/>
  <c r="H13" i="33"/>
  <c r="D14" i="33"/>
  <c r="F14" i="33"/>
  <c r="H14" i="33"/>
  <c r="D15" i="33"/>
  <c r="F15" i="33"/>
  <c r="H15" i="33"/>
  <c r="D16" i="33"/>
  <c r="F16" i="33"/>
  <c r="H16" i="33"/>
  <c r="D17" i="33"/>
  <c r="F17" i="33"/>
  <c r="H17" i="33"/>
  <c r="D18" i="33"/>
  <c r="F18" i="33"/>
  <c r="H18" i="33"/>
  <c r="D19" i="33"/>
  <c r="F19" i="33"/>
  <c r="H19" i="33"/>
  <c r="D20" i="33"/>
  <c r="F20" i="33"/>
  <c r="H20" i="33"/>
  <c r="D21" i="33"/>
  <c r="F21" i="33"/>
  <c r="H21" i="33"/>
  <c r="D22" i="33"/>
  <c r="F22" i="33"/>
  <c r="H22" i="33"/>
  <c r="D23" i="33"/>
  <c r="F23" i="33"/>
  <c r="H23" i="33"/>
  <c r="D24" i="33"/>
  <c r="F24" i="33"/>
  <c r="H24" i="33"/>
  <c r="D25" i="33"/>
  <c r="F25" i="33"/>
  <c r="H25" i="33"/>
  <c r="D26" i="33"/>
  <c r="F26" i="33"/>
  <c r="H26" i="33"/>
  <c r="D27" i="33"/>
  <c r="F27" i="33"/>
  <c r="H27" i="33"/>
  <c r="D28" i="33"/>
  <c r="F28" i="33"/>
  <c r="H28" i="33"/>
  <c r="D29" i="33"/>
  <c r="F29" i="33"/>
  <c r="H29" i="33"/>
  <c r="D30" i="33"/>
  <c r="F30" i="33"/>
  <c r="H30" i="33"/>
  <c r="D31" i="33"/>
  <c r="F31" i="33"/>
  <c r="H31" i="33"/>
  <c r="D32" i="33"/>
  <c r="F32" i="33"/>
  <c r="H32" i="33"/>
  <c r="D33" i="33"/>
  <c r="F33" i="33"/>
  <c r="H33" i="33"/>
  <c r="D34" i="33"/>
  <c r="F34" i="33"/>
  <c r="H34" i="33"/>
  <c r="D35" i="33"/>
  <c r="F35" i="33"/>
  <c r="H35" i="33"/>
  <c r="D36" i="33"/>
  <c r="F36" i="33"/>
  <c r="H36" i="33"/>
  <c r="D37" i="33"/>
  <c r="F37" i="33"/>
  <c r="H37" i="33"/>
  <c r="D38" i="33"/>
  <c r="F38" i="33"/>
  <c r="H38" i="33"/>
  <c r="D39" i="33"/>
  <c r="F39" i="33"/>
  <c r="H39" i="33"/>
  <c r="D40" i="33"/>
  <c r="F40" i="33"/>
  <c r="H40" i="33"/>
  <c r="D41" i="33"/>
  <c r="F41" i="33"/>
  <c r="H41" i="33"/>
  <c r="D42" i="33"/>
  <c r="F42" i="33"/>
  <c r="H42" i="33"/>
  <c r="D43" i="33"/>
  <c r="F43" i="33"/>
  <c r="H43" i="33"/>
  <c r="D44" i="33"/>
  <c r="F44" i="33"/>
  <c r="H44" i="33"/>
  <c r="D45" i="33"/>
  <c r="F45" i="33"/>
  <c r="H45" i="33"/>
  <c r="D46" i="33"/>
  <c r="F46" i="33"/>
  <c r="H46" i="33"/>
  <c r="D47" i="33"/>
  <c r="F47" i="33"/>
  <c r="H47" i="33"/>
  <c r="D48" i="33"/>
  <c r="F48" i="33"/>
  <c r="H48" i="33"/>
  <c r="D49" i="33"/>
  <c r="F49" i="33"/>
  <c r="H49" i="33"/>
  <c r="D50" i="33"/>
  <c r="F50" i="33"/>
  <c r="H50" i="33"/>
  <c r="B51" i="33"/>
  <c r="C51" i="33"/>
  <c r="D51" i="33"/>
  <c r="E51" i="33"/>
  <c r="F51" i="33"/>
  <c r="F53" i="33" s="1"/>
  <c r="G51" i="33"/>
  <c r="H51" i="33"/>
  <c r="H53" i="33" s="1"/>
  <c r="I51" i="33"/>
  <c r="B53" i="33"/>
  <c r="D53" i="33"/>
  <c r="P56" i="33"/>
  <c r="AC56" i="33"/>
  <c r="AP56" i="33" s="1"/>
  <c r="BC56" i="33" s="1"/>
  <c r="BP56" i="33" s="1"/>
  <c r="P65" i="33"/>
  <c r="AC65" i="33" s="1"/>
  <c r="AP65" i="33" s="1"/>
  <c r="BC65" i="33" s="1"/>
  <c r="BP65" i="33" s="1"/>
  <c r="P1" i="32"/>
  <c r="AC1" i="32"/>
  <c r="AP1" i="32"/>
  <c r="BC1" i="32"/>
  <c r="BP1" i="32"/>
  <c r="D16" i="32"/>
  <c r="E16" i="32" s="1"/>
  <c r="F16" i="32" s="1"/>
  <c r="G16" i="32" s="1"/>
  <c r="H16" i="32" s="1"/>
  <c r="I16" i="32" s="1"/>
  <c r="J16" i="32" s="1"/>
  <c r="K16" i="32" s="1"/>
  <c r="L16" i="32" s="1"/>
  <c r="M16" i="32" s="1"/>
  <c r="N16" i="32" s="1"/>
  <c r="O16" i="32" s="1"/>
  <c r="AC16" i="32"/>
  <c r="AQ16" i="32"/>
  <c r="AR16" i="32"/>
  <c r="AS16" i="32"/>
  <c r="AT16" i="32" s="1"/>
  <c r="AU16" i="32" s="1"/>
  <c r="AV16" i="32" s="1"/>
  <c r="AW16" i="32" s="1"/>
  <c r="AX16" i="32" s="1"/>
  <c r="AY16" i="32" s="1"/>
  <c r="AZ16" i="32" s="1"/>
  <c r="BA16" i="32" s="1"/>
  <c r="BB16" i="32" s="1"/>
  <c r="BD16" i="32"/>
  <c r="BE16" i="32" s="1"/>
  <c r="BF16" i="32" s="1"/>
  <c r="BG16" i="32" s="1"/>
  <c r="BH16" i="32" s="1"/>
  <c r="BI16" i="32" s="1"/>
  <c r="BJ16" i="32" s="1"/>
  <c r="BK16" i="32" s="1"/>
  <c r="BL16" i="32" s="1"/>
  <c r="BM16" i="32" s="1"/>
  <c r="BN16" i="32" s="1"/>
  <c r="BO16" i="32" s="1"/>
  <c r="D17" i="32"/>
  <c r="E17" i="32" s="1"/>
  <c r="F17" i="32" s="1"/>
  <c r="G17" i="32" s="1"/>
  <c r="H17" i="32" s="1"/>
  <c r="I17" i="32" s="1"/>
  <c r="J17" i="32" s="1"/>
  <c r="K17" i="32" s="1"/>
  <c r="L17" i="32" s="1"/>
  <c r="M17" i="32" s="1"/>
  <c r="N17" i="32" s="1"/>
  <c r="O17" i="32" s="1"/>
  <c r="AC17" i="32"/>
  <c r="Q17" i="32" s="1"/>
  <c r="R17" i="32" s="1"/>
  <c r="S17" i="32" s="1"/>
  <c r="T17" i="32" s="1"/>
  <c r="U17" i="32" s="1"/>
  <c r="V17" i="32" s="1"/>
  <c r="W17" i="32" s="1"/>
  <c r="X17" i="32" s="1"/>
  <c r="Y17" i="32" s="1"/>
  <c r="Z17" i="32" s="1"/>
  <c r="AA17" i="32" s="1"/>
  <c r="AB17" i="32" s="1"/>
  <c r="AP17" i="32"/>
  <c r="AD17" i="32" s="1"/>
  <c r="AE17" i="32" s="1"/>
  <c r="AF17" i="32" s="1"/>
  <c r="AG17" i="32" s="1"/>
  <c r="AH17" i="32" s="1"/>
  <c r="AI17" i="32" s="1"/>
  <c r="AJ17" i="32" s="1"/>
  <c r="AK17" i="32" s="1"/>
  <c r="AL17" i="32" s="1"/>
  <c r="AM17" i="32" s="1"/>
  <c r="AN17" i="32" s="1"/>
  <c r="AO17" i="32" s="1"/>
  <c r="BC17" i="32"/>
  <c r="AQ17" i="32" s="1"/>
  <c r="AR17" i="32" s="1"/>
  <c r="AS17" i="32" s="1"/>
  <c r="AT17" i="32" s="1"/>
  <c r="AU17" i="32" s="1"/>
  <c r="AV17" i="32" s="1"/>
  <c r="AW17" i="32" s="1"/>
  <c r="AX17" i="32" s="1"/>
  <c r="AY17" i="32" s="1"/>
  <c r="AZ17" i="32" s="1"/>
  <c r="BA17" i="32" s="1"/>
  <c r="BB17" i="32" s="1"/>
  <c r="BP17" i="32"/>
  <c r="BD17" i="32" s="1"/>
  <c r="BE17" i="32" s="1"/>
  <c r="BF17" i="32" s="1"/>
  <c r="BG17" i="32" s="1"/>
  <c r="BH17" i="32" s="1"/>
  <c r="BI17" i="32" s="1"/>
  <c r="BJ17" i="32" s="1"/>
  <c r="BK17" i="32" s="1"/>
  <c r="BL17" i="32" s="1"/>
  <c r="BM17" i="32" s="1"/>
  <c r="BN17" i="32" s="1"/>
  <c r="BO17" i="32" s="1"/>
  <c r="D21" i="32"/>
  <c r="E21" i="32" s="1"/>
  <c r="F21" i="32" s="1"/>
  <c r="G21" i="32" s="1"/>
  <c r="H21" i="32" s="1"/>
  <c r="I21" i="32" s="1"/>
  <c r="J21" i="32" s="1"/>
  <c r="K21" i="32" s="1"/>
  <c r="L21" i="32" s="1"/>
  <c r="M21" i="32" s="1"/>
  <c r="N21" i="32" s="1"/>
  <c r="O21" i="32" s="1"/>
  <c r="AC21" i="32"/>
  <c r="P37" i="32"/>
  <c r="P36" i="32" s="1"/>
  <c r="D38" i="32"/>
  <c r="E38" i="32" s="1"/>
  <c r="Q38" i="32"/>
  <c r="R38" i="32" s="1"/>
  <c r="AD38" i="32"/>
  <c r="AE38" i="32" s="1"/>
  <c r="AQ38" i="32"/>
  <c r="AR38" i="32" s="1"/>
  <c r="BD38" i="32"/>
  <c r="BE38" i="32" s="1"/>
  <c r="D39" i="32"/>
  <c r="P39" i="32"/>
  <c r="Q39" i="32"/>
  <c r="AC39" i="32"/>
  <c r="AD39" i="32"/>
  <c r="AP39" i="32"/>
  <c r="AQ39" i="32"/>
  <c r="BC39" i="32"/>
  <c r="BD39" i="32"/>
  <c r="BP39" i="32"/>
  <c r="D40" i="32"/>
  <c r="E40" i="32"/>
  <c r="AC40" i="32"/>
  <c r="AP40" i="32"/>
  <c r="BC40" i="32" s="1"/>
  <c r="BP40" i="32" s="1"/>
  <c r="D41" i="32"/>
  <c r="E41" i="32"/>
  <c r="F41" i="32" s="1"/>
  <c r="G41" i="32" s="1"/>
  <c r="H41" i="32" s="1"/>
  <c r="I41" i="32" s="1"/>
  <c r="AC41" i="32"/>
  <c r="Q41" i="32" s="1"/>
  <c r="AP41" i="32"/>
  <c r="AD41" i="32" s="1"/>
  <c r="BC41" i="32"/>
  <c r="D42" i="32"/>
  <c r="E42" i="32" s="1"/>
  <c r="AC42" i="32"/>
  <c r="D43" i="32"/>
  <c r="P43" i="32"/>
  <c r="AC43" i="32"/>
  <c r="D44" i="32"/>
  <c r="E44" i="32"/>
  <c r="F44" i="32" s="1"/>
  <c r="G44" i="32" s="1"/>
  <c r="H44" i="32" s="1"/>
  <c r="I44" i="32" s="1"/>
  <c r="J44" i="32" s="1"/>
  <c r="K44" i="32" s="1"/>
  <c r="L44" i="32" s="1"/>
  <c r="M44" i="32" s="1"/>
  <c r="N44" i="32" s="1"/>
  <c r="O44" i="32" s="1"/>
  <c r="AC44" i="32"/>
  <c r="Q44" i="32" s="1"/>
  <c r="R44" i="32" s="1"/>
  <c r="S44" i="32" s="1"/>
  <c r="T44" i="32" s="1"/>
  <c r="U44" i="32" s="1"/>
  <c r="V44" i="32" s="1"/>
  <c r="W44" i="32" s="1"/>
  <c r="X44" i="32" s="1"/>
  <c r="Y44" i="32" s="1"/>
  <c r="Z44" i="32" s="1"/>
  <c r="AA44" i="32" s="1"/>
  <c r="AB44" i="32" s="1"/>
  <c r="AP44" i="32"/>
  <c r="AD44" i="32" s="1"/>
  <c r="AE44" i="32" s="1"/>
  <c r="AF44" i="32" s="1"/>
  <c r="AG44" i="32" s="1"/>
  <c r="AH44" i="32" s="1"/>
  <c r="AI44" i="32" s="1"/>
  <c r="AJ44" i="32" s="1"/>
  <c r="AK44" i="32" s="1"/>
  <c r="AL44" i="32" s="1"/>
  <c r="AM44" i="32" s="1"/>
  <c r="AN44" i="32" s="1"/>
  <c r="AO44" i="32" s="1"/>
  <c r="BC44" i="32"/>
  <c r="D45" i="32"/>
  <c r="AC45" i="32"/>
  <c r="P46" i="32"/>
  <c r="AC46" i="32"/>
  <c r="D47" i="32"/>
  <c r="E47" i="32"/>
  <c r="F47" i="32" s="1"/>
  <c r="G47" i="32" s="1"/>
  <c r="H47" i="32" s="1"/>
  <c r="I47" i="32" s="1"/>
  <c r="J47" i="32" s="1"/>
  <c r="K47" i="32" s="1"/>
  <c r="L47" i="32" s="1"/>
  <c r="M47" i="32" s="1"/>
  <c r="N47" i="32" s="1"/>
  <c r="O47" i="32" s="1"/>
  <c r="AC47" i="32"/>
  <c r="D50" i="32"/>
  <c r="E50" i="32" s="1"/>
  <c r="AC50" i="32"/>
  <c r="Q50" i="32" s="1"/>
  <c r="AP50" i="32"/>
  <c r="D51" i="32"/>
  <c r="E51" i="32"/>
  <c r="F51" i="32" s="1"/>
  <c r="G51" i="32" s="1"/>
  <c r="H51" i="32" s="1"/>
  <c r="I51" i="32" s="1"/>
  <c r="J51" i="32" s="1"/>
  <c r="K51" i="32" s="1"/>
  <c r="L51" i="32" s="1"/>
  <c r="M51" i="32" s="1"/>
  <c r="N51" i="32" s="1"/>
  <c r="O51" i="32" s="1"/>
  <c r="AC51" i="32"/>
  <c r="D52" i="32"/>
  <c r="E52" i="32"/>
  <c r="F52" i="32" s="1"/>
  <c r="AC52" i="32"/>
  <c r="D53" i="32"/>
  <c r="E53" i="32"/>
  <c r="F53" i="32" s="1"/>
  <c r="G53" i="32" s="1"/>
  <c r="H53" i="32" s="1"/>
  <c r="I53" i="32" s="1"/>
  <c r="J53" i="32" s="1"/>
  <c r="K53" i="32" s="1"/>
  <c r="L53" i="32" s="1"/>
  <c r="M53" i="32" s="1"/>
  <c r="N53" i="32" s="1"/>
  <c r="O53" i="32" s="1"/>
  <c r="AC53" i="32"/>
  <c r="P54" i="32"/>
  <c r="D54" i="32" s="1"/>
  <c r="E54" i="32" s="1"/>
  <c r="F54" i="32" s="1"/>
  <c r="G54" i="32" s="1"/>
  <c r="H54" i="32" s="1"/>
  <c r="I54" i="32" s="1"/>
  <c r="J54" i="32" s="1"/>
  <c r="K54" i="32" s="1"/>
  <c r="L54" i="32" s="1"/>
  <c r="M54" i="32" s="1"/>
  <c r="N54" i="32" s="1"/>
  <c r="O54" i="32" s="1"/>
  <c r="D55" i="32"/>
  <c r="E55" i="32"/>
  <c r="F55" i="32"/>
  <c r="G55" i="32"/>
  <c r="H55" i="32"/>
  <c r="I55" i="32"/>
  <c r="J55" i="32" s="1"/>
  <c r="K55" i="32" s="1"/>
  <c r="L55" i="32" s="1"/>
  <c r="M55" i="32" s="1"/>
  <c r="N55" i="32" s="1"/>
  <c r="O55" i="32" s="1"/>
  <c r="AC55" i="32"/>
  <c r="AC86" i="30" s="1"/>
  <c r="Q86" i="30" s="1"/>
  <c r="R86" i="30" s="1"/>
  <c r="S86" i="30" s="1"/>
  <c r="T86" i="30" s="1"/>
  <c r="U86" i="30" s="1"/>
  <c r="V86" i="30" s="1"/>
  <c r="W86" i="30" s="1"/>
  <c r="X86" i="30" s="1"/>
  <c r="Y86" i="30" s="1"/>
  <c r="Z86" i="30" s="1"/>
  <c r="AA86" i="30" s="1"/>
  <c r="AB86" i="30" s="1"/>
  <c r="AP55" i="32"/>
  <c r="BC55" i="32"/>
  <c r="BP55" i="32" s="1"/>
  <c r="D59" i="32"/>
  <c r="E59" i="32"/>
  <c r="F59" i="32"/>
  <c r="G59" i="32"/>
  <c r="H59" i="32"/>
  <c r="I59" i="32"/>
  <c r="J59" i="32"/>
  <c r="K59" i="32"/>
  <c r="L59" i="32"/>
  <c r="M59" i="32"/>
  <c r="N59" i="32"/>
  <c r="O59" i="32"/>
  <c r="P59" i="32"/>
  <c r="Q59" i="32"/>
  <c r="R59" i="32"/>
  <c r="S59" i="32"/>
  <c r="T59" i="32"/>
  <c r="U59" i="32"/>
  <c r="V59" i="32"/>
  <c r="W59" i="32"/>
  <c r="X59" i="32"/>
  <c r="Y59" i="32"/>
  <c r="Z59" i="32"/>
  <c r="AA59" i="32"/>
  <c r="AB59" i="32"/>
  <c r="AC59" i="32"/>
  <c r="AD59" i="32"/>
  <c r="AE59" i="32"/>
  <c r="AF59" i="32"/>
  <c r="AG59" i="32"/>
  <c r="AH59" i="32"/>
  <c r="AI59" i="32"/>
  <c r="AJ59" i="32"/>
  <c r="AK59" i="32"/>
  <c r="AL59" i="32"/>
  <c r="AM59" i="32"/>
  <c r="AN59" i="32"/>
  <c r="AO59" i="32"/>
  <c r="AP59" i="32"/>
  <c r="AQ59" i="32"/>
  <c r="AR59" i="32"/>
  <c r="AS59" i="32"/>
  <c r="AT59" i="32"/>
  <c r="AU59" i="32"/>
  <c r="AV59" i="32"/>
  <c r="AW59" i="32"/>
  <c r="AX59" i="32"/>
  <c r="AY59" i="32"/>
  <c r="AZ59" i="32"/>
  <c r="BA59" i="32"/>
  <c r="BB59" i="32"/>
  <c r="BC59" i="32"/>
  <c r="BD59" i="32"/>
  <c r="BE59" i="32"/>
  <c r="BF59" i="32"/>
  <c r="BG59" i="32"/>
  <c r="BH59" i="32"/>
  <c r="BI59" i="32"/>
  <c r="BJ59" i="32"/>
  <c r="BK59" i="32"/>
  <c r="BL59" i="32"/>
  <c r="BM59" i="32"/>
  <c r="BN59" i="32"/>
  <c r="BO59" i="32"/>
  <c r="BP59" i="32"/>
  <c r="P60" i="32"/>
  <c r="AC60" i="32"/>
  <c r="AP60" i="32"/>
  <c r="BC60" i="32"/>
  <c r="BP60" i="32"/>
  <c r="P61" i="32"/>
  <c r="AC61" i="32"/>
  <c r="AP61" i="32"/>
  <c r="BC61" i="32"/>
  <c r="BP61" i="32"/>
  <c r="P63" i="32"/>
  <c r="AC63" i="32"/>
  <c r="AP63" i="32"/>
  <c r="BC63" i="32"/>
  <c r="BP63" i="32"/>
  <c r="P67" i="32"/>
  <c r="AC67" i="32"/>
  <c r="AP67" i="32"/>
  <c r="BC67" i="32"/>
  <c r="BP67" i="32"/>
  <c r="P70" i="32"/>
  <c r="AC70" i="32"/>
  <c r="AP70" i="32"/>
  <c r="BC70" i="32"/>
  <c r="BP70" i="32"/>
  <c r="P72" i="32"/>
  <c r="AC72" i="32"/>
  <c r="AP72" i="32"/>
  <c r="BC72" i="32"/>
  <c r="BP72" i="32"/>
  <c r="P76" i="32"/>
  <c r="AC76" i="32"/>
  <c r="AP76" i="32"/>
  <c r="BC76" i="32"/>
  <c r="BP76" i="32"/>
  <c r="P77" i="32"/>
  <c r="AC77" i="32"/>
  <c r="AP77" i="32"/>
  <c r="BC77" i="32"/>
  <c r="BP77" i="32"/>
  <c r="P78" i="32"/>
  <c r="AC78" i="32"/>
  <c r="AP78" i="32"/>
  <c r="BC78" i="32"/>
  <c r="BP78" i="32"/>
  <c r="P80" i="32"/>
  <c r="AC80" i="32"/>
  <c r="AP80" i="32"/>
  <c r="BC80" i="32"/>
  <c r="BP80" i="32"/>
  <c r="D81" i="32"/>
  <c r="E81" i="32"/>
  <c r="F81" i="32"/>
  <c r="G81" i="32"/>
  <c r="H81" i="32"/>
  <c r="I81" i="32"/>
  <c r="J81" i="32"/>
  <c r="K81" i="32"/>
  <c r="L81" i="32"/>
  <c r="M81" i="32"/>
  <c r="N81" i="32"/>
  <c r="O81" i="32"/>
  <c r="P81" i="32"/>
  <c r="Q81" i="32"/>
  <c r="R81" i="32"/>
  <c r="S81" i="32"/>
  <c r="T81" i="32"/>
  <c r="T91" i="32" s="1"/>
  <c r="U81" i="32"/>
  <c r="U91" i="32" s="1"/>
  <c r="V81" i="32"/>
  <c r="V91" i="32" s="1"/>
  <c r="W81" i="32"/>
  <c r="W91" i="32" s="1"/>
  <c r="X81" i="32"/>
  <c r="X91" i="32" s="1"/>
  <c r="Y81" i="32"/>
  <c r="Y91" i="32" s="1"/>
  <c r="Z81" i="32"/>
  <c r="Z91" i="32" s="1"/>
  <c r="AA81" i="32"/>
  <c r="AA91" i="32" s="1"/>
  <c r="AB81" i="32"/>
  <c r="AB91" i="32" s="1"/>
  <c r="AC81" i="32"/>
  <c r="AD81" i="32"/>
  <c r="AD91" i="32" s="1"/>
  <c r="AE81" i="32"/>
  <c r="AE91" i="32" s="1"/>
  <c r="AF81" i="32"/>
  <c r="AF91" i="32" s="1"/>
  <c r="AG81" i="32"/>
  <c r="AG91" i="32" s="1"/>
  <c r="AH81" i="32"/>
  <c r="AH91" i="32" s="1"/>
  <c r="AI81" i="32"/>
  <c r="AI91" i="32" s="1"/>
  <c r="AJ81" i="32"/>
  <c r="AJ91" i="32" s="1"/>
  <c r="AK81" i="32"/>
  <c r="AK91" i="32" s="1"/>
  <c r="AL81" i="32"/>
  <c r="AL91" i="32" s="1"/>
  <c r="AM81" i="32"/>
  <c r="AM91" i="32" s="1"/>
  <c r="AN81" i="32"/>
  <c r="AN91" i="32" s="1"/>
  <c r="AO81" i="32"/>
  <c r="AO91" i="32" s="1"/>
  <c r="AP81" i="32"/>
  <c r="AQ81" i="32"/>
  <c r="AQ91" i="32" s="1"/>
  <c r="AR81" i="32"/>
  <c r="AR91" i="32" s="1"/>
  <c r="AS81" i="32"/>
  <c r="AS91" i="32" s="1"/>
  <c r="AT81" i="32"/>
  <c r="AT91" i="32" s="1"/>
  <c r="AU81" i="32"/>
  <c r="AU91" i="32" s="1"/>
  <c r="AV81" i="32"/>
  <c r="AV91" i="32" s="1"/>
  <c r="AW81" i="32"/>
  <c r="AW91" i="32" s="1"/>
  <c r="AX81" i="32"/>
  <c r="AX91" i="32" s="1"/>
  <c r="AY81" i="32"/>
  <c r="AY91" i="32" s="1"/>
  <c r="AZ81" i="32"/>
  <c r="AZ91" i="32" s="1"/>
  <c r="BA81" i="32"/>
  <c r="BA91" i="32" s="1"/>
  <c r="BB81" i="32"/>
  <c r="BB91" i="32" s="1"/>
  <c r="BC91" i="32" s="1"/>
  <c r="BC81" i="32"/>
  <c r="BD81" i="32"/>
  <c r="BD91" i="32" s="1"/>
  <c r="BE81" i="32"/>
  <c r="BE91" i="32" s="1"/>
  <c r="BF81" i="32"/>
  <c r="BF91" i="32" s="1"/>
  <c r="BG81" i="32"/>
  <c r="BG91" i="32" s="1"/>
  <c r="BH81" i="32"/>
  <c r="BH91" i="32" s="1"/>
  <c r="BI81" i="32"/>
  <c r="BI91" i="32" s="1"/>
  <c r="BJ81" i="32"/>
  <c r="BJ91" i="32" s="1"/>
  <c r="BK81" i="32"/>
  <c r="BK91" i="32" s="1"/>
  <c r="BL81" i="32"/>
  <c r="BL91" i="32" s="1"/>
  <c r="BM81" i="32"/>
  <c r="BM91" i="32" s="1"/>
  <c r="BN81" i="32"/>
  <c r="BN91" i="32" s="1"/>
  <c r="BO81" i="32"/>
  <c r="BO91" i="32" s="1"/>
  <c r="BP81" i="32"/>
  <c r="P82" i="32"/>
  <c r="AC82" i="32"/>
  <c r="AP82" i="32"/>
  <c r="BC82" i="32"/>
  <c r="BP82" i="32"/>
  <c r="P83" i="32"/>
  <c r="AC83" i="32"/>
  <c r="AP83" i="32"/>
  <c r="BC83" i="32"/>
  <c r="BP83" i="32"/>
  <c r="P84" i="32"/>
  <c r="AC84" i="32"/>
  <c r="AP84" i="32"/>
  <c r="BC84" i="32"/>
  <c r="BP84" i="32"/>
  <c r="P85" i="32"/>
  <c r="AC85" i="32"/>
  <c r="AP85" i="32"/>
  <c r="BC85" i="32"/>
  <c r="BP85" i="32"/>
  <c r="P86" i="32"/>
  <c r="AC86" i="32"/>
  <c r="AP86" i="32"/>
  <c r="BC86" i="32"/>
  <c r="BP86" i="32"/>
  <c r="P87" i="32"/>
  <c r="AC87" i="32"/>
  <c r="AP87" i="32"/>
  <c r="BC87" i="32"/>
  <c r="BP87" i="32"/>
  <c r="P88" i="32"/>
  <c r="AC88" i="32"/>
  <c r="AP88" i="32"/>
  <c r="BC88" i="32"/>
  <c r="BP88" i="32"/>
  <c r="P89" i="32"/>
  <c r="AC89" i="32"/>
  <c r="AP89" i="32"/>
  <c r="BC89" i="32"/>
  <c r="BP89" i="32"/>
  <c r="P90" i="32"/>
  <c r="AC90" i="32"/>
  <c r="AP90" i="32"/>
  <c r="BC90" i="32"/>
  <c r="BP90" i="32"/>
  <c r="D91" i="32"/>
  <c r="E91" i="32"/>
  <c r="F91" i="32"/>
  <c r="G91" i="32"/>
  <c r="H91" i="32"/>
  <c r="I91" i="32"/>
  <c r="J91" i="32"/>
  <c r="K91" i="32"/>
  <c r="L91" i="32"/>
  <c r="M91" i="32"/>
  <c r="N91" i="32"/>
  <c r="O91" i="32"/>
  <c r="P91" i="32"/>
  <c r="Q91" i="32"/>
  <c r="R91" i="32"/>
  <c r="S91" i="32"/>
  <c r="P1" i="31"/>
  <c r="AC1" i="31"/>
  <c r="AP1" i="31"/>
  <c r="BC1" i="31"/>
  <c r="BP1" i="31"/>
  <c r="AD5" i="31"/>
  <c r="AE5" i="31"/>
  <c r="AF5" i="31" s="1"/>
  <c r="AG5" i="31" s="1"/>
  <c r="AQ5" i="31"/>
  <c r="AR5" i="31"/>
  <c r="AS5" i="31" s="1"/>
  <c r="AT5" i="31" s="1"/>
  <c r="BD5" i="31"/>
  <c r="BE5" i="31"/>
  <c r="BF5" i="31" s="1"/>
  <c r="P6" i="31"/>
  <c r="D6" i="31" s="1"/>
  <c r="E6" i="31" s="1"/>
  <c r="F6" i="31" s="1"/>
  <c r="G6" i="31" s="1"/>
  <c r="H6" i="31" s="1"/>
  <c r="I6" i="31" s="1"/>
  <c r="J6" i="31" s="1"/>
  <c r="K6" i="31" s="1"/>
  <c r="L6" i="31" s="1"/>
  <c r="M6" i="31" s="1"/>
  <c r="N6" i="31" s="1"/>
  <c r="O6" i="31" s="1"/>
  <c r="AC6" i="31"/>
  <c r="Q6" i="31" s="1"/>
  <c r="R6" i="31" s="1"/>
  <c r="S6" i="31" s="1"/>
  <c r="T6" i="31" s="1"/>
  <c r="U6" i="31" s="1"/>
  <c r="V6" i="31" s="1"/>
  <c r="W6" i="31" s="1"/>
  <c r="X6" i="31" s="1"/>
  <c r="Y6" i="31" s="1"/>
  <c r="Z6" i="31" s="1"/>
  <c r="AA6" i="31" s="1"/>
  <c r="AB6" i="31" s="1"/>
  <c r="AP6" i="31"/>
  <c r="AD6" i="31" s="1"/>
  <c r="AE6" i="31" s="1"/>
  <c r="AF6" i="31" s="1"/>
  <c r="AG6" i="31" s="1"/>
  <c r="AH6" i="31" s="1"/>
  <c r="AI6" i="31" s="1"/>
  <c r="AJ6" i="31" s="1"/>
  <c r="AK6" i="31" s="1"/>
  <c r="AL6" i="31" s="1"/>
  <c r="AM6" i="31" s="1"/>
  <c r="AN6" i="31" s="1"/>
  <c r="AO6" i="31" s="1"/>
  <c r="BC6" i="31"/>
  <c r="AQ6" i="31" s="1"/>
  <c r="AR6" i="31" s="1"/>
  <c r="AS6" i="31" s="1"/>
  <c r="AT6" i="31" s="1"/>
  <c r="AU6" i="31" s="1"/>
  <c r="AV6" i="31" s="1"/>
  <c r="AW6" i="31" s="1"/>
  <c r="AX6" i="31" s="1"/>
  <c r="AY6" i="31" s="1"/>
  <c r="AZ6" i="31" s="1"/>
  <c r="BA6" i="31" s="1"/>
  <c r="BB6" i="31" s="1"/>
  <c r="BP6" i="31"/>
  <c r="BD6" i="31" s="1"/>
  <c r="BE6" i="31" s="1"/>
  <c r="BF6" i="31" s="1"/>
  <c r="BG6" i="31" s="1"/>
  <c r="BH6" i="31" s="1"/>
  <c r="BI6" i="31" s="1"/>
  <c r="BJ6" i="31" s="1"/>
  <c r="BK6" i="31" s="1"/>
  <c r="BL6" i="31" s="1"/>
  <c r="BM6" i="31" s="1"/>
  <c r="BN6" i="31" s="1"/>
  <c r="BO6" i="31" s="1"/>
  <c r="P10" i="31"/>
  <c r="D10" i="31" s="1"/>
  <c r="E10" i="31" s="1"/>
  <c r="F10" i="31" s="1"/>
  <c r="G10" i="31" s="1"/>
  <c r="H10" i="31" s="1"/>
  <c r="I10" i="31" s="1"/>
  <c r="J10" i="31" s="1"/>
  <c r="K10" i="31" s="1"/>
  <c r="L10" i="31" s="1"/>
  <c r="M10" i="31" s="1"/>
  <c r="N10" i="31" s="1"/>
  <c r="O10" i="31" s="1"/>
  <c r="P12" i="31"/>
  <c r="D12" i="31" s="1"/>
  <c r="E12" i="31" s="1"/>
  <c r="F12" i="31" s="1"/>
  <c r="G12" i="31" s="1"/>
  <c r="H12" i="31" s="1"/>
  <c r="I12" i="31" s="1"/>
  <c r="J12" i="31" s="1"/>
  <c r="K12" i="31" s="1"/>
  <c r="L12" i="31" s="1"/>
  <c r="M12" i="31" s="1"/>
  <c r="N12" i="31" s="1"/>
  <c r="O12" i="31" s="1"/>
  <c r="M14" i="31"/>
  <c r="N14" i="31"/>
  <c r="O14" i="31" s="1"/>
  <c r="D16" i="31"/>
  <c r="P21" i="31"/>
  <c r="D21" i="31" s="1"/>
  <c r="E21" i="31" s="1"/>
  <c r="F21" i="31" s="1"/>
  <c r="G21" i="31" s="1"/>
  <c r="H21" i="31" s="1"/>
  <c r="I21" i="31" s="1"/>
  <c r="J21" i="31" s="1"/>
  <c r="K21" i="31" s="1"/>
  <c r="L21" i="31" s="1"/>
  <c r="M21" i="31" s="1"/>
  <c r="N21" i="31" s="1"/>
  <c r="O21" i="31" s="1"/>
  <c r="C23" i="31"/>
  <c r="P23" i="31"/>
  <c r="C26" i="31"/>
  <c r="C27" i="31"/>
  <c r="C28" i="31"/>
  <c r="P35" i="31"/>
  <c r="D35" i="31" s="1"/>
  <c r="E35" i="31" s="1"/>
  <c r="F35" i="31" s="1"/>
  <c r="G35" i="31" s="1"/>
  <c r="H35" i="31" s="1"/>
  <c r="I35" i="31" s="1"/>
  <c r="J35" i="31" s="1"/>
  <c r="K35" i="31" s="1"/>
  <c r="L35" i="31" s="1"/>
  <c r="M35" i="31" s="1"/>
  <c r="N35" i="31" s="1"/>
  <c r="O35" i="31" s="1"/>
  <c r="AC35" i="31"/>
  <c r="Q35" i="31" s="1"/>
  <c r="R35" i="31" s="1"/>
  <c r="S35" i="31" s="1"/>
  <c r="T35" i="31" s="1"/>
  <c r="U35" i="31" s="1"/>
  <c r="V35" i="31" s="1"/>
  <c r="W35" i="31" s="1"/>
  <c r="X35" i="31" s="1"/>
  <c r="Y35" i="31" s="1"/>
  <c r="Z35" i="31" s="1"/>
  <c r="AA35" i="31" s="1"/>
  <c r="AB35" i="31" s="1"/>
  <c r="AP35" i="31"/>
  <c r="AD35" i="31" s="1"/>
  <c r="AE35" i="31" s="1"/>
  <c r="AF35" i="31" s="1"/>
  <c r="AG35" i="31" s="1"/>
  <c r="AH35" i="31" s="1"/>
  <c r="AI35" i="31" s="1"/>
  <c r="AJ35" i="31" s="1"/>
  <c r="AK35" i="31" s="1"/>
  <c r="AL35" i="31" s="1"/>
  <c r="AM35" i="31" s="1"/>
  <c r="AN35" i="31" s="1"/>
  <c r="AO35" i="31" s="1"/>
  <c r="BC35" i="31"/>
  <c r="AQ35" i="31" s="1"/>
  <c r="AR35" i="31" s="1"/>
  <c r="AS35" i="31" s="1"/>
  <c r="AT35" i="31" s="1"/>
  <c r="AU35" i="31" s="1"/>
  <c r="AV35" i="31" s="1"/>
  <c r="AW35" i="31" s="1"/>
  <c r="AX35" i="31" s="1"/>
  <c r="AY35" i="31" s="1"/>
  <c r="AZ35" i="31" s="1"/>
  <c r="BA35" i="31" s="1"/>
  <c r="BB35" i="31" s="1"/>
  <c r="BP35" i="31"/>
  <c r="BD35" i="31" s="1"/>
  <c r="BE35" i="31" s="1"/>
  <c r="BF35" i="31" s="1"/>
  <c r="BG35" i="31" s="1"/>
  <c r="BH35" i="31" s="1"/>
  <c r="BI35" i="31" s="1"/>
  <c r="BJ35" i="31" s="1"/>
  <c r="BK35" i="31" s="1"/>
  <c r="BL35" i="31" s="1"/>
  <c r="BM35" i="31" s="1"/>
  <c r="BN35" i="31" s="1"/>
  <c r="BO35" i="31" s="1"/>
  <c r="C39" i="31"/>
  <c r="P39" i="31"/>
  <c r="C42" i="31"/>
  <c r="C43" i="31"/>
  <c r="C44" i="31"/>
  <c r="P67" i="31"/>
  <c r="D67" i="31" s="1"/>
  <c r="AC67" i="31"/>
  <c r="P69" i="31"/>
  <c r="D69" i="31" s="1"/>
  <c r="AC69" i="31"/>
  <c r="Q69" i="31" s="1"/>
  <c r="R69" i="31" s="1"/>
  <c r="S69" i="31" s="1"/>
  <c r="T69" i="31" s="1"/>
  <c r="U69" i="31" s="1"/>
  <c r="V69" i="31" s="1"/>
  <c r="W69" i="31" s="1"/>
  <c r="X69" i="31" s="1"/>
  <c r="Y69" i="31" s="1"/>
  <c r="Z69" i="31" s="1"/>
  <c r="AA69" i="31" s="1"/>
  <c r="AB69" i="31" s="1"/>
  <c r="AP69" i="31"/>
  <c r="P70" i="31"/>
  <c r="D70" i="31" s="1"/>
  <c r="AC70" i="31"/>
  <c r="Q70" i="31" s="1"/>
  <c r="R70" i="31" s="1"/>
  <c r="S70" i="31" s="1"/>
  <c r="T70" i="31" s="1"/>
  <c r="U70" i="31" s="1"/>
  <c r="V70" i="31" s="1"/>
  <c r="W70" i="31" s="1"/>
  <c r="X70" i="31" s="1"/>
  <c r="Y70" i="31" s="1"/>
  <c r="Z70" i="31" s="1"/>
  <c r="AA70" i="31" s="1"/>
  <c r="AB70" i="31" s="1"/>
  <c r="AP70" i="31"/>
  <c r="AD70" i="31" s="1"/>
  <c r="AE70" i="31" s="1"/>
  <c r="AF70" i="31" s="1"/>
  <c r="AG70" i="31" s="1"/>
  <c r="AH70" i="31" s="1"/>
  <c r="AI70" i="31" s="1"/>
  <c r="AJ70" i="31" s="1"/>
  <c r="AK70" i="31" s="1"/>
  <c r="AL70" i="31" s="1"/>
  <c r="AM70" i="31" s="1"/>
  <c r="AN70" i="31" s="1"/>
  <c r="AO70" i="31" s="1"/>
  <c r="BC70" i="31"/>
  <c r="AQ70" i="31" s="1"/>
  <c r="AR70" i="31" s="1"/>
  <c r="AS70" i="31" s="1"/>
  <c r="AT70" i="31" s="1"/>
  <c r="AU70" i="31" s="1"/>
  <c r="AV70" i="31" s="1"/>
  <c r="AW70" i="31" s="1"/>
  <c r="AX70" i="31" s="1"/>
  <c r="AY70" i="31" s="1"/>
  <c r="AZ70" i="31" s="1"/>
  <c r="BA70" i="31" s="1"/>
  <c r="BB70" i="31" s="1"/>
  <c r="BP70" i="31"/>
  <c r="BD70" i="31" s="1"/>
  <c r="BE70" i="31" s="1"/>
  <c r="BF70" i="31" s="1"/>
  <c r="BG70" i="31" s="1"/>
  <c r="BH70" i="31" s="1"/>
  <c r="BI70" i="31" s="1"/>
  <c r="BJ70" i="31" s="1"/>
  <c r="BK70" i="31" s="1"/>
  <c r="BL70" i="31" s="1"/>
  <c r="BM70" i="31" s="1"/>
  <c r="BN70" i="31" s="1"/>
  <c r="BO70" i="31" s="1"/>
  <c r="P71" i="31"/>
  <c r="D71" i="31" s="1"/>
  <c r="AC71" i="31"/>
  <c r="Q71" i="31" s="1"/>
  <c r="R71" i="31" s="1"/>
  <c r="S71" i="31" s="1"/>
  <c r="T71" i="31" s="1"/>
  <c r="U71" i="31" s="1"/>
  <c r="V71" i="31" s="1"/>
  <c r="W71" i="31" s="1"/>
  <c r="X71" i="31" s="1"/>
  <c r="Y71" i="31" s="1"/>
  <c r="Z71" i="31" s="1"/>
  <c r="AA71" i="31" s="1"/>
  <c r="AB71" i="31" s="1"/>
  <c r="AP71" i="31"/>
  <c r="AD71" i="31" s="1"/>
  <c r="AE71" i="31" s="1"/>
  <c r="AF71" i="31" s="1"/>
  <c r="AG71" i="31" s="1"/>
  <c r="AH71" i="31" s="1"/>
  <c r="AI71" i="31" s="1"/>
  <c r="AJ71" i="31" s="1"/>
  <c r="AK71" i="31" s="1"/>
  <c r="AL71" i="31" s="1"/>
  <c r="AM71" i="31" s="1"/>
  <c r="AN71" i="31" s="1"/>
  <c r="AO71" i="31" s="1"/>
  <c r="BC71" i="31"/>
  <c r="AQ71" i="31" s="1"/>
  <c r="AR71" i="31" s="1"/>
  <c r="AS71" i="31" s="1"/>
  <c r="AT71" i="31" s="1"/>
  <c r="AU71" i="31" s="1"/>
  <c r="AV71" i="31" s="1"/>
  <c r="AW71" i="31" s="1"/>
  <c r="AX71" i="31" s="1"/>
  <c r="AY71" i="31" s="1"/>
  <c r="AZ71" i="31" s="1"/>
  <c r="BA71" i="31" s="1"/>
  <c r="BB71" i="31" s="1"/>
  <c r="BP71" i="31"/>
  <c r="BD71" i="31" s="1"/>
  <c r="BE71" i="31" s="1"/>
  <c r="BF71" i="31" s="1"/>
  <c r="BG71" i="31" s="1"/>
  <c r="BH71" i="31" s="1"/>
  <c r="BI71" i="31" s="1"/>
  <c r="BJ71" i="31" s="1"/>
  <c r="BK71" i="31" s="1"/>
  <c r="BL71" i="31" s="1"/>
  <c r="BM71" i="31" s="1"/>
  <c r="BN71" i="31" s="1"/>
  <c r="BO71" i="31" s="1"/>
  <c r="P72" i="31"/>
  <c r="D72" i="31" s="1"/>
  <c r="AC72" i="31"/>
  <c r="Q72" i="31" s="1"/>
  <c r="R72" i="31" s="1"/>
  <c r="S72" i="31" s="1"/>
  <c r="T72" i="31" s="1"/>
  <c r="U72" i="31" s="1"/>
  <c r="V72" i="31" s="1"/>
  <c r="W72" i="31" s="1"/>
  <c r="X72" i="31" s="1"/>
  <c r="Y72" i="31" s="1"/>
  <c r="Z72" i="31" s="1"/>
  <c r="AA72" i="31" s="1"/>
  <c r="AB72" i="31" s="1"/>
  <c r="AP72" i="31"/>
  <c r="C74" i="31"/>
  <c r="D75" i="31"/>
  <c r="E75" i="31" s="1"/>
  <c r="F75" i="31" s="1"/>
  <c r="G75" i="31" s="1"/>
  <c r="H75" i="31" s="1"/>
  <c r="I75" i="31" s="1"/>
  <c r="J75" i="31" s="1"/>
  <c r="K75" i="31" s="1"/>
  <c r="L75" i="31" s="1"/>
  <c r="M75" i="31" s="1"/>
  <c r="N75" i="31" s="1"/>
  <c r="O75" i="31" s="1"/>
  <c r="AC75" i="31"/>
  <c r="D76" i="31"/>
  <c r="E76" i="31"/>
  <c r="F76" i="31" s="1"/>
  <c r="G76" i="31" s="1"/>
  <c r="H76" i="31" s="1"/>
  <c r="I76" i="31" s="1"/>
  <c r="J76" i="31" s="1"/>
  <c r="K76" i="31" s="1"/>
  <c r="L76" i="31" s="1"/>
  <c r="M76" i="31" s="1"/>
  <c r="N76" i="31" s="1"/>
  <c r="O76" i="31" s="1"/>
  <c r="AC76" i="31"/>
  <c r="P80" i="31"/>
  <c r="D83" i="31"/>
  <c r="E83" i="31" s="1"/>
  <c r="F83" i="31" s="1"/>
  <c r="G83" i="31" s="1"/>
  <c r="H83" i="31" s="1"/>
  <c r="I83" i="31" s="1"/>
  <c r="J83" i="31" s="1"/>
  <c r="K83" i="31" s="1"/>
  <c r="L83" i="31" s="1"/>
  <c r="M83" i="31" s="1"/>
  <c r="N83" i="31" s="1"/>
  <c r="O83" i="31" s="1"/>
  <c r="AC83" i="31"/>
  <c r="Q83" i="31" s="1"/>
  <c r="R83" i="31" s="1"/>
  <c r="S83" i="31" s="1"/>
  <c r="T83" i="31" s="1"/>
  <c r="U83" i="31" s="1"/>
  <c r="V83" i="31" s="1"/>
  <c r="W83" i="31" s="1"/>
  <c r="X83" i="31" s="1"/>
  <c r="Y83" i="31" s="1"/>
  <c r="Z83" i="31" s="1"/>
  <c r="AA83" i="31" s="1"/>
  <c r="AB83" i="31" s="1"/>
  <c r="AP83" i="31"/>
  <c r="C84" i="31"/>
  <c r="D85" i="31"/>
  <c r="E85" i="31" s="1"/>
  <c r="F85" i="31" s="1"/>
  <c r="G85" i="31" s="1"/>
  <c r="H85" i="31" s="1"/>
  <c r="I85" i="31" s="1"/>
  <c r="J85" i="31" s="1"/>
  <c r="K85" i="31" s="1"/>
  <c r="L85" i="31" s="1"/>
  <c r="M85" i="31" s="1"/>
  <c r="N85" i="31" s="1"/>
  <c r="O85" i="31" s="1"/>
  <c r="AC85" i="31"/>
  <c r="P86" i="31"/>
  <c r="D86" i="31" s="1"/>
  <c r="E86" i="31" s="1"/>
  <c r="F86" i="31" s="1"/>
  <c r="G86" i="31" s="1"/>
  <c r="H86" i="31" s="1"/>
  <c r="I86" i="31" s="1"/>
  <c r="J86" i="31" s="1"/>
  <c r="K86" i="31" s="1"/>
  <c r="L86" i="31" s="1"/>
  <c r="M86" i="31" s="1"/>
  <c r="N86" i="31" s="1"/>
  <c r="O86" i="31" s="1"/>
  <c r="D87" i="31"/>
  <c r="E87" i="31"/>
  <c r="F87" i="31" s="1"/>
  <c r="G87" i="31" s="1"/>
  <c r="H87" i="31" s="1"/>
  <c r="I87" i="31" s="1"/>
  <c r="J87" i="31" s="1"/>
  <c r="K87" i="31" s="1"/>
  <c r="L87" i="31" s="1"/>
  <c r="M87" i="31" s="1"/>
  <c r="N87" i="31" s="1"/>
  <c r="O87" i="31" s="1"/>
  <c r="AC87" i="31"/>
  <c r="D89" i="31"/>
  <c r="E89" i="31"/>
  <c r="F89" i="31" s="1"/>
  <c r="G89" i="31" s="1"/>
  <c r="H89" i="31" s="1"/>
  <c r="I89" i="31" s="1"/>
  <c r="J89" i="31" s="1"/>
  <c r="K89" i="31" s="1"/>
  <c r="L89" i="31" s="1"/>
  <c r="M89" i="31" s="1"/>
  <c r="N89" i="31" s="1"/>
  <c r="O89" i="31" s="1"/>
  <c r="AC89" i="31"/>
  <c r="D91" i="31"/>
  <c r="E91" i="31" s="1"/>
  <c r="F91" i="31" s="1"/>
  <c r="G91" i="31" s="1"/>
  <c r="H91" i="31" s="1"/>
  <c r="I91" i="31" s="1"/>
  <c r="J91" i="31" s="1"/>
  <c r="K91" i="31" s="1"/>
  <c r="L91" i="31" s="1"/>
  <c r="M91" i="31" s="1"/>
  <c r="N91" i="31" s="1"/>
  <c r="O91" i="31" s="1"/>
  <c r="AC91" i="31"/>
  <c r="Q91" i="31" s="1"/>
  <c r="R91" i="31" s="1"/>
  <c r="S91" i="31" s="1"/>
  <c r="T91" i="31" s="1"/>
  <c r="U91" i="31" s="1"/>
  <c r="V91" i="31" s="1"/>
  <c r="W91" i="31" s="1"/>
  <c r="X91" i="31" s="1"/>
  <c r="Y91" i="31" s="1"/>
  <c r="Z91" i="31" s="1"/>
  <c r="AA91" i="31" s="1"/>
  <c r="AB91" i="31" s="1"/>
  <c r="AP91" i="31"/>
  <c r="D92" i="31"/>
  <c r="E92" i="31"/>
  <c r="F92" i="31" s="1"/>
  <c r="G92" i="31" s="1"/>
  <c r="H92" i="31" s="1"/>
  <c r="I92" i="31" s="1"/>
  <c r="J92" i="31" s="1"/>
  <c r="K92" i="31" s="1"/>
  <c r="L92" i="31" s="1"/>
  <c r="M92" i="31" s="1"/>
  <c r="N92" i="31" s="1"/>
  <c r="O92" i="31" s="1"/>
  <c r="AC92" i="31"/>
  <c r="Q92" i="31" s="1"/>
  <c r="R92" i="31" s="1"/>
  <c r="S92" i="31" s="1"/>
  <c r="T92" i="31" s="1"/>
  <c r="U92" i="31" s="1"/>
  <c r="V92" i="31" s="1"/>
  <c r="W92" i="31" s="1"/>
  <c r="X92" i="31" s="1"/>
  <c r="Y92" i="31" s="1"/>
  <c r="Z92" i="31" s="1"/>
  <c r="AA92" i="31" s="1"/>
  <c r="AB92" i="31" s="1"/>
  <c r="AP92" i="31"/>
  <c r="AD92" i="31" s="1"/>
  <c r="AE92" i="31" s="1"/>
  <c r="AF92" i="31" s="1"/>
  <c r="AG92" i="31" s="1"/>
  <c r="AH92" i="31" s="1"/>
  <c r="AI92" i="31" s="1"/>
  <c r="AJ92" i="31" s="1"/>
  <c r="AK92" i="31" s="1"/>
  <c r="AL92" i="31" s="1"/>
  <c r="AM92" i="31" s="1"/>
  <c r="AN92" i="31" s="1"/>
  <c r="AO92" i="31" s="1"/>
  <c r="BC92" i="31"/>
  <c r="AQ92" i="31" s="1"/>
  <c r="AR92" i="31" s="1"/>
  <c r="AS92" i="31" s="1"/>
  <c r="AT92" i="31" s="1"/>
  <c r="AU92" i="31" s="1"/>
  <c r="AV92" i="31" s="1"/>
  <c r="AW92" i="31" s="1"/>
  <c r="AX92" i="31" s="1"/>
  <c r="AY92" i="31" s="1"/>
  <c r="AZ92" i="31" s="1"/>
  <c r="BA92" i="31" s="1"/>
  <c r="BB92" i="31" s="1"/>
  <c r="BP92" i="31"/>
  <c r="BD92" i="31" s="1"/>
  <c r="BE92" i="31" s="1"/>
  <c r="BF92" i="31" s="1"/>
  <c r="BG92" i="31" s="1"/>
  <c r="BH92" i="31" s="1"/>
  <c r="BI92" i="31" s="1"/>
  <c r="BJ92" i="31" s="1"/>
  <c r="BK92" i="31" s="1"/>
  <c r="BL92" i="31" s="1"/>
  <c r="BM92" i="31" s="1"/>
  <c r="BN92" i="31" s="1"/>
  <c r="BO92" i="31" s="1"/>
  <c r="D93" i="31"/>
  <c r="E93" i="31"/>
  <c r="F93" i="31" s="1"/>
  <c r="G93" i="31" s="1"/>
  <c r="H93" i="31" s="1"/>
  <c r="I93" i="31" s="1"/>
  <c r="J93" i="31" s="1"/>
  <c r="K93" i="31" s="1"/>
  <c r="L93" i="31" s="1"/>
  <c r="M93" i="31" s="1"/>
  <c r="N93" i="31" s="1"/>
  <c r="O93" i="31" s="1"/>
  <c r="AC93" i="31"/>
  <c r="Q93" i="31" s="1"/>
  <c r="R93" i="31" s="1"/>
  <c r="S93" i="31" s="1"/>
  <c r="T93" i="31" s="1"/>
  <c r="U93" i="31" s="1"/>
  <c r="V93" i="31" s="1"/>
  <c r="W93" i="31" s="1"/>
  <c r="X93" i="31" s="1"/>
  <c r="Y93" i="31" s="1"/>
  <c r="Z93" i="31" s="1"/>
  <c r="AA93" i="31" s="1"/>
  <c r="AB93" i="31" s="1"/>
  <c r="AP93" i="31"/>
  <c r="AD93" i="31" s="1"/>
  <c r="AE93" i="31" s="1"/>
  <c r="AF93" i="31" s="1"/>
  <c r="AG93" i="31" s="1"/>
  <c r="AH93" i="31" s="1"/>
  <c r="AI93" i="31" s="1"/>
  <c r="AJ93" i="31" s="1"/>
  <c r="AK93" i="31" s="1"/>
  <c r="AL93" i="31" s="1"/>
  <c r="AM93" i="31" s="1"/>
  <c r="AN93" i="31" s="1"/>
  <c r="AO93" i="31" s="1"/>
  <c r="BC93" i="31"/>
  <c r="D94" i="31"/>
  <c r="E94" i="31"/>
  <c r="F94" i="31" s="1"/>
  <c r="G94" i="31" s="1"/>
  <c r="H94" i="31" s="1"/>
  <c r="I94" i="31" s="1"/>
  <c r="J94" i="31" s="1"/>
  <c r="K94" i="31" s="1"/>
  <c r="L94" i="31" s="1"/>
  <c r="M94" i="31" s="1"/>
  <c r="N94" i="31" s="1"/>
  <c r="O94" i="31" s="1"/>
  <c r="AC94" i="31"/>
  <c r="Q94" i="31" s="1"/>
  <c r="R94" i="31" s="1"/>
  <c r="S94" i="31" s="1"/>
  <c r="T94" i="31" s="1"/>
  <c r="U94" i="31" s="1"/>
  <c r="V94" i="31" s="1"/>
  <c r="W94" i="31" s="1"/>
  <c r="X94" i="31" s="1"/>
  <c r="Y94" i="31" s="1"/>
  <c r="Z94" i="31" s="1"/>
  <c r="AA94" i="31" s="1"/>
  <c r="AB94" i="31" s="1"/>
  <c r="AP94" i="31"/>
  <c r="AD94" i="31" s="1"/>
  <c r="AE94" i="31" s="1"/>
  <c r="AF94" i="31" s="1"/>
  <c r="AG94" i="31" s="1"/>
  <c r="AH94" i="31" s="1"/>
  <c r="AI94" i="31" s="1"/>
  <c r="AJ94" i="31" s="1"/>
  <c r="AK94" i="31" s="1"/>
  <c r="AL94" i="31" s="1"/>
  <c r="AM94" i="31" s="1"/>
  <c r="AN94" i="31" s="1"/>
  <c r="AO94" i="31" s="1"/>
  <c r="BC94" i="31"/>
  <c r="D100" i="31"/>
  <c r="E100" i="31"/>
  <c r="F100" i="31"/>
  <c r="G100" i="31"/>
  <c r="H100" i="31"/>
  <c r="I100" i="31"/>
  <c r="J100" i="31"/>
  <c r="K100" i="31"/>
  <c r="L100" i="31"/>
  <c r="M100" i="31"/>
  <c r="N100" i="31"/>
  <c r="O100" i="31"/>
  <c r="P100" i="31"/>
  <c r="Q100" i="31"/>
  <c r="R100" i="31"/>
  <c r="S100" i="31"/>
  <c r="T100" i="31"/>
  <c r="U100" i="31"/>
  <c r="V100" i="31"/>
  <c r="W100" i="31"/>
  <c r="X100" i="31"/>
  <c r="Y100" i="31"/>
  <c r="Z100" i="31"/>
  <c r="AA100" i="31"/>
  <c r="AB100" i="31"/>
  <c r="AC100" i="31"/>
  <c r="AD100" i="31"/>
  <c r="AE100" i="31"/>
  <c r="AF100" i="31"/>
  <c r="AG100" i="31"/>
  <c r="AH100" i="31"/>
  <c r="AI100" i="31"/>
  <c r="AJ100" i="31"/>
  <c r="AK100" i="31"/>
  <c r="AL100" i="31"/>
  <c r="AM100" i="31"/>
  <c r="AN100" i="31"/>
  <c r="AO100" i="31"/>
  <c r="AP100" i="31"/>
  <c r="AQ100" i="31"/>
  <c r="AR100" i="31"/>
  <c r="AS100" i="31"/>
  <c r="AT100" i="31"/>
  <c r="AU100" i="31"/>
  <c r="AV100" i="31"/>
  <c r="AW100" i="31"/>
  <c r="AX100" i="31"/>
  <c r="AY100" i="31"/>
  <c r="AZ100" i="31"/>
  <c r="BA100" i="31"/>
  <c r="BB100" i="31"/>
  <c r="BC100" i="31"/>
  <c r="BD100" i="31"/>
  <c r="BE100" i="31"/>
  <c r="BF100" i="31"/>
  <c r="BG100" i="31"/>
  <c r="BH100" i="31"/>
  <c r="BI100" i="31"/>
  <c r="BJ100" i="31"/>
  <c r="BK100" i="31"/>
  <c r="BL100" i="31"/>
  <c r="BM100" i="31"/>
  <c r="BN100" i="31"/>
  <c r="BO100" i="31"/>
  <c r="BP100" i="31" s="1"/>
  <c r="P101" i="31"/>
  <c r="AC101" i="31"/>
  <c r="AP101" i="31"/>
  <c r="BC101" i="31"/>
  <c r="BP101" i="31"/>
  <c r="P102" i="31"/>
  <c r="AC102" i="31"/>
  <c r="AP102" i="31"/>
  <c r="BC102" i="31"/>
  <c r="BP102" i="31"/>
  <c r="P103" i="31"/>
  <c r="AC103" i="31"/>
  <c r="AP103" i="31"/>
  <c r="BC103" i="31"/>
  <c r="BP103" i="31"/>
  <c r="P114" i="31"/>
  <c r="AC114" i="31"/>
  <c r="AP114" i="31"/>
  <c r="BC114" i="31"/>
  <c r="BP114" i="31"/>
  <c r="P115" i="31"/>
  <c r="AC115" i="31"/>
  <c r="AP115" i="31"/>
  <c r="BC115" i="31"/>
  <c r="BP115" i="31"/>
  <c r="P116" i="31"/>
  <c r="AC116" i="31"/>
  <c r="AP116" i="31"/>
  <c r="BC116" i="31"/>
  <c r="BP116" i="31"/>
  <c r="P118" i="31"/>
  <c r="AC118" i="31"/>
  <c r="AP118" i="31"/>
  <c r="BC118" i="31"/>
  <c r="BP118" i="31"/>
  <c r="D119" i="31"/>
  <c r="E119" i="31"/>
  <c r="F119" i="31"/>
  <c r="G119" i="31"/>
  <c r="H119" i="31"/>
  <c r="I119" i="31"/>
  <c r="J119" i="31"/>
  <c r="K119" i="31"/>
  <c r="L119" i="31"/>
  <c r="M119" i="31"/>
  <c r="N119" i="31"/>
  <c r="O119" i="31"/>
  <c r="P119" i="31"/>
  <c r="Q119" i="31"/>
  <c r="R119" i="31"/>
  <c r="S119" i="31"/>
  <c r="T119" i="31"/>
  <c r="U119" i="31"/>
  <c r="V119" i="31"/>
  <c r="W119" i="31"/>
  <c r="X119" i="31"/>
  <c r="Y119" i="31"/>
  <c r="Z119" i="31"/>
  <c r="AA119" i="31"/>
  <c r="AB119" i="31"/>
  <c r="AC119" i="31"/>
  <c r="AD119" i="31"/>
  <c r="AE119" i="31"/>
  <c r="AF119" i="31"/>
  <c r="AG119" i="31"/>
  <c r="AH119" i="31"/>
  <c r="AI119" i="31"/>
  <c r="AJ119" i="31"/>
  <c r="AK119" i="31"/>
  <c r="AL119" i="31"/>
  <c r="AM119" i="31"/>
  <c r="AN119" i="31"/>
  <c r="AO119" i="31"/>
  <c r="AP119" i="31"/>
  <c r="AQ119" i="31"/>
  <c r="AR119" i="31"/>
  <c r="AS119" i="31"/>
  <c r="AS129" i="31" s="1"/>
  <c r="AT119" i="31"/>
  <c r="AT129" i="31" s="1"/>
  <c r="AU119" i="31"/>
  <c r="AU129" i="31" s="1"/>
  <c r="AV119" i="31"/>
  <c r="AV129" i="31" s="1"/>
  <c r="AW119" i="31"/>
  <c r="AW129" i="31" s="1"/>
  <c r="AX119" i="31"/>
  <c r="AX129" i="31" s="1"/>
  <c r="AY119" i="31"/>
  <c r="AY129" i="31" s="1"/>
  <c r="AZ119" i="31"/>
  <c r="AZ129" i="31" s="1"/>
  <c r="BA119" i="31"/>
  <c r="BA129" i="31" s="1"/>
  <c r="BB119" i="31"/>
  <c r="BB129" i="31" s="1"/>
  <c r="BD119" i="31"/>
  <c r="BD129" i="31" s="1"/>
  <c r="BE119" i="31"/>
  <c r="BE129" i="31" s="1"/>
  <c r="BF119" i="31"/>
  <c r="BF129" i="31" s="1"/>
  <c r="BG119" i="31"/>
  <c r="BG129" i="31" s="1"/>
  <c r="BH119" i="31"/>
  <c r="BH129" i="31" s="1"/>
  <c r="BI119" i="31"/>
  <c r="BI129" i="31" s="1"/>
  <c r="BJ119" i="31"/>
  <c r="BJ129" i="31" s="1"/>
  <c r="BK119" i="31"/>
  <c r="BK129" i="31" s="1"/>
  <c r="BL119" i="31"/>
  <c r="BL129" i="31" s="1"/>
  <c r="BM119" i="31"/>
  <c r="BM129" i="31" s="1"/>
  <c r="BN119" i="31"/>
  <c r="BN129" i="31" s="1"/>
  <c r="BO119" i="31"/>
  <c r="BO129" i="31" s="1"/>
  <c r="BP129" i="31" s="1"/>
  <c r="BP119" i="31"/>
  <c r="P120" i="31"/>
  <c r="AC120" i="31"/>
  <c r="AP120" i="31"/>
  <c r="BC120" i="31"/>
  <c r="BP120" i="31"/>
  <c r="P124" i="31"/>
  <c r="AC124" i="31"/>
  <c r="AP124" i="31"/>
  <c r="BC124" i="31"/>
  <c r="BP124" i="31"/>
  <c r="P125" i="31"/>
  <c r="AC125" i="31"/>
  <c r="AP125" i="31"/>
  <c r="BC125" i="31"/>
  <c r="BP125" i="31"/>
  <c r="P126" i="31"/>
  <c r="AC126" i="31"/>
  <c r="AP126" i="31"/>
  <c r="BC126" i="31"/>
  <c r="BP126" i="31"/>
  <c r="P127" i="31"/>
  <c r="AC127" i="31"/>
  <c r="AP127" i="31"/>
  <c r="BC127" i="31"/>
  <c r="BP127" i="31"/>
  <c r="P128" i="31"/>
  <c r="AC128" i="31"/>
  <c r="AP128" i="31"/>
  <c r="BC128" i="31"/>
  <c r="BP128" i="31"/>
  <c r="D129" i="31"/>
  <c r="E129" i="31"/>
  <c r="F129" i="31"/>
  <c r="G129" i="31"/>
  <c r="H129" i="31"/>
  <c r="I129" i="31"/>
  <c r="J129" i="31"/>
  <c r="K129" i="31"/>
  <c r="L129" i="31"/>
  <c r="M129" i="31"/>
  <c r="N129" i="31"/>
  <c r="O129" i="31"/>
  <c r="P129" i="31"/>
  <c r="Q129" i="31"/>
  <c r="R129" i="31"/>
  <c r="S129" i="31"/>
  <c r="T129" i="31"/>
  <c r="U129" i="31"/>
  <c r="V129" i="31"/>
  <c r="W129" i="31"/>
  <c r="X129" i="31"/>
  <c r="Y129" i="31"/>
  <c r="Z129" i="31"/>
  <c r="AA129" i="31"/>
  <c r="AB129" i="31"/>
  <c r="AD129" i="31"/>
  <c r="AE129" i="31"/>
  <c r="AF129" i="31"/>
  <c r="AG129" i="31"/>
  <c r="AH129" i="31"/>
  <c r="AI129" i="31"/>
  <c r="AJ129" i="31"/>
  <c r="AK129" i="31"/>
  <c r="AL129" i="31"/>
  <c r="AM129" i="31"/>
  <c r="AN129" i="31"/>
  <c r="AO129" i="31"/>
  <c r="AP129" i="31"/>
  <c r="AQ129" i="31"/>
  <c r="AR129" i="31"/>
  <c r="P1" i="30"/>
  <c r="AC1" i="30"/>
  <c r="AP1" i="30"/>
  <c r="BC1" i="30"/>
  <c r="BP1" i="30"/>
  <c r="M5" i="30"/>
  <c r="N5" i="30" s="1"/>
  <c r="O5" i="30" s="1"/>
  <c r="P5" i="30" s="1"/>
  <c r="Q5" i="30"/>
  <c r="R5" i="30"/>
  <c r="S5" i="30" s="1"/>
  <c r="AD5" i="30"/>
  <c r="AE5" i="30"/>
  <c r="AF5" i="30" s="1"/>
  <c r="AQ5" i="30"/>
  <c r="AR5" i="30"/>
  <c r="AS5" i="30"/>
  <c r="AT5" i="30" s="1"/>
  <c r="BD5" i="30"/>
  <c r="BE5" i="30"/>
  <c r="BF5" i="30" s="1"/>
  <c r="P10" i="30"/>
  <c r="D10" i="30" s="1"/>
  <c r="E10" i="30" s="1"/>
  <c r="F10" i="30" s="1"/>
  <c r="G10" i="30" s="1"/>
  <c r="H10" i="30" s="1"/>
  <c r="I10" i="30" s="1"/>
  <c r="J10" i="30" s="1"/>
  <c r="K10" i="30" s="1"/>
  <c r="L10" i="30" s="1"/>
  <c r="M10" i="30" s="1"/>
  <c r="N10" i="30" s="1"/>
  <c r="O10" i="30" s="1"/>
  <c r="P12" i="30"/>
  <c r="D12" i="30" s="1"/>
  <c r="E12" i="30" s="1"/>
  <c r="F12" i="30" s="1"/>
  <c r="G12" i="30" s="1"/>
  <c r="H12" i="30" s="1"/>
  <c r="I12" i="30" s="1"/>
  <c r="J12" i="30" s="1"/>
  <c r="K12" i="30" s="1"/>
  <c r="L12" i="30" s="1"/>
  <c r="M12" i="30" s="1"/>
  <c r="N12" i="30" s="1"/>
  <c r="O12" i="30" s="1"/>
  <c r="D16" i="30"/>
  <c r="E16" i="30" s="1"/>
  <c r="F16" i="30" s="1"/>
  <c r="G16" i="30" s="1"/>
  <c r="H16" i="30" s="1"/>
  <c r="I16" i="30" s="1"/>
  <c r="J16" i="30" s="1"/>
  <c r="K16" i="30" s="1"/>
  <c r="L16" i="30" s="1"/>
  <c r="M16" i="30" s="1"/>
  <c r="N16" i="30" s="1"/>
  <c r="O16" i="30" s="1"/>
  <c r="P16" i="30" s="1"/>
  <c r="Q16" i="30" s="1"/>
  <c r="R16" i="30" s="1"/>
  <c r="S16" i="30" s="1"/>
  <c r="T16" i="30" s="1"/>
  <c r="U16" i="30" s="1"/>
  <c r="V16" i="30" s="1"/>
  <c r="W16" i="30" s="1"/>
  <c r="X16" i="30" s="1"/>
  <c r="Y16" i="30" s="1"/>
  <c r="Z16" i="30" s="1"/>
  <c r="AA16" i="30" s="1"/>
  <c r="AB16" i="30" s="1"/>
  <c r="AC16" i="30" s="1"/>
  <c r="AD16" i="30" s="1"/>
  <c r="AE16" i="30" s="1"/>
  <c r="AF16" i="30" s="1"/>
  <c r="AG16" i="30" s="1"/>
  <c r="AH16" i="30" s="1"/>
  <c r="AI16" i="30" s="1"/>
  <c r="AJ16" i="30" s="1"/>
  <c r="AK16" i="30" s="1"/>
  <c r="AL16" i="30" s="1"/>
  <c r="AM16" i="30" s="1"/>
  <c r="AN16" i="30" s="1"/>
  <c r="AO16" i="30" s="1"/>
  <c r="AP16" i="30" s="1"/>
  <c r="AQ16" i="30" s="1"/>
  <c r="AR16" i="30" s="1"/>
  <c r="AS16" i="30" s="1"/>
  <c r="AT16" i="30" s="1"/>
  <c r="AU16" i="30" s="1"/>
  <c r="AV16" i="30" s="1"/>
  <c r="AW16" i="30" s="1"/>
  <c r="AX16" i="30" s="1"/>
  <c r="AY16" i="30" s="1"/>
  <c r="AZ16" i="30" s="1"/>
  <c r="BA16" i="30" s="1"/>
  <c r="BB16" i="30" s="1"/>
  <c r="BC16" i="30" s="1"/>
  <c r="BD16" i="30" s="1"/>
  <c r="BE16" i="30" s="1"/>
  <c r="BF16" i="30" s="1"/>
  <c r="BG16" i="30" s="1"/>
  <c r="BH16" i="30" s="1"/>
  <c r="BI16" i="30" s="1"/>
  <c r="BJ16" i="30" s="1"/>
  <c r="BK16" i="30" s="1"/>
  <c r="BL16" i="30" s="1"/>
  <c r="BM16" i="30" s="1"/>
  <c r="BN16" i="30" s="1"/>
  <c r="BO16" i="30" s="1"/>
  <c r="BP16" i="30" s="1"/>
  <c r="D17" i="30"/>
  <c r="P21" i="30"/>
  <c r="D21" i="30" s="1"/>
  <c r="E21" i="30" s="1"/>
  <c r="F21" i="30" s="1"/>
  <c r="G21" i="30" s="1"/>
  <c r="H21" i="30" s="1"/>
  <c r="I21" i="30" s="1"/>
  <c r="J21" i="30" s="1"/>
  <c r="K21" i="30" s="1"/>
  <c r="L21" i="30" s="1"/>
  <c r="M21" i="30" s="1"/>
  <c r="N21" i="30" s="1"/>
  <c r="O21" i="30" s="1"/>
  <c r="C23" i="30"/>
  <c r="C39" i="30" s="1"/>
  <c r="P23" i="30"/>
  <c r="P39" i="30" s="1"/>
  <c r="C26" i="30"/>
  <c r="C42" i="30" s="1"/>
  <c r="C27" i="30"/>
  <c r="C28" i="30"/>
  <c r="P35" i="30"/>
  <c r="D35" i="30" s="1"/>
  <c r="E35" i="30" s="1"/>
  <c r="F35" i="30" s="1"/>
  <c r="G35" i="30" s="1"/>
  <c r="H35" i="30" s="1"/>
  <c r="I35" i="30" s="1"/>
  <c r="J35" i="30" s="1"/>
  <c r="K35" i="30" s="1"/>
  <c r="L35" i="30" s="1"/>
  <c r="M35" i="30" s="1"/>
  <c r="N35" i="30" s="1"/>
  <c r="O35" i="30" s="1"/>
  <c r="AC35" i="30"/>
  <c r="Q35" i="30" s="1"/>
  <c r="R35" i="30" s="1"/>
  <c r="S35" i="30" s="1"/>
  <c r="T35" i="30" s="1"/>
  <c r="U35" i="30" s="1"/>
  <c r="V35" i="30" s="1"/>
  <c r="W35" i="30" s="1"/>
  <c r="X35" i="30" s="1"/>
  <c r="Y35" i="30" s="1"/>
  <c r="Z35" i="30" s="1"/>
  <c r="AA35" i="30" s="1"/>
  <c r="AB35" i="30" s="1"/>
  <c r="AP35" i="30"/>
  <c r="AD35" i="30" s="1"/>
  <c r="AE35" i="30" s="1"/>
  <c r="AF35" i="30" s="1"/>
  <c r="AG35" i="30" s="1"/>
  <c r="AH35" i="30" s="1"/>
  <c r="AI35" i="30" s="1"/>
  <c r="AJ35" i="30" s="1"/>
  <c r="AK35" i="30" s="1"/>
  <c r="AL35" i="30" s="1"/>
  <c r="AM35" i="30" s="1"/>
  <c r="AN35" i="30" s="1"/>
  <c r="AO35" i="30" s="1"/>
  <c r="BC35" i="30"/>
  <c r="AQ35" i="30" s="1"/>
  <c r="AR35" i="30" s="1"/>
  <c r="AS35" i="30" s="1"/>
  <c r="AT35" i="30" s="1"/>
  <c r="AU35" i="30" s="1"/>
  <c r="AV35" i="30" s="1"/>
  <c r="AW35" i="30" s="1"/>
  <c r="AX35" i="30" s="1"/>
  <c r="AY35" i="30" s="1"/>
  <c r="AZ35" i="30" s="1"/>
  <c r="BA35" i="30" s="1"/>
  <c r="BB35" i="30" s="1"/>
  <c r="BP35" i="30"/>
  <c r="BD35" i="30" s="1"/>
  <c r="BE35" i="30" s="1"/>
  <c r="BF35" i="30" s="1"/>
  <c r="BG35" i="30" s="1"/>
  <c r="BH35" i="30" s="1"/>
  <c r="BI35" i="30" s="1"/>
  <c r="BJ35" i="30" s="1"/>
  <c r="BK35" i="30" s="1"/>
  <c r="BL35" i="30" s="1"/>
  <c r="BM35" i="30" s="1"/>
  <c r="BN35" i="30" s="1"/>
  <c r="BO35" i="30" s="1"/>
  <c r="C43" i="30"/>
  <c r="C44" i="30"/>
  <c r="P67" i="30"/>
  <c r="D67" i="30" s="1"/>
  <c r="AC67" i="30"/>
  <c r="Q67" i="30" s="1"/>
  <c r="R67" i="30" s="1"/>
  <c r="S67" i="30" s="1"/>
  <c r="T67" i="30" s="1"/>
  <c r="U67" i="30" s="1"/>
  <c r="V67" i="30" s="1"/>
  <c r="W67" i="30" s="1"/>
  <c r="X67" i="30" s="1"/>
  <c r="Y67" i="30" s="1"/>
  <c r="Z67" i="30" s="1"/>
  <c r="AA67" i="30" s="1"/>
  <c r="AB67" i="30" s="1"/>
  <c r="AP67" i="30"/>
  <c r="AD67" i="30" s="1"/>
  <c r="AE67" i="30" s="1"/>
  <c r="AF67" i="30" s="1"/>
  <c r="AG67" i="30" s="1"/>
  <c r="AH67" i="30" s="1"/>
  <c r="AI67" i="30" s="1"/>
  <c r="AJ67" i="30" s="1"/>
  <c r="AK67" i="30" s="1"/>
  <c r="AL67" i="30" s="1"/>
  <c r="AM67" i="30" s="1"/>
  <c r="AN67" i="30" s="1"/>
  <c r="AO67" i="30" s="1"/>
  <c r="BC67" i="30"/>
  <c r="P69" i="30"/>
  <c r="D69" i="30" s="1"/>
  <c r="AC69" i="30"/>
  <c r="Q69" i="30" s="1"/>
  <c r="R69" i="30" s="1"/>
  <c r="S69" i="30" s="1"/>
  <c r="T69" i="30" s="1"/>
  <c r="U69" i="30" s="1"/>
  <c r="V69" i="30" s="1"/>
  <c r="W69" i="30" s="1"/>
  <c r="X69" i="30" s="1"/>
  <c r="Y69" i="30" s="1"/>
  <c r="Z69" i="30" s="1"/>
  <c r="AA69" i="30" s="1"/>
  <c r="AB69" i="30" s="1"/>
  <c r="AP69" i="30"/>
  <c r="AD69" i="30" s="1"/>
  <c r="AE69" i="30" s="1"/>
  <c r="AF69" i="30" s="1"/>
  <c r="AG69" i="30" s="1"/>
  <c r="AH69" i="30" s="1"/>
  <c r="AI69" i="30" s="1"/>
  <c r="AJ69" i="30" s="1"/>
  <c r="AK69" i="30" s="1"/>
  <c r="AL69" i="30" s="1"/>
  <c r="AM69" i="30" s="1"/>
  <c r="AN69" i="30" s="1"/>
  <c r="AO69" i="30" s="1"/>
  <c r="BC69" i="30"/>
  <c r="AQ69" i="30" s="1"/>
  <c r="AR69" i="30" s="1"/>
  <c r="AS69" i="30" s="1"/>
  <c r="AT69" i="30" s="1"/>
  <c r="AU69" i="30" s="1"/>
  <c r="AV69" i="30" s="1"/>
  <c r="AW69" i="30" s="1"/>
  <c r="AX69" i="30" s="1"/>
  <c r="AY69" i="30" s="1"/>
  <c r="AZ69" i="30" s="1"/>
  <c r="BA69" i="30" s="1"/>
  <c r="BB69" i="30" s="1"/>
  <c r="BP69" i="30"/>
  <c r="BD69" i="30" s="1"/>
  <c r="BE69" i="30" s="1"/>
  <c r="BF69" i="30" s="1"/>
  <c r="BG69" i="30" s="1"/>
  <c r="BH69" i="30" s="1"/>
  <c r="BI69" i="30" s="1"/>
  <c r="BJ69" i="30" s="1"/>
  <c r="BK69" i="30" s="1"/>
  <c r="BL69" i="30" s="1"/>
  <c r="BM69" i="30" s="1"/>
  <c r="BN69" i="30" s="1"/>
  <c r="BO69" i="30" s="1"/>
  <c r="P70" i="30"/>
  <c r="D70" i="30" s="1"/>
  <c r="AC70" i="30"/>
  <c r="Q70" i="30" s="1"/>
  <c r="R70" i="30" s="1"/>
  <c r="S70" i="30" s="1"/>
  <c r="T70" i="30" s="1"/>
  <c r="U70" i="30" s="1"/>
  <c r="V70" i="30" s="1"/>
  <c r="W70" i="30" s="1"/>
  <c r="X70" i="30" s="1"/>
  <c r="Y70" i="30" s="1"/>
  <c r="Z70" i="30" s="1"/>
  <c r="AA70" i="30" s="1"/>
  <c r="AB70" i="30" s="1"/>
  <c r="AP70" i="30"/>
  <c r="AD70" i="30" s="1"/>
  <c r="AE70" i="30" s="1"/>
  <c r="AF70" i="30" s="1"/>
  <c r="AG70" i="30" s="1"/>
  <c r="AH70" i="30" s="1"/>
  <c r="AI70" i="30" s="1"/>
  <c r="AJ70" i="30" s="1"/>
  <c r="AK70" i="30" s="1"/>
  <c r="AL70" i="30" s="1"/>
  <c r="AM70" i="30" s="1"/>
  <c r="AN70" i="30" s="1"/>
  <c r="AO70" i="30" s="1"/>
  <c r="BC70" i="30"/>
  <c r="AQ70" i="30" s="1"/>
  <c r="AR70" i="30" s="1"/>
  <c r="AS70" i="30" s="1"/>
  <c r="AT70" i="30" s="1"/>
  <c r="AU70" i="30" s="1"/>
  <c r="AV70" i="30" s="1"/>
  <c r="AW70" i="30" s="1"/>
  <c r="AX70" i="30" s="1"/>
  <c r="AY70" i="30" s="1"/>
  <c r="AZ70" i="30" s="1"/>
  <c r="BA70" i="30" s="1"/>
  <c r="BB70" i="30" s="1"/>
  <c r="BP70" i="30"/>
  <c r="BD70" i="30" s="1"/>
  <c r="BE70" i="30" s="1"/>
  <c r="BF70" i="30" s="1"/>
  <c r="BG70" i="30" s="1"/>
  <c r="BH70" i="30" s="1"/>
  <c r="BI70" i="30" s="1"/>
  <c r="BJ70" i="30" s="1"/>
  <c r="BK70" i="30" s="1"/>
  <c r="BL70" i="30" s="1"/>
  <c r="BM70" i="30" s="1"/>
  <c r="BN70" i="30" s="1"/>
  <c r="BO70" i="30" s="1"/>
  <c r="P71" i="30"/>
  <c r="D71" i="30" s="1"/>
  <c r="AC71" i="30"/>
  <c r="Q71" i="30" s="1"/>
  <c r="R71" i="30" s="1"/>
  <c r="S71" i="30" s="1"/>
  <c r="T71" i="30" s="1"/>
  <c r="U71" i="30" s="1"/>
  <c r="V71" i="30" s="1"/>
  <c r="W71" i="30" s="1"/>
  <c r="X71" i="30" s="1"/>
  <c r="Y71" i="30" s="1"/>
  <c r="Z71" i="30" s="1"/>
  <c r="AA71" i="30" s="1"/>
  <c r="AB71" i="30" s="1"/>
  <c r="AP71" i="30"/>
  <c r="AD71" i="30" s="1"/>
  <c r="AE71" i="30" s="1"/>
  <c r="AF71" i="30" s="1"/>
  <c r="AG71" i="30" s="1"/>
  <c r="AH71" i="30" s="1"/>
  <c r="AI71" i="30" s="1"/>
  <c r="AJ71" i="30" s="1"/>
  <c r="AK71" i="30" s="1"/>
  <c r="AL71" i="30" s="1"/>
  <c r="AM71" i="30" s="1"/>
  <c r="AN71" i="30" s="1"/>
  <c r="AO71" i="30" s="1"/>
  <c r="BC71" i="30"/>
  <c r="AQ71" i="30" s="1"/>
  <c r="AR71" i="30" s="1"/>
  <c r="AS71" i="30" s="1"/>
  <c r="AT71" i="30" s="1"/>
  <c r="AU71" i="30" s="1"/>
  <c r="AV71" i="30" s="1"/>
  <c r="AW71" i="30" s="1"/>
  <c r="AX71" i="30" s="1"/>
  <c r="AY71" i="30" s="1"/>
  <c r="AZ71" i="30" s="1"/>
  <c r="BA71" i="30" s="1"/>
  <c r="BB71" i="30" s="1"/>
  <c r="BP71" i="30"/>
  <c r="BD71" i="30" s="1"/>
  <c r="BE71" i="30" s="1"/>
  <c r="BF71" i="30" s="1"/>
  <c r="BG71" i="30" s="1"/>
  <c r="BH71" i="30" s="1"/>
  <c r="BI71" i="30" s="1"/>
  <c r="BJ71" i="30" s="1"/>
  <c r="BK71" i="30" s="1"/>
  <c r="BL71" i="30" s="1"/>
  <c r="BM71" i="30" s="1"/>
  <c r="BN71" i="30" s="1"/>
  <c r="BO71" i="30" s="1"/>
  <c r="P72" i="30"/>
  <c r="D72" i="30" s="1"/>
  <c r="AC72" i="30"/>
  <c r="Q72" i="30" s="1"/>
  <c r="R72" i="30" s="1"/>
  <c r="S72" i="30" s="1"/>
  <c r="T72" i="30" s="1"/>
  <c r="U72" i="30" s="1"/>
  <c r="V72" i="30" s="1"/>
  <c r="W72" i="30" s="1"/>
  <c r="X72" i="30" s="1"/>
  <c r="Y72" i="30" s="1"/>
  <c r="Z72" i="30" s="1"/>
  <c r="AA72" i="30" s="1"/>
  <c r="AB72" i="30" s="1"/>
  <c r="AP72" i="30"/>
  <c r="AD72" i="30" s="1"/>
  <c r="AE72" i="30" s="1"/>
  <c r="AF72" i="30" s="1"/>
  <c r="AG72" i="30" s="1"/>
  <c r="AH72" i="30" s="1"/>
  <c r="AI72" i="30" s="1"/>
  <c r="AJ72" i="30" s="1"/>
  <c r="AK72" i="30" s="1"/>
  <c r="AL72" i="30" s="1"/>
  <c r="AM72" i="30" s="1"/>
  <c r="AN72" i="30" s="1"/>
  <c r="AO72" i="30" s="1"/>
  <c r="BC72" i="30"/>
  <c r="AQ72" i="30" s="1"/>
  <c r="AR72" i="30" s="1"/>
  <c r="AS72" i="30" s="1"/>
  <c r="AT72" i="30" s="1"/>
  <c r="AU72" i="30" s="1"/>
  <c r="AV72" i="30" s="1"/>
  <c r="AW72" i="30" s="1"/>
  <c r="AX72" i="30" s="1"/>
  <c r="AY72" i="30" s="1"/>
  <c r="AZ72" i="30" s="1"/>
  <c r="BA72" i="30" s="1"/>
  <c r="BB72" i="30" s="1"/>
  <c r="BP72" i="30"/>
  <c r="BD72" i="30" s="1"/>
  <c r="BE72" i="30" s="1"/>
  <c r="BF72" i="30" s="1"/>
  <c r="BG72" i="30" s="1"/>
  <c r="BH72" i="30" s="1"/>
  <c r="BI72" i="30" s="1"/>
  <c r="BJ72" i="30" s="1"/>
  <c r="BK72" i="30" s="1"/>
  <c r="BL72" i="30" s="1"/>
  <c r="BM72" i="30" s="1"/>
  <c r="BN72" i="30" s="1"/>
  <c r="BO72" i="30" s="1"/>
  <c r="C74" i="30"/>
  <c r="D75" i="30"/>
  <c r="E75" i="30" s="1"/>
  <c r="AC75" i="30"/>
  <c r="Q75" i="30" s="1"/>
  <c r="AP75" i="30"/>
  <c r="D76" i="30"/>
  <c r="E76" i="30" s="1"/>
  <c r="F76" i="30" s="1"/>
  <c r="G76" i="30" s="1"/>
  <c r="H76" i="30" s="1"/>
  <c r="I76" i="30" s="1"/>
  <c r="J76" i="30" s="1"/>
  <c r="K76" i="30" s="1"/>
  <c r="L76" i="30" s="1"/>
  <c r="M76" i="30" s="1"/>
  <c r="N76" i="30" s="1"/>
  <c r="O76" i="30" s="1"/>
  <c r="AC76" i="30"/>
  <c r="P80" i="30"/>
  <c r="AC80" i="30" s="1"/>
  <c r="AP80" i="30" s="1"/>
  <c r="BC80" i="30" s="1"/>
  <c r="BP80" i="30" s="1"/>
  <c r="P81" i="30"/>
  <c r="P82" i="30" s="1"/>
  <c r="AC82" i="30" s="1"/>
  <c r="D83" i="30"/>
  <c r="E83" i="30" s="1"/>
  <c r="F83" i="30" s="1"/>
  <c r="G83" i="30" s="1"/>
  <c r="H83" i="30" s="1"/>
  <c r="I83" i="30" s="1"/>
  <c r="J83" i="30" s="1"/>
  <c r="K83" i="30" s="1"/>
  <c r="L83" i="30" s="1"/>
  <c r="M83" i="30" s="1"/>
  <c r="N83" i="30" s="1"/>
  <c r="O83" i="30" s="1"/>
  <c r="AC83" i="30"/>
  <c r="Q83" i="30" s="1"/>
  <c r="R83" i="30" s="1"/>
  <c r="S83" i="30" s="1"/>
  <c r="T83" i="30" s="1"/>
  <c r="U83" i="30" s="1"/>
  <c r="V83" i="30" s="1"/>
  <c r="W83" i="30" s="1"/>
  <c r="X83" i="30" s="1"/>
  <c r="Y83" i="30" s="1"/>
  <c r="Z83" i="30" s="1"/>
  <c r="AA83" i="30" s="1"/>
  <c r="AB83" i="30" s="1"/>
  <c r="AP83" i="30"/>
  <c r="AD83" i="30" s="1"/>
  <c r="AE83" i="30" s="1"/>
  <c r="AF83" i="30" s="1"/>
  <c r="AG83" i="30" s="1"/>
  <c r="AH83" i="30" s="1"/>
  <c r="AI83" i="30" s="1"/>
  <c r="AJ83" i="30" s="1"/>
  <c r="AK83" i="30" s="1"/>
  <c r="AL83" i="30" s="1"/>
  <c r="AM83" i="30" s="1"/>
  <c r="AN83" i="30" s="1"/>
  <c r="AO83" i="30" s="1"/>
  <c r="BC83" i="30"/>
  <c r="AQ83" i="30" s="1"/>
  <c r="AR83" i="30" s="1"/>
  <c r="AS83" i="30" s="1"/>
  <c r="AT83" i="30" s="1"/>
  <c r="AU83" i="30" s="1"/>
  <c r="AV83" i="30" s="1"/>
  <c r="AW83" i="30" s="1"/>
  <c r="AX83" i="30" s="1"/>
  <c r="AY83" i="30" s="1"/>
  <c r="AZ83" i="30" s="1"/>
  <c r="BA83" i="30" s="1"/>
  <c r="BB83" i="30" s="1"/>
  <c r="BP83" i="30"/>
  <c r="BD83" i="30" s="1"/>
  <c r="BE83" i="30" s="1"/>
  <c r="BF83" i="30" s="1"/>
  <c r="BG83" i="30" s="1"/>
  <c r="BH83" i="30" s="1"/>
  <c r="BI83" i="30" s="1"/>
  <c r="BJ83" i="30" s="1"/>
  <c r="BK83" i="30" s="1"/>
  <c r="BL83" i="30" s="1"/>
  <c r="BM83" i="30" s="1"/>
  <c r="BN83" i="30" s="1"/>
  <c r="BO83" i="30" s="1"/>
  <c r="C84" i="30"/>
  <c r="D85" i="30"/>
  <c r="E85" i="30"/>
  <c r="F85" i="30" s="1"/>
  <c r="G85" i="30" s="1"/>
  <c r="H85" i="30" s="1"/>
  <c r="I85" i="30" s="1"/>
  <c r="J85" i="30" s="1"/>
  <c r="K85" i="30" s="1"/>
  <c r="L85" i="30" s="1"/>
  <c r="M85" i="30" s="1"/>
  <c r="N85" i="30" s="1"/>
  <c r="O85" i="30" s="1"/>
  <c r="AC85" i="30"/>
  <c r="P86" i="30"/>
  <c r="D86" i="30" s="1"/>
  <c r="E86" i="30" s="1"/>
  <c r="F86" i="30" s="1"/>
  <c r="G86" i="30" s="1"/>
  <c r="H86" i="30" s="1"/>
  <c r="I86" i="30" s="1"/>
  <c r="J86" i="30" s="1"/>
  <c r="K86" i="30" s="1"/>
  <c r="L86" i="30" s="1"/>
  <c r="M86" i="30" s="1"/>
  <c r="N86" i="30" s="1"/>
  <c r="O86" i="30" s="1"/>
  <c r="D87" i="30"/>
  <c r="E87" i="30"/>
  <c r="F87" i="30"/>
  <c r="G87" i="30" s="1"/>
  <c r="H87" i="30" s="1"/>
  <c r="I87" i="30" s="1"/>
  <c r="J87" i="30" s="1"/>
  <c r="K87" i="30" s="1"/>
  <c r="L87" i="30" s="1"/>
  <c r="M87" i="30" s="1"/>
  <c r="N87" i="30" s="1"/>
  <c r="O87" i="30" s="1"/>
  <c r="AC87" i="30"/>
  <c r="D89" i="30"/>
  <c r="E89" i="30"/>
  <c r="F89" i="30" s="1"/>
  <c r="G89" i="30" s="1"/>
  <c r="H89" i="30" s="1"/>
  <c r="I89" i="30" s="1"/>
  <c r="J89" i="30" s="1"/>
  <c r="K89" i="30" s="1"/>
  <c r="L89" i="30" s="1"/>
  <c r="M89" i="30" s="1"/>
  <c r="N89" i="30" s="1"/>
  <c r="O89" i="30" s="1"/>
  <c r="AC89" i="30"/>
  <c r="Q89" i="30" s="1"/>
  <c r="R89" i="30" s="1"/>
  <c r="S89" i="30" s="1"/>
  <c r="T89" i="30" s="1"/>
  <c r="U89" i="30" s="1"/>
  <c r="V89" i="30" s="1"/>
  <c r="W89" i="30" s="1"/>
  <c r="X89" i="30" s="1"/>
  <c r="Y89" i="30" s="1"/>
  <c r="Z89" i="30" s="1"/>
  <c r="AA89" i="30" s="1"/>
  <c r="AB89" i="30" s="1"/>
  <c r="AP89" i="30"/>
  <c r="AD89" i="30" s="1"/>
  <c r="AE89" i="30" s="1"/>
  <c r="AF89" i="30" s="1"/>
  <c r="AG89" i="30" s="1"/>
  <c r="AH89" i="30" s="1"/>
  <c r="AI89" i="30" s="1"/>
  <c r="AJ89" i="30" s="1"/>
  <c r="AK89" i="30" s="1"/>
  <c r="AL89" i="30" s="1"/>
  <c r="AM89" i="30" s="1"/>
  <c r="AN89" i="30" s="1"/>
  <c r="AO89" i="30" s="1"/>
  <c r="BC89" i="30"/>
  <c r="D91" i="30"/>
  <c r="E91" i="30" s="1"/>
  <c r="F91" i="30" s="1"/>
  <c r="G91" i="30" s="1"/>
  <c r="H91" i="30" s="1"/>
  <c r="I91" i="30" s="1"/>
  <c r="J91" i="30" s="1"/>
  <c r="K91" i="30" s="1"/>
  <c r="L91" i="30" s="1"/>
  <c r="M91" i="30" s="1"/>
  <c r="N91" i="30" s="1"/>
  <c r="O91" i="30" s="1"/>
  <c r="AC91" i="30"/>
  <c r="D92" i="30"/>
  <c r="E92" i="30" s="1"/>
  <c r="F92" i="30" s="1"/>
  <c r="G92" i="30" s="1"/>
  <c r="H92" i="30" s="1"/>
  <c r="I92" i="30" s="1"/>
  <c r="J92" i="30" s="1"/>
  <c r="K92" i="30" s="1"/>
  <c r="L92" i="30" s="1"/>
  <c r="M92" i="30" s="1"/>
  <c r="N92" i="30" s="1"/>
  <c r="O92" i="30" s="1"/>
  <c r="AC92" i="30"/>
  <c r="Q92" i="30" s="1"/>
  <c r="R92" i="30" s="1"/>
  <c r="S92" i="30" s="1"/>
  <c r="T92" i="30" s="1"/>
  <c r="U92" i="30" s="1"/>
  <c r="V92" i="30" s="1"/>
  <c r="W92" i="30" s="1"/>
  <c r="X92" i="30" s="1"/>
  <c r="Y92" i="30" s="1"/>
  <c r="Z92" i="30" s="1"/>
  <c r="AA92" i="30" s="1"/>
  <c r="AB92" i="30" s="1"/>
  <c r="AP92" i="30"/>
  <c r="D93" i="30"/>
  <c r="E93" i="30"/>
  <c r="F93" i="30" s="1"/>
  <c r="G93" i="30" s="1"/>
  <c r="H93" i="30" s="1"/>
  <c r="I93" i="30" s="1"/>
  <c r="J93" i="30" s="1"/>
  <c r="K93" i="30" s="1"/>
  <c r="L93" i="30" s="1"/>
  <c r="M93" i="30" s="1"/>
  <c r="N93" i="30" s="1"/>
  <c r="O93" i="30" s="1"/>
  <c r="AC93" i="30"/>
  <c r="Q93" i="30" s="1"/>
  <c r="R93" i="30" s="1"/>
  <c r="S93" i="30" s="1"/>
  <c r="T93" i="30" s="1"/>
  <c r="U93" i="30" s="1"/>
  <c r="V93" i="30" s="1"/>
  <c r="W93" i="30" s="1"/>
  <c r="X93" i="30" s="1"/>
  <c r="Y93" i="30" s="1"/>
  <c r="Z93" i="30" s="1"/>
  <c r="AA93" i="30" s="1"/>
  <c r="AB93" i="30" s="1"/>
  <c r="AP93" i="30"/>
  <c r="AD93" i="30" s="1"/>
  <c r="AE93" i="30" s="1"/>
  <c r="AF93" i="30" s="1"/>
  <c r="AG93" i="30" s="1"/>
  <c r="AH93" i="30" s="1"/>
  <c r="AI93" i="30" s="1"/>
  <c r="AJ93" i="30" s="1"/>
  <c r="AK93" i="30" s="1"/>
  <c r="AL93" i="30" s="1"/>
  <c r="AM93" i="30" s="1"/>
  <c r="AN93" i="30" s="1"/>
  <c r="AO93" i="30" s="1"/>
  <c r="BC93" i="30"/>
  <c r="AQ93" i="30" s="1"/>
  <c r="AR93" i="30" s="1"/>
  <c r="AS93" i="30" s="1"/>
  <c r="AT93" i="30" s="1"/>
  <c r="AU93" i="30" s="1"/>
  <c r="AV93" i="30" s="1"/>
  <c r="AW93" i="30" s="1"/>
  <c r="AX93" i="30" s="1"/>
  <c r="AY93" i="30" s="1"/>
  <c r="AZ93" i="30" s="1"/>
  <c r="BA93" i="30" s="1"/>
  <c r="BB93" i="30" s="1"/>
  <c r="BP93" i="30"/>
  <c r="BD93" i="30" s="1"/>
  <c r="BE93" i="30" s="1"/>
  <c r="BF93" i="30" s="1"/>
  <c r="BG93" i="30" s="1"/>
  <c r="BH93" i="30" s="1"/>
  <c r="BI93" i="30" s="1"/>
  <c r="BJ93" i="30" s="1"/>
  <c r="BK93" i="30" s="1"/>
  <c r="BL93" i="30" s="1"/>
  <c r="BM93" i="30" s="1"/>
  <c r="BN93" i="30" s="1"/>
  <c r="BO93" i="30" s="1"/>
  <c r="D94" i="30"/>
  <c r="E94" i="30"/>
  <c r="F94" i="30"/>
  <c r="G94" i="30" s="1"/>
  <c r="H94" i="30" s="1"/>
  <c r="I94" i="30" s="1"/>
  <c r="J94" i="30" s="1"/>
  <c r="K94" i="30" s="1"/>
  <c r="L94" i="30" s="1"/>
  <c r="M94" i="30" s="1"/>
  <c r="N94" i="30" s="1"/>
  <c r="O94" i="30" s="1"/>
  <c r="AC94" i="30"/>
  <c r="Q94" i="30" s="1"/>
  <c r="R94" i="30" s="1"/>
  <c r="S94" i="30" s="1"/>
  <c r="T94" i="30" s="1"/>
  <c r="U94" i="30" s="1"/>
  <c r="V94" i="30" s="1"/>
  <c r="W94" i="30" s="1"/>
  <c r="X94" i="30" s="1"/>
  <c r="Y94" i="30" s="1"/>
  <c r="Z94" i="30" s="1"/>
  <c r="AA94" i="30" s="1"/>
  <c r="AB94" i="30" s="1"/>
  <c r="AP94" i="30"/>
  <c r="AD94" i="30" s="1"/>
  <c r="AE94" i="30" s="1"/>
  <c r="AF94" i="30" s="1"/>
  <c r="AG94" i="30" s="1"/>
  <c r="AH94" i="30" s="1"/>
  <c r="AI94" i="30" s="1"/>
  <c r="AJ94" i="30" s="1"/>
  <c r="AK94" i="30" s="1"/>
  <c r="AL94" i="30" s="1"/>
  <c r="AM94" i="30" s="1"/>
  <c r="AN94" i="30" s="1"/>
  <c r="AO94" i="30" s="1"/>
  <c r="BC94" i="30"/>
  <c r="AQ94" i="30" s="1"/>
  <c r="AR94" i="30" s="1"/>
  <c r="AS94" i="30" s="1"/>
  <c r="AT94" i="30" s="1"/>
  <c r="AU94" i="30" s="1"/>
  <c r="AV94" i="30" s="1"/>
  <c r="AW94" i="30" s="1"/>
  <c r="AX94" i="30" s="1"/>
  <c r="AY94" i="30" s="1"/>
  <c r="AZ94" i="30" s="1"/>
  <c r="BA94" i="30" s="1"/>
  <c r="BB94" i="30" s="1"/>
  <c r="BP94" i="30"/>
  <c r="BD94" i="30" s="1"/>
  <c r="BE94" i="30" s="1"/>
  <c r="BF94" i="30" s="1"/>
  <c r="BG94" i="30" s="1"/>
  <c r="BH94" i="30" s="1"/>
  <c r="BI94" i="30" s="1"/>
  <c r="BJ94" i="30" s="1"/>
  <c r="BK94" i="30" s="1"/>
  <c r="BL94" i="30" s="1"/>
  <c r="BM94" i="30" s="1"/>
  <c r="BN94" i="30" s="1"/>
  <c r="BO94" i="30" s="1"/>
  <c r="D100" i="30"/>
  <c r="E100" i="30"/>
  <c r="F100" i="30"/>
  <c r="G100" i="30"/>
  <c r="H100" i="30"/>
  <c r="I100" i="30"/>
  <c r="J100" i="30"/>
  <c r="K100" i="30"/>
  <c r="L100" i="30"/>
  <c r="M100" i="30"/>
  <c r="N100" i="30"/>
  <c r="O100" i="30"/>
  <c r="P100" i="30"/>
  <c r="Q100" i="30"/>
  <c r="R100" i="30"/>
  <c r="S100" i="30"/>
  <c r="T100" i="30"/>
  <c r="U100" i="30"/>
  <c r="V100" i="30"/>
  <c r="W100" i="30"/>
  <c r="X100" i="30"/>
  <c r="Y100" i="30"/>
  <c r="Z100" i="30"/>
  <c r="AA100" i="30"/>
  <c r="AB100" i="30"/>
  <c r="AC100" i="30"/>
  <c r="AD100" i="30"/>
  <c r="AE100" i="30"/>
  <c r="AF100" i="30"/>
  <c r="AG100" i="30"/>
  <c r="AH100" i="30"/>
  <c r="AI100" i="30"/>
  <c r="AJ100" i="30"/>
  <c r="AK100" i="30"/>
  <c r="AL100" i="30"/>
  <c r="AM100" i="30"/>
  <c r="AN100" i="30"/>
  <c r="AO100" i="30"/>
  <c r="AQ100" i="30"/>
  <c r="AR100" i="30"/>
  <c r="AS100" i="30"/>
  <c r="AT100" i="30"/>
  <c r="AU100" i="30"/>
  <c r="AV100" i="30"/>
  <c r="AW100" i="30"/>
  <c r="AX100" i="30"/>
  <c r="AY100" i="30"/>
  <c r="AZ100" i="30"/>
  <c r="BA100" i="30"/>
  <c r="BB100" i="30"/>
  <c r="BC100" i="30"/>
  <c r="BD100" i="30"/>
  <c r="BE100" i="30"/>
  <c r="BF100" i="30"/>
  <c r="BG100" i="30"/>
  <c r="BH100" i="30"/>
  <c r="BI100" i="30"/>
  <c r="BJ100" i="30"/>
  <c r="BK100" i="30"/>
  <c r="BL100" i="30"/>
  <c r="BM100" i="30"/>
  <c r="BN100" i="30"/>
  <c r="BO100" i="30"/>
  <c r="BP100" i="30"/>
  <c r="P101" i="30"/>
  <c r="AC101" i="30"/>
  <c r="AP101" i="30"/>
  <c r="BC101" i="30"/>
  <c r="BP101" i="30"/>
  <c r="P102" i="30"/>
  <c r="AC102" i="30"/>
  <c r="AP102" i="30"/>
  <c r="BC102" i="30"/>
  <c r="BP102" i="30"/>
  <c r="P103" i="30"/>
  <c r="AC103" i="30"/>
  <c r="AP103" i="30"/>
  <c r="BC103" i="30"/>
  <c r="BP103" i="30"/>
  <c r="P114" i="30"/>
  <c r="AC114" i="30"/>
  <c r="AP114" i="30"/>
  <c r="BC114" i="30"/>
  <c r="BP114" i="30"/>
  <c r="P115" i="30"/>
  <c r="AC115" i="30"/>
  <c r="AP115" i="30"/>
  <c r="BC115" i="30"/>
  <c r="BP115" i="30"/>
  <c r="P116" i="30"/>
  <c r="AC116" i="30"/>
  <c r="AP116" i="30"/>
  <c r="BC116" i="30"/>
  <c r="BP116" i="30"/>
  <c r="P118" i="30"/>
  <c r="AC118" i="30"/>
  <c r="AP118" i="30"/>
  <c r="BC118" i="30"/>
  <c r="BP118" i="30"/>
  <c r="D119" i="30"/>
  <c r="E119" i="30"/>
  <c r="F119" i="30"/>
  <c r="G119" i="30"/>
  <c r="H119" i="30"/>
  <c r="I119" i="30"/>
  <c r="J119" i="30"/>
  <c r="K119" i="30"/>
  <c r="L119" i="30"/>
  <c r="M119" i="30"/>
  <c r="N119" i="30"/>
  <c r="O119" i="30"/>
  <c r="P119" i="30"/>
  <c r="R119" i="30"/>
  <c r="S119" i="30"/>
  <c r="T119" i="30"/>
  <c r="U119" i="30"/>
  <c r="V119" i="30"/>
  <c r="W119" i="30"/>
  <c r="X119" i="30"/>
  <c r="Y119" i="30"/>
  <c r="Z119" i="30"/>
  <c r="AA119" i="30"/>
  <c r="AB119" i="30"/>
  <c r="AE119" i="30"/>
  <c r="AF119" i="30"/>
  <c r="AG119" i="30"/>
  <c r="AH119" i="30"/>
  <c r="AI119" i="30"/>
  <c r="AJ119" i="30"/>
  <c r="AK119" i="30"/>
  <c r="AL119" i="30"/>
  <c r="AM119" i="30"/>
  <c r="AN119" i="30"/>
  <c r="AO119" i="30"/>
  <c r="AR119" i="30"/>
  <c r="AS119" i="30"/>
  <c r="AT119" i="30"/>
  <c r="AU119" i="30"/>
  <c r="AV119" i="30"/>
  <c r="AW119" i="30"/>
  <c r="AX119" i="30"/>
  <c r="AY119" i="30"/>
  <c r="AZ119" i="30"/>
  <c r="BA119" i="30"/>
  <c r="BB119" i="30"/>
  <c r="BE119" i="30"/>
  <c r="BF119" i="30"/>
  <c r="BG119" i="30"/>
  <c r="BH119" i="30"/>
  <c r="BI119" i="30"/>
  <c r="BJ119" i="30"/>
  <c r="BK119" i="30"/>
  <c r="BL119" i="30"/>
  <c r="BM119" i="30"/>
  <c r="BN119" i="30"/>
  <c r="BO119" i="30"/>
  <c r="P120" i="30"/>
  <c r="AC120" i="30"/>
  <c r="AP120" i="30"/>
  <c r="BC120" i="30"/>
  <c r="BP120" i="30"/>
  <c r="P124" i="30"/>
  <c r="AC124" i="30"/>
  <c r="AP124" i="30"/>
  <c r="BC124" i="30"/>
  <c r="BP124" i="30"/>
  <c r="P125" i="30"/>
  <c r="AC125" i="30"/>
  <c r="AP125" i="30"/>
  <c r="BC125" i="30"/>
  <c r="BP125" i="30"/>
  <c r="P126" i="30"/>
  <c r="AC126" i="30"/>
  <c r="AP126" i="30"/>
  <c r="BC126" i="30"/>
  <c r="BP126" i="30"/>
  <c r="P127" i="30"/>
  <c r="AC127" i="30"/>
  <c r="AP127" i="30"/>
  <c r="BC127" i="30"/>
  <c r="BP127" i="30"/>
  <c r="P128" i="30"/>
  <c r="AC128" i="30"/>
  <c r="AP128" i="30"/>
  <c r="BC128" i="30"/>
  <c r="BP128" i="30"/>
  <c r="D129" i="30"/>
  <c r="E129" i="30"/>
  <c r="F129" i="30"/>
  <c r="G129" i="30"/>
  <c r="H129" i="30"/>
  <c r="I129" i="30"/>
  <c r="J129" i="30"/>
  <c r="K129" i="30"/>
  <c r="L129" i="30"/>
  <c r="M129" i="30"/>
  <c r="N129" i="30"/>
  <c r="O129" i="30"/>
  <c r="P129" i="30"/>
  <c r="R129" i="30"/>
  <c r="S129" i="30"/>
  <c r="T129" i="30"/>
  <c r="U129" i="30"/>
  <c r="V129" i="30"/>
  <c r="W129" i="30"/>
  <c r="X129" i="30"/>
  <c r="Y129" i="30"/>
  <c r="Z129" i="30"/>
  <c r="AA129" i="30"/>
  <c r="AB129" i="30"/>
  <c r="AE129" i="30"/>
  <c r="AF129" i="30"/>
  <c r="AG129" i="30"/>
  <c r="AH129" i="30"/>
  <c r="AI129" i="30"/>
  <c r="AJ129" i="30"/>
  <c r="AK129" i="30"/>
  <c r="AL129" i="30"/>
  <c r="AM129" i="30"/>
  <c r="AN129" i="30"/>
  <c r="AO129" i="30"/>
  <c r="AR129" i="30"/>
  <c r="AS129" i="30"/>
  <c r="AT129" i="30"/>
  <c r="AU129" i="30"/>
  <c r="AV129" i="30"/>
  <c r="AW129" i="30"/>
  <c r="AX129" i="30"/>
  <c r="AY129" i="30"/>
  <c r="AZ129" i="30"/>
  <c r="BA129" i="30"/>
  <c r="BB129" i="30"/>
  <c r="BE129" i="30"/>
  <c r="BF129" i="30"/>
  <c r="BG129" i="30"/>
  <c r="BH129" i="30"/>
  <c r="BI129" i="30"/>
  <c r="BJ129" i="30"/>
  <c r="BK129" i="30"/>
  <c r="BL129" i="30"/>
  <c r="BM129" i="30"/>
  <c r="BN129" i="30"/>
  <c r="BO129" i="30"/>
  <c r="P1" i="29"/>
  <c r="AC1" i="29"/>
  <c r="AP1" i="29"/>
  <c r="BC1" i="29"/>
  <c r="BP1" i="29"/>
  <c r="D5" i="29"/>
  <c r="E5" i="29"/>
  <c r="F5" i="29" s="1"/>
  <c r="Q5" i="29"/>
  <c r="R5" i="29"/>
  <c r="S5" i="29" s="1"/>
  <c r="AD5" i="29"/>
  <c r="AE5" i="29"/>
  <c r="AF5" i="29" s="1"/>
  <c r="AQ5" i="29"/>
  <c r="AR5" i="29"/>
  <c r="AS5" i="29" s="1"/>
  <c r="BD5" i="29"/>
  <c r="BE5" i="29"/>
  <c r="P6" i="29"/>
  <c r="P5" i="27" s="1"/>
  <c r="AC6" i="29"/>
  <c r="AP6" i="29"/>
  <c r="BC6" i="29"/>
  <c r="BP6" i="29"/>
  <c r="P8" i="29"/>
  <c r="P10" i="29"/>
  <c r="P12" i="29"/>
  <c r="P14" i="29"/>
  <c r="AC14" i="29"/>
  <c r="AP14" i="29"/>
  <c r="BC14" i="29"/>
  <c r="BP14" i="29"/>
  <c r="D16" i="29"/>
  <c r="P21" i="29"/>
  <c r="AC21" i="29"/>
  <c r="AP21" i="29"/>
  <c r="BC21" i="29"/>
  <c r="BP21" i="29"/>
  <c r="P23" i="29"/>
  <c r="AC23" i="29"/>
  <c r="AP23" i="29"/>
  <c r="BC23" i="29"/>
  <c r="BP23" i="29"/>
  <c r="D29" i="29"/>
  <c r="E29" i="29" s="1"/>
  <c r="F29" i="29" s="1"/>
  <c r="G29" i="29" s="1"/>
  <c r="H29" i="29" s="1"/>
  <c r="I29" i="29" s="1"/>
  <c r="J29" i="29" s="1"/>
  <c r="K29" i="29" s="1"/>
  <c r="L29" i="29" s="1"/>
  <c r="M29" i="29" s="1"/>
  <c r="N29" i="29" s="1"/>
  <c r="O29" i="29" s="1"/>
  <c r="Q29" i="29"/>
  <c r="R29" i="29"/>
  <c r="S29" i="29" s="1"/>
  <c r="T29" i="29" s="1"/>
  <c r="U29" i="29" s="1"/>
  <c r="V29" i="29" s="1"/>
  <c r="W29" i="29" s="1"/>
  <c r="X29" i="29" s="1"/>
  <c r="Y29" i="29" s="1"/>
  <c r="Z29" i="29" s="1"/>
  <c r="AA29" i="29" s="1"/>
  <c r="AB29" i="29" s="1"/>
  <c r="AD29" i="29"/>
  <c r="AE29" i="29" s="1"/>
  <c r="AF29" i="29" s="1"/>
  <c r="AG29" i="29" s="1"/>
  <c r="AH29" i="29" s="1"/>
  <c r="AI29" i="29" s="1"/>
  <c r="AJ29" i="29" s="1"/>
  <c r="AK29" i="29" s="1"/>
  <c r="AL29" i="29" s="1"/>
  <c r="AM29" i="29" s="1"/>
  <c r="AN29" i="29" s="1"/>
  <c r="AO29" i="29" s="1"/>
  <c r="AQ29" i="29"/>
  <c r="AR29" i="29"/>
  <c r="AS29" i="29" s="1"/>
  <c r="AT29" i="29" s="1"/>
  <c r="AU29" i="29" s="1"/>
  <c r="AV29" i="29" s="1"/>
  <c r="AW29" i="29" s="1"/>
  <c r="AX29" i="29" s="1"/>
  <c r="AY29" i="29" s="1"/>
  <c r="AZ29" i="29" s="1"/>
  <c r="BA29" i="29" s="1"/>
  <c r="BB29" i="29" s="1"/>
  <c r="BD29" i="29"/>
  <c r="BE29" i="29" s="1"/>
  <c r="BF29" i="29" s="1"/>
  <c r="BG29" i="29" s="1"/>
  <c r="BH29" i="29" s="1"/>
  <c r="BI29" i="29" s="1"/>
  <c r="BJ29" i="29" s="1"/>
  <c r="BK29" i="29" s="1"/>
  <c r="BL29" i="29" s="1"/>
  <c r="BM29" i="29" s="1"/>
  <c r="BN29" i="29" s="1"/>
  <c r="BO29" i="29" s="1"/>
  <c r="D30" i="29"/>
  <c r="E30" i="29"/>
  <c r="F30" i="29" s="1"/>
  <c r="G30" i="29" s="1"/>
  <c r="H30" i="29" s="1"/>
  <c r="I30" i="29" s="1"/>
  <c r="J30" i="29" s="1"/>
  <c r="K30" i="29" s="1"/>
  <c r="L30" i="29" s="1"/>
  <c r="M30" i="29" s="1"/>
  <c r="N30" i="29" s="1"/>
  <c r="O30" i="29" s="1"/>
  <c r="AC30" i="29"/>
  <c r="D31" i="29"/>
  <c r="E31" i="29" s="1"/>
  <c r="F31" i="29" s="1"/>
  <c r="G31" i="29" s="1"/>
  <c r="H31" i="29" s="1"/>
  <c r="I31" i="29" s="1"/>
  <c r="J31" i="29" s="1"/>
  <c r="K31" i="29" s="1"/>
  <c r="L31" i="29" s="1"/>
  <c r="M31" i="29" s="1"/>
  <c r="N31" i="29" s="1"/>
  <c r="O31" i="29" s="1"/>
  <c r="Q31" i="29"/>
  <c r="R31" i="29"/>
  <c r="S31" i="29" s="1"/>
  <c r="T31" i="29" s="1"/>
  <c r="U31" i="29" s="1"/>
  <c r="V31" i="29" s="1"/>
  <c r="W31" i="29" s="1"/>
  <c r="X31" i="29" s="1"/>
  <c r="Y31" i="29" s="1"/>
  <c r="Z31" i="29" s="1"/>
  <c r="AA31" i="29" s="1"/>
  <c r="AB31" i="29" s="1"/>
  <c r="AD31" i="29"/>
  <c r="AE31" i="29"/>
  <c r="AF31" i="29" s="1"/>
  <c r="AG31" i="29" s="1"/>
  <c r="AH31" i="29" s="1"/>
  <c r="AI31" i="29" s="1"/>
  <c r="AJ31" i="29" s="1"/>
  <c r="AK31" i="29" s="1"/>
  <c r="AL31" i="29" s="1"/>
  <c r="AM31" i="29" s="1"/>
  <c r="AN31" i="29" s="1"/>
  <c r="AO31" i="29" s="1"/>
  <c r="AQ31" i="29"/>
  <c r="AR31" i="29"/>
  <c r="AS31" i="29" s="1"/>
  <c r="AT31" i="29" s="1"/>
  <c r="AU31" i="29" s="1"/>
  <c r="AV31" i="29" s="1"/>
  <c r="AW31" i="29" s="1"/>
  <c r="AX31" i="29" s="1"/>
  <c r="AY31" i="29" s="1"/>
  <c r="AZ31" i="29" s="1"/>
  <c r="BA31" i="29" s="1"/>
  <c r="BB31" i="29" s="1"/>
  <c r="BD31" i="29"/>
  <c r="BE31" i="29" s="1"/>
  <c r="BF31" i="29" s="1"/>
  <c r="BG31" i="29" s="1"/>
  <c r="BH31" i="29" s="1"/>
  <c r="BI31" i="29" s="1"/>
  <c r="BJ31" i="29" s="1"/>
  <c r="BK31" i="29" s="1"/>
  <c r="BL31" i="29" s="1"/>
  <c r="BM31" i="29" s="1"/>
  <c r="BN31" i="29" s="1"/>
  <c r="BO31" i="29" s="1"/>
  <c r="C32" i="29"/>
  <c r="D33" i="29"/>
  <c r="E33" i="29"/>
  <c r="F33" i="29" s="1"/>
  <c r="G33" i="29" s="1"/>
  <c r="H33" i="29" s="1"/>
  <c r="I33" i="29" s="1"/>
  <c r="J33" i="29" s="1"/>
  <c r="K33" i="29" s="1"/>
  <c r="L33" i="29" s="1"/>
  <c r="M33" i="29" s="1"/>
  <c r="N33" i="29" s="1"/>
  <c r="O33" i="29" s="1"/>
  <c r="AC33" i="29"/>
  <c r="D40" i="29"/>
  <c r="D79" i="29" s="1"/>
  <c r="E40" i="29"/>
  <c r="E79" i="29" s="1"/>
  <c r="F40" i="29"/>
  <c r="F79" i="29" s="1"/>
  <c r="G40" i="29"/>
  <c r="G79" i="29" s="1"/>
  <c r="H40" i="29"/>
  <c r="H79" i="29" s="1"/>
  <c r="I40" i="29"/>
  <c r="I79" i="29" s="1"/>
  <c r="J40" i="29"/>
  <c r="J79" i="29" s="1"/>
  <c r="K40" i="29"/>
  <c r="K79" i="29" s="1"/>
  <c r="L40" i="29"/>
  <c r="L79" i="29" s="1"/>
  <c r="M40" i="29"/>
  <c r="M79" i="29" s="1"/>
  <c r="N40" i="29"/>
  <c r="N79" i="29" s="1"/>
  <c r="O40" i="29"/>
  <c r="O79" i="29" s="1"/>
  <c r="P40" i="29"/>
  <c r="Q40" i="29"/>
  <c r="Q79" i="29" s="1"/>
  <c r="R40" i="29"/>
  <c r="R79" i="29" s="1"/>
  <c r="S40" i="29"/>
  <c r="S79" i="29" s="1"/>
  <c r="T40" i="29"/>
  <c r="T79" i="29" s="1"/>
  <c r="U40" i="29"/>
  <c r="U79" i="29" s="1"/>
  <c r="V40" i="29"/>
  <c r="V79" i="29" s="1"/>
  <c r="W40" i="29"/>
  <c r="W79" i="29" s="1"/>
  <c r="X40" i="29"/>
  <c r="X79" i="29" s="1"/>
  <c r="Y40" i="29"/>
  <c r="Y79" i="29" s="1"/>
  <c r="Z40" i="29"/>
  <c r="Z79" i="29" s="1"/>
  <c r="AA40" i="29"/>
  <c r="AA79" i="29" s="1"/>
  <c r="AB40" i="29"/>
  <c r="AB79" i="29" s="1"/>
  <c r="AD40" i="29"/>
  <c r="AD79" i="29" s="1"/>
  <c r="AE40" i="29"/>
  <c r="AE79" i="29" s="1"/>
  <c r="AF40" i="29"/>
  <c r="AF79" i="29" s="1"/>
  <c r="AG40" i="29"/>
  <c r="AG79" i="29" s="1"/>
  <c r="AH40" i="29"/>
  <c r="AH79" i="29" s="1"/>
  <c r="AI40" i="29"/>
  <c r="AI79" i="29" s="1"/>
  <c r="AJ40" i="29"/>
  <c r="AJ79" i="29" s="1"/>
  <c r="AK40" i="29"/>
  <c r="AK79" i="29" s="1"/>
  <c r="AL40" i="29"/>
  <c r="AL79" i="29" s="1"/>
  <c r="AM40" i="29"/>
  <c r="AM79" i="29" s="1"/>
  <c r="AN40" i="29"/>
  <c r="AN79" i="29" s="1"/>
  <c r="AO40" i="29"/>
  <c r="AO79" i="29" s="1"/>
  <c r="AQ40" i="29"/>
  <c r="AQ79" i="29" s="1"/>
  <c r="AR40" i="29"/>
  <c r="AR79" i="29" s="1"/>
  <c r="AS40" i="29"/>
  <c r="AS79" i="29" s="1"/>
  <c r="AT40" i="29"/>
  <c r="AT79" i="29" s="1"/>
  <c r="AU40" i="29"/>
  <c r="AU79" i="29" s="1"/>
  <c r="AV40" i="29"/>
  <c r="AV79" i="29" s="1"/>
  <c r="AW40" i="29"/>
  <c r="AW79" i="29" s="1"/>
  <c r="AX40" i="29"/>
  <c r="AX79" i="29" s="1"/>
  <c r="AY40" i="29"/>
  <c r="AY79" i="29" s="1"/>
  <c r="AZ40" i="29"/>
  <c r="AZ79" i="29" s="1"/>
  <c r="BA40" i="29"/>
  <c r="BA79" i="29" s="1"/>
  <c r="BB40" i="29"/>
  <c r="BD40" i="29"/>
  <c r="BD79" i="29" s="1"/>
  <c r="BE40" i="29"/>
  <c r="BE79" i="29" s="1"/>
  <c r="BF40" i="29"/>
  <c r="BF79" i="29" s="1"/>
  <c r="BG40" i="29"/>
  <c r="BG79" i="29" s="1"/>
  <c r="BH40" i="29"/>
  <c r="BH79" i="29" s="1"/>
  <c r="BI40" i="29"/>
  <c r="BI79" i="29" s="1"/>
  <c r="BJ40" i="29"/>
  <c r="BJ79" i="29" s="1"/>
  <c r="BK40" i="29"/>
  <c r="BK79" i="29" s="1"/>
  <c r="BL40" i="29"/>
  <c r="BL79" i="29" s="1"/>
  <c r="BM40" i="29"/>
  <c r="BM79" i="29" s="1"/>
  <c r="BN40" i="29"/>
  <c r="BN79" i="29" s="1"/>
  <c r="BO40" i="29"/>
  <c r="BO79" i="29" s="1"/>
  <c r="BP40" i="29"/>
  <c r="P41" i="29"/>
  <c r="AC41" i="29"/>
  <c r="AP41" i="29"/>
  <c r="BC41" i="29"/>
  <c r="BP41" i="29"/>
  <c r="P42" i="29"/>
  <c r="AC42" i="29"/>
  <c r="AP42" i="29"/>
  <c r="BC42" i="29"/>
  <c r="BP42" i="29"/>
  <c r="P43" i="29"/>
  <c r="AC43" i="29"/>
  <c r="AP43" i="29"/>
  <c r="BC43" i="29"/>
  <c r="BP43" i="29"/>
  <c r="P48" i="29"/>
  <c r="AC48" i="29"/>
  <c r="AP48" i="29"/>
  <c r="BC48" i="29"/>
  <c r="BP48" i="29"/>
  <c r="P49" i="29"/>
  <c r="AC49" i="29"/>
  <c r="AP49" i="29"/>
  <c r="BC49" i="29"/>
  <c r="BP49" i="29"/>
  <c r="D51" i="29"/>
  <c r="D90" i="29" s="1"/>
  <c r="E51" i="29"/>
  <c r="E90" i="29" s="1"/>
  <c r="F51" i="29"/>
  <c r="F90" i="29" s="1"/>
  <c r="G51" i="29"/>
  <c r="G90" i="29" s="1"/>
  <c r="H51" i="29"/>
  <c r="H90" i="29" s="1"/>
  <c r="I51" i="29"/>
  <c r="I90" i="29" s="1"/>
  <c r="J51" i="29"/>
  <c r="J90" i="29" s="1"/>
  <c r="K51" i="29"/>
  <c r="K90" i="29" s="1"/>
  <c r="L51" i="29"/>
  <c r="L90" i="29" s="1"/>
  <c r="M51" i="29"/>
  <c r="M90" i="29" s="1"/>
  <c r="N51" i="29"/>
  <c r="N90" i="29" s="1"/>
  <c r="O51" i="29"/>
  <c r="O90" i="29" s="1"/>
  <c r="P51" i="29"/>
  <c r="Q51" i="29"/>
  <c r="Q90" i="29" s="1"/>
  <c r="R51" i="29"/>
  <c r="R90" i="29" s="1"/>
  <c r="S51" i="29"/>
  <c r="S90" i="29" s="1"/>
  <c r="T51" i="29"/>
  <c r="T90" i="29" s="1"/>
  <c r="U51" i="29"/>
  <c r="U90" i="29" s="1"/>
  <c r="V51" i="29"/>
  <c r="V90" i="29" s="1"/>
  <c r="W51" i="29"/>
  <c r="W90" i="29" s="1"/>
  <c r="X51" i="29"/>
  <c r="X90" i="29" s="1"/>
  <c r="Y51" i="29"/>
  <c r="Y90" i="29" s="1"/>
  <c r="Z51" i="29"/>
  <c r="Z90" i="29" s="1"/>
  <c r="AA51" i="29"/>
  <c r="AA90" i="29" s="1"/>
  <c r="AB51" i="29"/>
  <c r="AB90" i="29" s="1"/>
  <c r="AC51" i="29"/>
  <c r="AD51" i="29"/>
  <c r="AD90" i="29" s="1"/>
  <c r="AE51" i="29"/>
  <c r="AE90" i="29" s="1"/>
  <c r="AF51" i="29"/>
  <c r="AF90" i="29" s="1"/>
  <c r="AG51" i="29"/>
  <c r="AG90" i="29" s="1"/>
  <c r="AH51" i="29"/>
  <c r="AH90" i="29" s="1"/>
  <c r="AI51" i="29"/>
  <c r="AI90" i="29" s="1"/>
  <c r="AJ51" i="29"/>
  <c r="AJ90" i="29" s="1"/>
  <c r="AK51" i="29"/>
  <c r="AK90" i="29" s="1"/>
  <c r="AL51" i="29"/>
  <c r="AL90" i="29" s="1"/>
  <c r="AM51" i="29"/>
  <c r="AM90" i="29" s="1"/>
  <c r="AN51" i="29"/>
  <c r="AN90" i="29" s="1"/>
  <c r="AO51" i="29"/>
  <c r="AO90" i="29" s="1"/>
  <c r="AQ51" i="29"/>
  <c r="AQ90" i="29" s="1"/>
  <c r="AR51" i="29"/>
  <c r="AR90" i="29" s="1"/>
  <c r="AS51" i="29"/>
  <c r="AS90" i="29" s="1"/>
  <c r="AT51" i="29"/>
  <c r="AT90" i="29" s="1"/>
  <c r="AU51" i="29"/>
  <c r="AU90" i="29" s="1"/>
  <c r="AV51" i="29"/>
  <c r="AV90" i="29" s="1"/>
  <c r="AW51" i="29"/>
  <c r="AW90" i="29" s="1"/>
  <c r="AX51" i="29"/>
  <c r="AX90" i="29" s="1"/>
  <c r="AY51" i="29"/>
  <c r="AY90" i="29" s="1"/>
  <c r="AZ51" i="29"/>
  <c r="AZ90" i="29" s="1"/>
  <c r="BA51" i="29"/>
  <c r="BA90" i="29" s="1"/>
  <c r="BB51" i="29"/>
  <c r="BD51" i="29"/>
  <c r="BD90" i="29" s="1"/>
  <c r="BE51" i="29"/>
  <c r="BE90" i="29" s="1"/>
  <c r="BF51" i="29"/>
  <c r="BF90" i="29" s="1"/>
  <c r="BG51" i="29"/>
  <c r="BG90" i="29" s="1"/>
  <c r="BH51" i="29"/>
  <c r="BH90" i="29" s="1"/>
  <c r="BI51" i="29"/>
  <c r="BI90" i="29" s="1"/>
  <c r="BJ51" i="29"/>
  <c r="BJ90" i="29" s="1"/>
  <c r="BK51" i="29"/>
  <c r="BK90" i="29" s="1"/>
  <c r="BL51" i="29"/>
  <c r="BL90" i="29" s="1"/>
  <c r="BM51" i="29"/>
  <c r="BM90" i="29" s="1"/>
  <c r="BN51" i="29"/>
  <c r="BN90" i="29" s="1"/>
  <c r="BO51" i="29"/>
  <c r="BO90" i="29" s="1"/>
  <c r="P55" i="29"/>
  <c r="AC55" i="29"/>
  <c r="AP55" i="29"/>
  <c r="BC55" i="29"/>
  <c r="BP55" i="29"/>
  <c r="P56" i="29"/>
  <c r="AC56" i="29"/>
  <c r="AP56" i="29"/>
  <c r="BC56" i="29"/>
  <c r="BP56" i="29"/>
  <c r="P58" i="29"/>
  <c r="AC58" i="29"/>
  <c r="AP58" i="29"/>
  <c r="BC58" i="29"/>
  <c r="BP58" i="29"/>
  <c r="D59" i="29"/>
  <c r="E59" i="29"/>
  <c r="F59" i="29"/>
  <c r="G59" i="29"/>
  <c r="H59" i="29"/>
  <c r="I59" i="29"/>
  <c r="J59" i="29"/>
  <c r="K59" i="29"/>
  <c r="L59" i="29"/>
  <c r="M59" i="29"/>
  <c r="N59" i="29"/>
  <c r="O59" i="29"/>
  <c r="R59" i="29"/>
  <c r="S59" i="29"/>
  <c r="T59" i="29"/>
  <c r="U59" i="29"/>
  <c r="V59" i="29"/>
  <c r="W59" i="29"/>
  <c r="X59" i="29"/>
  <c r="Y59" i="29"/>
  <c r="Z59" i="29"/>
  <c r="AA59" i="29"/>
  <c r="AB59" i="29"/>
  <c r="AE59" i="29"/>
  <c r="AF59" i="29"/>
  <c r="AG59" i="29"/>
  <c r="AH59" i="29"/>
  <c r="AI59" i="29"/>
  <c r="AJ59" i="29"/>
  <c r="AK59" i="29"/>
  <c r="AL59" i="29"/>
  <c r="AM59" i="29"/>
  <c r="AN59" i="29"/>
  <c r="AO59" i="29"/>
  <c r="AR59" i="29"/>
  <c r="AS59" i="29"/>
  <c r="AT59" i="29"/>
  <c r="AU59" i="29"/>
  <c r="AV59" i="29"/>
  <c r="AW59" i="29"/>
  <c r="AX59" i="29"/>
  <c r="AY59" i="29"/>
  <c r="AZ59" i="29"/>
  <c r="BA59" i="29"/>
  <c r="BB59" i="29"/>
  <c r="BE59" i="29"/>
  <c r="BF59" i="29"/>
  <c r="BG59" i="29"/>
  <c r="BH59" i="29"/>
  <c r="BI59" i="29"/>
  <c r="BJ59" i="29"/>
  <c r="BJ98" i="29" s="1"/>
  <c r="BK59" i="29"/>
  <c r="BK98" i="29" s="1"/>
  <c r="BL59" i="29"/>
  <c r="BL98" i="29" s="1"/>
  <c r="BM59" i="29"/>
  <c r="BM98" i="29" s="1"/>
  <c r="BN59" i="29"/>
  <c r="BN98" i="29" s="1"/>
  <c r="BO59" i="29"/>
  <c r="BO98" i="29" s="1"/>
  <c r="P60" i="29"/>
  <c r="AC60" i="29"/>
  <c r="AP60" i="29"/>
  <c r="BC60" i="29"/>
  <c r="BP60" i="29"/>
  <c r="P64" i="29"/>
  <c r="AC64" i="29"/>
  <c r="AP64" i="29"/>
  <c r="BC64" i="29"/>
  <c r="BP64" i="29"/>
  <c r="P65" i="29"/>
  <c r="AC65" i="29"/>
  <c r="AP65" i="29"/>
  <c r="BC65" i="29"/>
  <c r="BP65" i="29"/>
  <c r="P66" i="29"/>
  <c r="AC66" i="29"/>
  <c r="AP66" i="29"/>
  <c r="BC66" i="29"/>
  <c r="BP66" i="29"/>
  <c r="P67" i="29"/>
  <c r="AC67" i="29"/>
  <c r="AP67" i="29"/>
  <c r="BC67" i="29"/>
  <c r="BP67" i="29"/>
  <c r="P68" i="29"/>
  <c r="AC68" i="29"/>
  <c r="AP68" i="29"/>
  <c r="BC68" i="29"/>
  <c r="BP68" i="29"/>
  <c r="BJ69" i="29"/>
  <c r="BJ108" i="29" s="1"/>
  <c r="BK69" i="29"/>
  <c r="BK108" i="29" s="1"/>
  <c r="BL69" i="29"/>
  <c r="BL108" i="29" s="1"/>
  <c r="BM69" i="29"/>
  <c r="BM108" i="29" s="1"/>
  <c r="BN69" i="29"/>
  <c r="BN108" i="29" s="1"/>
  <c r="BO69" i="29"/>
  <c r="BO108" i="29" s="1"/>
  <c r="P1" i="28"/>
  <c r="AC1" i="28"/>
  <c r="AP1" i="28"/>
  <c r="BC1" i="28"/>
  <c r="BP1" i="28"/>
  <c r="J5" i="28"/>
  <c r="K5" i="28"/>
  <c r="L5" i="28"/>
  <c r="M5" i="28"/>
  <c r="N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 s="1"/>
  <c r="AD5" i="28"/>
  <c r="AE5" i="28"/>
  <c r="AF5" i="28"/>
  <c r="AG5" i="28"/>
  <c r="AH5" i="28"/>
  <c r="AI5" i="28"/>
  <c r="AJ5" i="28"/>
  <c r="AK5" i="28"/>
  <c r="AL5" i="28"/>
  <c r="AM5" i="28"/>
  <c r="AN5" i="28"/>
  <c r="AO5" i="28"/>
  <c r="AP5" i="28" s="1"/>
  <c r="AQ5" i="28"/>
  <c r="AR5" i="28"/>
  <c r="AS5" i="28"/>
  <c r="AT5" i="28"/>
  <c r="AU5" i="28"/>
  <c r="AV5" i="28"/>
  <c r="AW5" i="28"/>
  <c r="AX5" i="28"/>
  <c r="AY5" i="28"/>
  <c r="AZ5" i="28"/>
  <c r="BA5" i="28"/>
  <c r="BB5" i="28"/>
  <c r="BC5" i="28" s="1"/>
  <c r="BD5" i="28"/>
  <c r="BE5" i="28"/>
  <c r="BF5" i="28"/>
  <c r="BG5" i="28"/>
  <c r="BH5" i="28"/>
  <c r="BI5" i="28"/>
  <c r="BJ5" i="28"/>
  <c r="BK5" i="28"/>
  <c r="BL5" i="28"/>
  <c r="BM5" i="28"/>
  <c r="BN5" i="28"/>
  <c r="BO5" i="28"/>
  <c r="BP5" i="28" s="1"/>
  <c r="P6" i="28"/>
  <c r="J6" i="28" s="1"/>
  <c r="AC6" i="28"/>
  <c r="AP6" i="28"/>
  <c r="BC6" i="28"/>
  <c r="BP6" i="28"/>
  <c r="P8" i="28"/>
  <c r="AC8" i="28"/>
  <c r="AP8" i="28"/>
  <c r="BC8" i="28"/>
  <c r="BP8" i="28"/>
  <c r="J12" i="28"/>
  <c r="K12" i="28"/>
  <c r="L12" i="28"/>
  <c r="M12" i="28"/>
  <c r="N12" i="28"/>
  <c r="O12" i="28"/>
  <c r="Q12" i="28"/>
  <c r="R12" i="28"/>
  <c r="S12" i="28"/>
  <c r="T12" i="28"/>
  <c r="U12" i="28"/>
  <c r="V12" i="28"/>
  <c r="W12" i="28"/>
  <c r="X12" i="28"/>
  <c r="Y12" i="28"/>
  <c r="Z12" i="28"/>
  <c r="AA12" i="28"/>
  <c r="AB12" i="28"/>
  <c r="AD12" i="28"/>
  <c r="AE12" i="28"/>
  <c r="AF12" i="28"/>
  <c r="AG12" i="28"/>
  <c r="AH12" i="28"/>
  <c r="AI12" i="28"/>
  <c r="AJ12" i="28"/>
  <c r="AK12" i="28"/>
  <c r="AL12" i="28"/>
  <c r="AM12" i="28"/>
  <c r="AN12" i="28"/>
  <c r="AO12" i="28"/>
  <c r="AQ12" i="28"/>
  <c r="AR12" i="28"/>
  <c r="AS12" i="28"/>
  <c r="AT12" i="28"/>
  <c r="AU12" i="28"/>
  <c r="AV12" i="28"/>
  <c r="AW12" i="28"/>
  <c r="AX12" i="28"/>
  <c r="AY12" i="28"/>
  <c r="AZ12" i="28"/>
  <c r="BA12" i="28"/>
  <c r="BB12" i="28"/>
  <c r="BD12" i="28"/>
  <c r="BE12" i="28"/>
  <c r="BF12" i="28"/>
  <c r="BG12" i="28"/>
  <c r="BH12" i="28"/>
  <c r="BI12" i="28"/>
  <c r="BJ12" i="28"/>
  <c r="BK12" i="28"/>
  <c r="BL12" i="28"/>
  <c r="BM12" i="28"/>
  <c r="BN12" i="28"/>
  <c r="BO12" i="28"/>
  <c r="J13" i="28"/>
  <c r="P14" i="28"/>
  <c r="AC14" i="28"/>
  <c r="AP14" i="28"/>
  <c r="BC14" i="28"/>
  <c r="BP14" i="28"/>
  <c r="AC20" i="28"/>
  <c r="P23" i="28"/>
  <c r="AC23" i="28" s="1"/>
  <c r="AP23" i="28" s="1"/>
  <c r="BC23" i="28" s="1"/>
  <c r="BP23" i="28" s="1"/>
  <c r="D24" i="28"/>
  <c r="E24" i="28" s="1"/>
  <c r="AC24" i="28"/>
  <c r="D28" i="28"/>
  <c r="D85" i="28" s="1"/>
  <c r="E28" i="28"/>
  <c r="E85" i="28" s="1"/>
  <c r="F28" i="28"/>
  <c r="F85" i="28" s="1"/>
  <c r="G28" i="28"/>
  <c r="G85" i="28" s="1"/>
  <c r="H28" i="28"/>
  <c r="H85" i="28" s="1"/>
  <c r="I28" i="28"/>
  <c r="I85" i="28" s="1"/>
  <c r="D29" i="28"/>
  <c r="D86" i="28" s="1"/>
  <c r="D30" i="28"/>
  <c r="D87" i="28" s="1"/>
  <c r="E30" i="28"/>
  <c r="E87" i="28" s="1"/>
  <c r="F30" i="28"/>
  <c r="F87" i="28" s="1"/>
  <c r="G30" i="28"/>
  <c r="G87" i="28" s="1"/>
  <c r="H30" i="28"/>
  <c r="H87" i="28" s="1"/>
  <c r="I30" i="28"/>
  <c r="I87" i="28" s="1"/>
  <c r="J30" i="28"/>
  <c r="J87" i="28" s="1"/>
  <c r="K30" i="28"/>
  <c r="K87" i="28" s="1"/>
  <c r="L30" i="28"/>
  <c r="L87" i="28" s="1"/>
  <c r="M30" i="28"/>
  <c r="M87" i="28" s="1"/>
  <c r="N30" i="28"/>
  <c r="N87" i="28" s="1"/>
  <c r="O30" i="28"/>
  <c r="O87" i="28" s="1"/>
  <c r="P30" i="28"/>
  <c r="P87" i="28" s="1"/>
  <c r="Q30" i="28"/>
  <c r="Q87" i="28" s="1"/>
  <c r="R30" i="28"/>
  <c r="R87" i="28" s="1"/>
  <c r="S30" i="28"/>
  <c r="S87" i="28" s="1"/>
  <c r="T30" i="28"/>
  <c r="T87" i="28" s="1"/>
  <c r="U30" i="28"/>
  <c r="U87" i="28" s="1"/>
  <c r="V30" i="28"/>
  <c r="V87" i="28" s="1"/>
  <c r="W30" i="28"/>
  <c r="W87" i="28" s="1"/>
  <c r="X30" i="28"/>
  <c r="X87" i="28" s="1"/>
  <c r="Y30" i="28"/>
  <c r="Y87" i="28" s="1"/>
  <c r="Z30" i="28"/>
  <c r="Z87" i="28" s="1"/>
  <c r="AA30" i="28"/>
  <c r="AA87" i="28" s="1"/>
  <c r="AB30" i="28"/>
  <c r="AB87" i="28" s="1"/>
  <c r="AC30" i="28"/>
  <c r="AC87" i="28" s="1"/>
  <c r="AD30" i="28"/>
  <c r="AD87" i="28" s="1"/>
  <c r="AE30" i="28"/>
  <c r="AE87" i="28" s="1"/>
  <c r="AF30" i="28"/>
  <c r="AF87" i="28" s="1"/>
  <c r="AG30" i="28"/>
  <c r="AG87" i="28" s="1"/>
  <c r="AH30" i="28"/>
  <c r="AH87" i="28" s="1"/>
  <c r="AI30" i="28"/>
  <c r="AI87" i="28" s="1"/>
  <c r="AJ30" i="28"/>
  <c r="AJ87" i="28" s="1"/>
  <c r="AK30" i="28"/>
  <c r="AK87" i="28" s="1"/>
  <c r="AL30" i="28"/>
  <c r="AL87" i="28" s="1"/>
  <c r="AM30" i="28"/>
  <c r="AM87" i="28" s="1"/>
  <c r="AN30" i="28"/>
  <c r="AN87" i="28" s="1"/>
  <c r="AO30" i="28"/>
  <c r="AO87" i="28" s="1"/>
  <c r="AP30" i="28"/>
  <c r="AP87" i="28" s="1"/>
  <c r="AQ30" i="28"/>
  <c r="AQ87" i="28" s="1"/>
  <c r="AR30" i="28"/>
  <c r="AR87" i="28" s="1"/>
  <c r="AS30" i="28"/>
  <c r="AS87" i="28" s="1"/>
  <c r="AT30" i="28"/>
  <c r="AT87" i="28" s="1"/>
  <c r="AU30" i="28"/>
  <c r="AU87" i="28" s="1"/>
  <c r="AV30" i="28"/>
  <c r="AV87" i="28" s="1"/>
  <c r="AW30" i="28"/>
  <c r="AW87" i="28" s="1"/>
  <c r="AX30" i="28"/>
  <c r="AX87" i="28" s="1"/>
  <c r="AY30" i="28"/>
  <c r="AY87" i="28" s="1"/>
  <c r="AZ30" i="28"/>
  <c r="AZ87" i="28" s="1"/>
  <c r="BA30" i="28"/>
  <c r="BA87" i="28" s="1"/>
  <c r="BB30" i="28"/>
  <c r="BB87" i="28" s="1"/>
  <c r="BC30" i="28"/>
  <c r="BC87" i="28" s="1"/>
  <c r="BD30" i="28"/>
  <c r="BD87" i="28" s="1"/>
  <c r="BE30" i="28"/>
  <c r="BE87" i="28" s="1"/>
  <c r="BF30" i="28"/>
  <c r="BF87" i="28" s="1"/>
  <c r="BG30" i="28"/>
  <c r="BG87" i="28" s="1"/>
  <c r="BH30" i="28"/>
  <c r="BH87" i="28" s="1"/>
  <c r="BI30" i="28"/>
  <c r="BI87" i="28" s="1"/>
  <c r="BJ30" i="28"/>
  <c r="BJ87" i="28" s="1"/>
  <c r="BK30" i="28"/>
  <c r="BK87" i="28" s="1"/>
  <c r="BL30" i="28"/>
  <c r="BL87" i="28" s="1"/>
  <c r="BM30" i="28"/>
  <c r="BM87" i="28" s="1"/>
  <c r="BN30" i="28"/>
  <c r="BN87" i="28" s="1"/>
  <c r="BO30" i="28"/>
  <c r="BO87" i="28" s="1"/>
  <c r="BP30" i="28"/>
  <c r="BP87" i="28" s="1"/>
  <c r="P31" i="28"/>
  <c r="AC31" i="28"/>
  <c r="AP31" i="28"/>
  <c r="BC31" i="28"/>
  <c r="BP31" i="28"/>
  <c r="P32" i="28"/>
  <c r="AC32" i="28"/>
  <c r="AP32" i="28"/>
  <c r="BC32" i="28"/>
  <c r="BP32" i="28"/>
  <c r="P33" i="28"/>
  <c r="AC33" i="28"/>
  <c r="AP33" i="28"/>
  <c r="BC33" i="28"/>
  <c r="BP33" i="28"/>
  <c r="D38" i="28"/>
  <c r="E38" i="28"/>
  <c r="F38" i="28"/>
  <c r="G38" i="28"/>
  <c r="H38" i="28"/>
  <c r="I38" i="28"/>
  <c r="P39" i="28"/>
  <c r="AC39" i="28"/>
  <c r="AP39" i="28"/>
  <c r="BC39" i="28"/>
  <c r="BP39" i="28"/>
  <c r="P40" i="28"/>
  <c r="AC40" i="28"/>
  <c r="AP40" i="28"/>
  <c r="BC40" i="28"/>
  <c r="BP40" i="28"/>
  <c r="P42" i="28"/>
  <c r="AC42" i="28"/>
  <c r="AP42" i="28"/>
  <c r="BC42" i="28"/>
  <c r="BP42" i="28"/>
  <c r="P43" i="28"/>
  <c r="AC43" i="28"/>
  <c r="AP43" i="28"/>
  <c r="BC43" i="28"/>
  <c r="BP43" i="28"/>
  <c r="P45" i="28"/>
  <c r="AC45" i="28"/>
  <c r="AP45" i="28"/>
  <c r="BC45" i="28"/>
  <c r="BP45" i="28"/>
  <c r="P55" i="28"/>
  <c r="AC55" i="28"/>
  <c r="AP55" i="28"/>
  <c r="BC55" i="28"/>
  <c r="BP55" i="28"/>
  <c r="P56" i="28"/>
  <c r="AC56" i="28"/>
  <c r="AP56" i="28"/>
  <c r="BC56" i="28"/>
  <c r="BP56" i="28"/>
  <c r="C64" i="28"/>
  <c r="P64" i="28"/>
  <c r="P65" i="28"/>
  <c r="D65" i="28" s="1"/>
  <c r="AC65" i="28"/>
  <c r="P67" i="28"/>
  <c r="P68" i="28"/>
  <c r="P69" i="28"/>
  <c r="P71" i="28"/>
  <c r="D71" i="28" s="1"/>
  <c r="AC71" i="28"/>
  <c r="P72" i="28"/>
  <c r="D72" i="28" s="1"/>
  <c r="E72" i="28" s="1"/>
  <c r="F72" i="28" s="1"/>
  <c r="G72" i="28" s="1"/>
  <c r="H72" i="28" s="1"/>
  <c r="I72" i="28" s="1"/>
  <c r="J72" i="28" s="1"/>
  <c r="K72" i="28" s="1"/>
  <c r="L72" i="28" s="1"/>
  <c r="M72" i="28" s="1"/>
  <c r="N72" i="28" s="1"/>
  <c r="O72" i="28" s="1"/>
  <c r="AC72" i="28"/>
  <c r="Q72" i="28" s="1"/>
  <c r="R72" i="28" s="1"/>
  <c r="S72" i="28" s="1"/>
  <c r="T72" i="28" s="1"/>
  <c r="U72" i="28" s="1"/>
  <c r="V72" i="28" s="1"/>
  <c r="W72" i="28" s="1"/>
  <c r="X72" i="28" s="1"/>
  <c r="Y72" i="28" s="1"/>
  <c r="Z72" i="28" s="1"/>
  <c r="AA72" i="28" s="1"/>
  <c r="AB72" i="28" s="1"/>
  <c r="AP72" i="28"/>
  <c r="AD72" i="28" s="1"/>
  <c r="AE72" i="28" s="1"/>
  <c r="AF72" i="28" s="1"/>
  <c r="AG72" i="28" s="1"/>
  <c r="AH72" i="28" s="1"/>
  <c r="AI72" i="28" s="1"/>
  <c r="AJ72" i="28" s="1"/>
  <c r="AK72" i="28" s="1"/>
  <c r="AL72" i="28" s="1"/>
  <c r="AM72" i="28" s="1"/>
  <c r="AN72" i="28" s="1"/>
  <c r="AO72" i="28" s="1"/>
  <c r="BC72" i="28"/>
  <c r="AQ72" i="28" s="1"/>
  <c r="AR72" i="28" s="1"/>
  <c r="AS72" i="28" s="1"/>
  <c r="AT72" i="28" s="1"/>
  <c r="AU72" i="28" s="1"/>
  <c r="AV72" i="28" s="1"/>
  <c r="AW72" i="28" s="1"/>
  <c r="AX72" i="28" s="1"/>
  <c r="AY72" i="28" s="1"/>
  <c r="AZ72" i="28" s="1"/>
  <c r="BA72" i="28" s="1"/>
  <c r="BB72" i="28" s="1"/>
  <c r="BP72" i="28"/>
  <c r="BD72" i="28" s="1"/>
  <c r="BE72" i="28" s="1"/>
  <c r="BF72" i="28" s="1"/>
  <c r="BG72" i="28" s="1"/>
  <c r="BH72" i="28" s="1"/>
  <c r="BI72" i="28" s="1"/>
  <c r="BJ72" i="28" s="1"/>
  <c r="BK72" i="28" s="1"/>
  <c r="BL72" i="28" s="1"/>
  <c r="BM72" i="28" s="1"/>
  <c r="BN72" i="28" s="1"/>
  <c r="BO72" i="28" s="1"/>
  <c r="P74" i="28"/>
  <c r="D74" i="28" s="1"/>
  <c r="AC74" i="28"/>
  <c r="Q74" i="28" s="1"/>
  <c r="R74" i="28" s="1"/>
  <c r="S74" i="28" s="1"/>
  <c r="T74" i="28" s="1"/>
  <c r="U74" i="28" s="1"/>
  <c r="V74" i="28" s="1"/>
  <c r="W74" i="28" s="1"/>
  <c r="X74" i="28" s="1"/>
  <c r="Y74" i="28" s="1"/>
  <c r="Z74" i="28" s="1"/>
  <c r="AA74" i="28" s="1"/>
  <c r="AB74" i="28" s="1"/>
  <c r="AP74" i="28"/>
  <c r="AD74" i="28" s="1"/>
  <c r="AE74" i="28" s="1"/>
  <c r="AF74" i="28" s="1"/>
  <c r="AG74" i="28" s="1"/>
  <c r="AH74" i="28" s="1"/>
  <c r="AI74" i="28" s="1"/>
  <c r="AJ74" i="28" s="1"/>
  <c r="AK74" i="28" s="1"/>
  <c r="AL74" i="28" s="1"/>
  <c r="AM74" i="28" s="1"/>
  <c r="AN74" i="28" s="1"/>
  <c r="AO74" i="28" s="1"/>
  <c r="BC74" i="28"/>
  <c r="AQ74" i="28" s="1"/>
  <c r="AR74" i="28" s="1"/>
  <c r="AS74" i="28" s="1"/>
  <c r="AT74" i="28" s="1"/>
  <c r="AU74" i="28" s="1"/>
  <c r="AV74" i="28" s="1"/>
  <c r="AW74" i="28" s="1"/>
  <c r="AX74" i="28" s="1"/>
  <c r="AY74" i="28" s="1"/>
  <c r="AZ74" i="28" s="1"/>
  <c r="BA74" i="28" s="1"/>
  <c r="BB74" i="28" s="1"/>
  <c r="BP74" i="28"/>
  <c r="BD74" i="28" s="1"/>
  <c r="BE74" i="28" s="1"/>
  <c r="BF74" i="28" s="1"/>
  <c r="BG74" i="28" s="1"/>
  <c r="BH74" i="28" s="1"/>
  <c r="BI74" i="28" s="1"/>
  <c r="BJ74" i="28" s="1"/>
  <c r="BK74" i="28" s="1"/>
  <c r="BL74" i="28" s="1"/>
  <c r="BM74" i="28" s="1"/>
  <c r="BN74" i="28" s="1"/>
  <c r="BO74" i="28" s="1"/>
  <c r="P76" i="28"/>
  <c r="D76" i="28" s="1"/>
  <c r="AC76" i="28"/>
  <c r="Q76" i="28" s="1"/>
  <c r="AP76" i="28"/>
  <c r="AD76" i="28" s="1"/>
  <c r="BC76" i="28"/>
  <c r="AQ76" i="28" s="1"/>
  <c r="BP76" i="28"/>
  <c r="BD76" i="28" s="1"/>
  <c r="P77" i="28"/>
  <c r="D77" i="28" s="1"/>
  <c r="E77" i="28" s="1"/>
  <c r="F77" i="28" s="1"/>
  <c r="G77" i="28" s="1"/>
  <c r="H77" i="28" s="1"/>
  <c r="I77" i="28" s="1"/>
  <c r="J77" i="28" s="1"/>
  <c r="K77" i="28" s="1"/>
  <c r="L77" i="28" s="1"/>
  <c r="M77" i="28" s="1"/>
  <c r="N77" i="28" s="1"/>
  <c r="O77" i="28" s="1"/>
  <c r="AC77" i="28"/>
  <c r="Q77" i="28" s="1"/>
  <c r="R77" i="28" s="1"/>
  <c r="S77" i="28" s="1"/>
  <c r="T77" i="28" s="1"/>
  <c r="U77" i="28" s="1"/>
  <c r="V77" i="28" s="1"/>
  <c r="W77" i="28" s="1"/>
  <c r="X77" i="28" s="1"/>
  <c r="Y77" i="28" s="1"/>
  <c r="Z77" i="28" s="1"/>
  <c r="AA77" i="28" s="1"/>
  <c r="AB77" i="28" s="1"/>
  <c r="AP77" i="28"/>
  <c r="P78" i="28"/>
  <c r="D78" i="28" s="1"/>
  <c r="AC78" i="28"/>
  <c r="Q78" i="28" s="1"/>
  <c r="AP78" i="28"/>
  <c r="AD78" i="28" s="1"/>
  <c r="BC78" i="28"/>
  <c r="AQ78" i="28" s="1"/>
  <c r="BP78" i="28"/>
  <c r="BD78" i="28" s="1"/>
  <c r="P79" i="28"/>
  <c r="D79" i="28" s="1"/>
  <c r="AC79" i="28"/>
  <c r="Q79" i="28" s="1"/>
  <c r="R79" i="28" s="1"/>
  <c r="S79" i="28" s="1"/>
  <c r="T79" i="28" s="1"/>
  <c r="U79" i="28" s="1"/>
  <c r="V79" i="28" s="1"/>
  <c r="W79" i="28" s="1"/>
  <c r="X79" i="28" s="1"/>
  <c r="Y79" i="28" s="1"/>
  <c r="Z79" i="28" s="1"/>
  <c r="AA79" i="28" s="1"/>
  <c r="AB79" i="28" s="1"/>
  <c r="AP79" i="28"/>
  <c r="AD79" i="28" s="1"/>
  <c r="AE79" i="28" s="1"/>
  <c r="AF79" i="28" s="1"/>
  <c r="AG79" i="28" s="1"/>
  <c r="AH79" i="28" s="1"/>
  <c r="AI79" i="28" s="1"/>
  <c r="AJ79" i="28" s="1"/>
  <c r="AK79" i="28" s="1"/>
  <c r="AL79" i="28" s="1"/>
  <c r="AM79" i="28" s="1"/>
  <c r="AN79" i="28" s="1"/>
  <c r="AO79" i="28" s="1"/>
  <c r="BC79" i="28"/>
  <c r="AQ79" i="28" s="1"/>
  <c r="AR79" i="28" s="1"/>
  <c r="AS79" i="28" s="1"/>
  <c r="AT79" i="28" s="1"/>
  <c r="AU79" i="28" s="1"/>
  <c r="AV79" i="28" s="1"/>
  <c r="AW79" i="28" s="1"/>
  <c r="AX79" i="28" s="1"/>
  <c r="AY79" i="28" s="1"/>
  <c r="AZ79" i="28" s="1"/>
  <c r="BA79" i="28" s="1"/>
  <c r="BB79" i="28" s="1"/>
  <c r="BP79" i="28"/>
  <c r="BD79" i="28" s="1"/>
  <c r="BE79" i="28" s="1"/>
  <c r="BF79" i="28" s="1"/>
  <c r="BG79" i="28" s="1"/>
  <c r="BH79" i="28" s="1"/>
  <c r="BI79" i="28" s="1"/>
  <c r="BJ79" i="28" s="1"/>
  <c r="BK79" i="28" s="1"/>
  <c r="BL79" i="28" s="1"/>
  <c r="BM79" i="28" s="1"/>
  <c r="BN79" i="28" s="1"/>
  <c r="BO79" i="28" s="1"/>
  <c r="P80" i="28"/>
  <c r="P1" i="27"/>
  <c r="AC1" i="27"/>
  <c r="AP1" i="27"/>
  <c r="BC1" i="27"/>
  <c r="BP1" i="27"/>
  <c r="E5" i="27"/>
  <c r="F5" i="27"/>
  <c r="G5" i="27"/>
  <c r="H5" i="27"/>
  <c r="I5" i="27"/>
  <c r="D6" i="27"/>
  <c r="E6" i="27"/>
  <c r="F6" i="27"/>
  <c r="G6" i="27"/>
  <c r="H6" i="27"/>
  <c r="P15" i="27"/>
  <c r="AC15" i="27"/>
  <c r="AP15" i="27"/>
  <c r="BC15" i="27"/>
  <c r="BP15" i="27"/>
  <c r="P60" i="27"/>
  <c r="AC60" i="27"/>
  <c r="AP60" i="27"/>
  <c r="BC60" i="27"/>
  <c r="BP60" i="27"/>
  <c r="P61" i="27"/>
  <c r="AC61" i="27"/>
  <c r="AP61" i="27"/>
  <c r="BC61" i="27"/>
  <c r="BP61" i="27"/>
  <c r="D63" i="27"/>
  <c r="E63" i="27" s="1"/>
  <c r="F63" i="27" s="1"/>
  <c r="G63" i="27" s="1"/>
  <c r="H63" i="27" s="1"/>
  <c r="I63" i="27" s="1"/>
  <c r="J63" i="27" s="1"/>
  <c r="K63" i="27" s="1"/>
  <c r="L63" i="27" s="1"/>
  <c r="M63" i="27" s="1"/>
  <c r="N63" i="27" s="1"/>
  <c r="O63" i="27" s="1"/>
  <c r="AC63" i="27"/>
  <c r="P70" i="27"/>
  <c r="AC70" i="27"/>
  <c r="AP70" i="27"/>
  <c r="BC70" i="27"/>
  <c r="BP70" i="27"/>
  <c r="P72" i="27"/>
  <c r="D72" i="27" s="1"/>
  <c r="E72" i="27" s="1"/>
  <c r="F72" i="27" s="1"/>
  <c r="G72" i="27" s="1"/>
  <c r="H72" i="27" s="1"/>
  <c r="I72" i="27" s="1"/>
  <c r="J72" i="27" s="1"/>
  <c r="K72" i="27" s="1"/>
  <c r="L72" i="27" s="1"/>
  <c r="M72" i="27" s="1"/>
  <c r="N72" i="27" s="1"/>
  <c r="O72" i="27" s="1"/>
  <c r="AC72" i="27"/>
  <c r="Q72" i="27" s="1"/>
  <c r="R72" i="27" s="1"/>
  <c r="S72" i="27" s="1"/>
  <c r="T72" i="27" s="1"/>
  <c r="U72" i="27" s="1"/>
  <c r="V72" i="27" s="1"/>
  <c r="W72" i="27" s="1"/>
  <c r="X72" i="27" s="1"/>
  <c r="Y72" i="27" s="1"/>
  <c r="Z72" i="27" s="1"/>
  <c r="AA72" i="27" s="1"/>
  <c r="AB72" i="27" s="1"/>
  <c r="P77" i="27"/>
  <c r="AC77" i="27"/>
  <c r="AP77" i="27"/>
  <c r="BC77" i="27"/>
  <c r="BP77" i="27"/>
  <c r="P80" i="27"/>
  <c r="D80" i="27" s="1"/>
  <c r="AC80" i="27"/>
  <c r="Q80" i="27" s="1"/>
  <c r="R80" i="27" s="1"/>
  <c r="S80" i="27" s="1"/>
  <c r="T80" i="27" s="1"/>
  <c r="U80" i="27" s="1"/>
  <c r="V80" i="27" s="1"/>
  <c r="W80" i="27" s="1"/>
  <c r="X80" i="27" s="1"/>
  <c r="Y80" i="27" s="1"/>
  <c r="Z80" i="27" s="1"/>
  <c r="AA80" i="27" s="1"/>
  <c r="AB80" i="27" s="1"/>
  <c r="D84" i="27"/>
  <c r="E84" i="27"/>
  <c r="F84" i="27"/>
  <c r="G84" i="27"/>
  <c r="H84" i="27"/>
  <c r="D91" i="27"/>
  <c r="E91" i="27"/>
  <c r="F91" i="27"/>
  <c r="G91" i="27"/>
  <c r="H91" i="27"/>
  <c r="D100" i="27"/>
  <c r="E100" i="27"/>
  <c r="F100" i="27" s="1"/>
  <c r="G100" i="27" s="1"/>
  <c r="H100" i="27" s="1"/>
  <c r="I100" i="27" s="1"/>
  <c r="J100" i="27" s="1"/>
  <c r="K100" i="27" s="1"/>
  <c r="L100" i="27" s="1"/>
  <c r="M100" i="27" s="1"/>
  <c r="N100" i="27" s="1"/>
  <c r="O100" i="27" s="1"/>
  <c r="AC100" i="27"/>
  <c r="D101" i="27"/>
  <c r="E101" i="27" s="1"/>
  <c r="F101" i="27" s="1"/>
  <c r="G101" i="27" s="1"/>
  <c r="H101" i="27" s="1"/>
  <c r="I101" i="27" s="1"/>
  <c r="J101" i="27" s="1"/>
  <c r="K101" i="27" s="1"/>
  <c r="L101" i="27" s="1"/>
  <c r="M101" i="27" s="1"/>
  <c r="N101" i="27" s="1"/>
  <c r="O101" i="27" s="1"/>
  <c r="AC101" i="27"/>
  <c r="D103" i="27"/>
  <c r="AC103" i="27"/>
  <c r="C104" i="27"/>
  <c r="D104" i="27"/>
  <c r="P104" i="27"/>
  <c r="AC104" i="27"/>
  <c r="C105" i="27"/>
  <c r="P106" i="27"/>
  <c r="AC106" i="27" s="1"/>
  <c r="P107" i="27"/>
  <c r="P108" i="27"/>
  <c r="D110" i="27"/>
  <c r="E110" i="27"/>
  <c r="F110" i="27" s="1"/>
  <c r="G110" i="27" s="1"/>
  <c r="H110" i="27" s="1"/>
  <c r="I110" i="27" s="1"/>
  <c r="J110" i="27" s="1"/>
  <c r="K110" i="27" s="1"/>
  <c r="L110" i="27" s="1"/>
  <c r="M110" i="27" s="1"/>
  <c r="N110" i="27" s="1"/>
  <c r="O110" i="27" s="1"/>
  <c r="AC110" i="27"/>
  <c r="P112" i="27"/>
  <c r="P113" i="27"/>
  <c r="P114" i="27"/>
  <c r="P84" i="31" s="1"/>
  <c r="AC114" i="27"/>
  <c r="AC84" i="31" s="1"/>
  <c r="AP114" i="27"/>
  <c r="P116" i="27"/>
  <c r="AC116" i="27" s="1"/>
  <c r="AP116" i="27" s="1"/>
  <c r="BC116" i="27" s="1"/>
  <c r="C118" i="27"/>
  <c r="J118" i="27"/>
  <c r="K118" i="27" s="1"/>
  <c r="L118" i="27" s="1"/>
  <c r="M118" i="27" s="1"/>
  <c r="N118" i="27" s="1"/>
  <c r="O118" i="27" s="1"/>
  <c r="P118" i="27"/>
  <c r="AC118" i="27" s="1"/>
  <c r="J119" i="27"/>
  <c r="K119" i="27" s="1"/>
  <c r="L119" i="27" s="1"/>
  <c r="M119" i="27" s="1"/>
  <c r="N119" i="27" s="1"/>
  <c r="O119" i="27" s="1"/>
  <c r="P119" i="27"/>
  <c r="AC119" i="27"/>
  <c r="J121" i="27"/>
  <c r="K121" i="27" s="1"/>
  <c r="L121" i="27" s="1"/>
  <c r="M121" i="27" s="1"/>
  <c r="N121" i="27" s="1"/>
  <c r="O121" i="27" s="1"/>
  <c r="P121" i="27"/>
  <c r="AC121" i="27"/>
  <c r="Q121" i="27" s="1"/>
  <c r="R121" i="27" s="1"/>
  <c r="S121" i="27" s="1"/>
  <c r="T121" i="27" s="1"/>
  <c r="U121" i="27" s="1"/>
  <c r="V121" i="27" s="1"/>
  <c r="W121" i="27" s="1"/>
  <c r="X121" i="27" s="1"/>
  <c r="Y121" i="27" s="1"/>
  <c r="Z121" i="27" s="1"/>
  <c r="AA121" i="27" s="1"/>
  <c r="AB121" i="27" s="1"/>
  <c r="AP121" i="27"/>
  <c r="AD121" i="27" s="1"/>
  <c r="AE121" i="27" s="1"/>
  <c r="AF121" i="27" s="1"/>
  <c r="AG121" i="27" s="1"/>
  <c r="AH121" i="27" s="1"/>
  <c r="AI121" i="27" s="1"/>
  <c r="AJ121" i="27" s="1"/>
  <c r="AK121" i="27" s="1"/>
  <c r="AL121" i="27" s="1"/>
  <c r="AM121" i="27" s="1"/>
  <c r="AN121" i="27" s="1"/>
  <c r="AO121" i="27" s="1"/>
  <c r="BC121" i="27"/>
  <c r="AQ121" i="27" s="1"/>
  <c r="AR121" i="27" s="1"/>
  <c r="AS121" i="27" s="1"/>
  <c r="AT121" i="27" s="1"/>
  <c r="AU121" i="27" s="1"/>
  <c r="AV121" i="27" s="1"/>
  <c r="AW121" i="27" s="1"/>
  <c r="AX121" i="27" s="1"/>
  <c r="AY121" i="27" s="1"/>
  <c r="AZ121" i="27" s="1"/>
  <c r="BA121" i="27" s="1"/>
  <c r="BB121" i="27" s="1"/>
  <c r="BP121" i="27"/>
  <c r="BD121" i="27" s="1"/>
  <c r="BE121" i="27" s="1"/>
  <c r="BF121" i="27" s="1"/>
  <c r="BG121" i="27" s="1"/>
  <c r="BH121" i="27" s="1"/>
  <c r="BI121" i="27" s="1"/>
  <c r="BJ121" i="27" s="1"/>
  <c r="BK121" i="27" s="1"/>
  <c r="BL121" i="27" s="1"/>
  <c r="BM121" i="27" s="1"/>
  <c r="BN121" i="27" s="1"/>
  <c r="BO121" i="27" s="1"/>
  <c r="J122" i="27"/>
  <c r="K122" i="27"/>
  <c r="L122" i="27" s="1"/>
  <c r="M122" i="27" s="1"/>
  <c r="N122" i="27" s="1"/>
  <c r="O122" i="27" s="1"/>
  <c r="P122" i="27"/>
  <c r="AC122" i="27" s="1"/>
  <c r="J123" i="27"/>
  <c r="K123" i="27" s="1"/>
  <c r="L123" i="27" s="1"/>
  <c r="M123" i="27" s="1"/>
  <c r="N123" i="27" s="1"/>
  <c r="O123" i="27" s="1"/>
  <c r="P123" i="27"/>
  <c r="AC123" i="27" s="1"/>
  <c r="J125" i="27"/>
  <c r="K125" i="27" s="1"/>
  <c r="L125" i="27" s="1"/>
  <c r="M125" i="27" s="1"/>
  <c r="N125" i="27" s="1"/>
  <c r="O125" i="27" s="1"/>
  <c r="P125" i="27"/>
  <c r="AC125" i="27" s="1"/>
  <c r="J126" i="27"/>
  <c r="K126" i="27" s="1"/>
  <c r="L126" i="27" s="1"/>
  <c r="M126" i="27" s="1"/>
  <c r="N126" i="27" s="1"/>
  <c r="O126" i="27" s="1"/>
  <c r="P126" i="27"/>
  <c r="AC126" i="27" s="1"/>
  <c r="C127" i="27"/>
  <c r="J127" i="27"/>
  <c r="K127" i="27" s="1"/>
  <c r="L127" i="27" s="1"/>
  <c r="M127" i="27" s="1"/>
  <c r="N127" i="27" s="1"/>
  <c r="O127" i="27" s="1"/>
  <c r="P127" i="27"/>
  <c r="AC127" i="27" s="1"/>
  <c r="J128" i="27"/>
  <c r="K128" i="27" s="1"/>
  <c r="L128" i="27" s="1"/>
  <c r="M128" i="27" s="1"/>
  <c r="N128" i="27" s="1"/>
  <c r="O128" i="27" s="1"/>
  <c r="P128" i="27"/>
  <c r="AC128" i="27" s="1"/>
  <c r="J129" i="27"/>
  <c r="K129" i="27" s="1"/>
  <c r="L129" i="27" s="1"/>
  <c r="M129" i="27" s="1"/>
  <c r="N129" i="27" s="1"/>
  <c r="O129" i="27" s="1"/>
  <c r="P129" i="27"/>
  <c r="AC129" i="27" s="1"/>
  <c r="J130" i="27"/>
  <c r="K130" i="27" s="1"/>
  <c r="L130" i="27" s="1"/>
  <c r="M130" i="27" s="1"/>
  <c r="N130" i="27" s="1"/>
  <c r="O130" i="27" s="1"/>
  <c r="P130" i="27"/>
  <c r="AC130" i="27" s="1"/>
  <c r="J131" i="27"/>
  <c r="K131" i="27" s="1"/>
  <c r="L131" i="27" s="1"/>
  <c r="M131" i="27" s="1"/>
  <c r="N131" i="27" s="1"/>
  <c r="O131" i="27" s="1"/>
  <c r="P131" i="27"/>
  <c r="AC131" i="27" s="1"/>
  <c r="J133" i="27"/>
  <c r="K133" i="27" s="1"/>
  <c r="L133" i="27" s="1"/>
  <c r="M133" i="27" s="1"/>
  <c r="N133" i="27" s="1"/>
  <c r="O133" i="27" s="1"/>
  <c r="P133" i="27"/>
  <c r="AC133" i="27" s="1"/>
  <c r="J134" i="27"/>
  <c r="K134" i="27" s="1"/>
  <c r="L134" i="27" s="1"/>
  <c r="M134" i="27" s="1"/>
  <c r="N134" i="27" s="1"/>
  <c r="O134" i="27" s="1"/>
  <c r="P134" i="27"/>
  <c r="AC134" i="27" s="1"/>
  <c r="J135" i="27"/>
  <c r="K135" i="27" s="1"/>
  <c r="L135" i="27" s="1"/>
  <c r="M135" i="27" s="1"/>
  <c r="N135" i="27" s="1"/>
  <c r="O135" i="27" s="1"/>
  <c r="P135" i="27"/>
  <c r="AC135" i="27" s="1"/>
  <c r="J136" i="27"/>
  <c r="K136" i="27" s="1"/>
  <c r="L136" i="27" s="1"/>
  <c r="M136" i="27" s="1"/>
  <c r="N136" i="27" s="1"/>
  <c r="O136" i="27" s="1"/>
  <c r="P136" i="27"/>
  <c r="AC136" i="27" s="1"/>
  <c r="J137" i="27"/>
  <c r="K137" i="27" s="1"/>
  <c r="L137" i="27" s="1"/>
  <c r="M137" i="27" s="1"/>
  <c r="N137" i="27" s="1"/>
  <c r="O137" i="27" s="1"/>
  <c r="P137" i="27"/>
  <c r="AC137" i="27"/>
  <c r="E5" i="26"/>
  <c r="E67" i="26" s="1"/>
  <c r="P19" i="30" s="1"/>
  <c r="D19" i="30" s="1"/>
  <c r="E19" i="30" s="1"/>
  <c r="F19" i="30" s="1"/>
  <c r="G19" i="30" s="1"/>
  <c r="H19" i="30" s="1"/>
  <c r="I19" i="30" s="1"/>
  <c r="J19" i="30" s="1"/>
  <c r="K19" i="30" s="1"/>
  <c r="L19" i="30" s="1"/>
  <c r="M19" i="30" s="1"/>
  <c r="N19" i="30" s="1"/>
  <c r="O19" i="30" s="1"/>
  <c r="D9" i="26"/>
  <c r="E13" i="26"/>
  <c r="D16" i="26"/>
  <c r="D21" i="26"/>
  <c r="D23" i="26"/>
  <c r="D27" i="26"/>
  <c r="E27" i="26" s="1"/>
  <c r="F27" i="26" s="1"/>
  <c r="G27" i="26" s="1"/>
  <c r="H27" i="26" s="1"/>
  <c r="I27" i="26" s="1"/>
  <c r="D29" i="26"/>
  <c r="F40" i="26"/>
  <c r="E44" i="26"/>
  <c r="P19" i="29" s="1"/>
  <c r="F45" i="26"/>
  <c r="F44" i="26" s="1"/>
  <c r="E61" i="26"/>
  <c r="P6" i="30" s="1"/>
  <c r="D6" i="30" s="1"/>
  <c r="E6" i="30" s="1"/>
  <c r="F6" i="30" s="1"/>
  <c r="G6" i="30" s="1"/>
  <c r="H6" i="30" s="1"/>
  <c r="I6" i="30" s="1"/>
  <c r="J6" i="30" s="1"/>
  <c r="K6" i="30" s="1"/>
  <c r="L6" i="30" s="1"/>
  <c r="M6" i="30" s="1"/>
  <c r="N6" i="30" s="1"/>
  <c r="O6" i="30" s="1"/>
  <c r="F61" i="26"/>
  <c r="AC6" i="30" s="1"/>
  <c r="Q6" i="30" s="1"/>
  <c r="R6" i="30" s="1"/>
  <c r="S6" i="30" s="1"/>
  <c r="T6" i="30" s="1"/>
  <c r="U6" i="30" s="1"/>
  <c r="V6" i="30" s="1"/>
  <c r="W6" i="30" s="1"/>
  <c r="X6" i="30" s="1"/>
  <c r="Y6" i="30" s="1"/>
  <c r="Z6" i="30" s="1"/>
  <c r="AA6" i="30" s="1"/>
  <c r="AB6" i="30" s="1"/>
  <c r="G61" i="26"/>
  <c r="AP6" i="30" s="1"/>
  <c r="AD6" i="30" s="1"/>
  <c r="AE6" i="30" s="1"/>
  <c r="AF6" i="30" s="1"/>
  <c r="AG6" i="30" s="1"/>
  <c r="AH6" i="30" s="1"/>
  <c r="AI6" i="30" s="1"/>
  <c r="AJ6" i="30" s="1"/>
  <c r="AK6" i="30" s="1"/>
  <c r="AL6" i="30" s="1"/>
  <c r="AM6" i="30" s="1"/>
  <c r="AN6" i="30" s="1"/>
  <c r="AO6" i="30" s="1"/>
  <c r="H61" i="26"/>
  <c r="BC6" i="30" s="1"/>
  <c r="AQ6" i="30" s="1"/>
  <c r="AR6" i="30" s="1"/>
  <c r="AS6" i="30" s="1"/>
  <c r="AT6" i="30" s="1"/>
  <c r="AU6" i="30" s="1"/>
  <c r="AV6" i="30" s="1"/>
  <c r="AW6" i="30" s="1"/>
  <c r="AX6" i="30" s="1"/>
  <c r="AY6" i="30" s="1"/>
  <c r="AZ6" i="30" s="1"/>
  <c r="BA6" i="30" s="1"/>
  <c r="BB6" i="30" s="1"/>
  <c r="I61" i="26"/>
  <c r="BP6" i="30" s="1"/>
  <c r="BD6" i="30" s="1"/>
  <c r="BE6" i="30" s="1"/>
  <c r="BF6" i="30" s="1"/>
  <c r="BG6" i="30" s="1"/>
  <c r="BH6" i="30" s="1"/>
  <c r="BI6" i="30" s="1"/>
  <c r="BJ6" i="30" s="1"/>
  <c r="BK6" i="30" s="1"/>
  <c r="BL6" i="30" s="1"/>
  <c r="BM6" i="30" s="1"/>
  <c r="BN6" i="30" s="1"/>
  <c r="BO6" i="30" s="1"/>
  <c r="E63" i="26"/>
  <c r="P8" i="30" s="1"/>
  <c r="D8" i="30" s="1"/>
  <c r="E8" i="30" s="1"/>
  <c r="F8" i="30" s="1"/>
  <c r="G8" i="30" s="1"/>
  <c r="H8" i="30" s="1"/>
  <c r="I8" i="30" s="1"/>
  <c r="J8" i="30" s="1"/>
  <c r="K8" i="30" s="1"/>
  <c r="L8" i="30" s="1"/>
  <c r="M8" i="30" s="1"/>
  <c r="N8" i="30" s="1"/>
  <c r="O8" i="30" s="1"/>
  <c r="F63" i="26"/>
  <c r="AC8" i="30" s="1"/>
  <c r="Q8" i="30" s="1"/>
  <c r="R8" i="30" s="1"/>
  <c r="S8" i="30" s="1"/>
  <c r="T8" i="30" s="1"/>
  <c r="U8" i="30" s="1"/>
  <c r="V8" i="30" s="1"/>
  <c r="W8" i="30" s="1"/>
  <c r="X8" i="30" s="1"/>
  <c r="Y8" i="30" s="1"/>
  <c r="Z8" i="30" s="1"/>
  <c r="AA8" i="30" s="1"/>
  <c r="AB8" i="30" s="1"/>
  <c r="E65" i="26"/>
  <c r="P14" i="30" s="1"/>
  <c r="D14" i="30" s="1"/>
  <c r="E14" i="30" s="1"/>
  <c r="F14" i="30" s="1"/>
  <c r="G14" i="30" s="1"/>
  <c r="H14" i="30" s="1"/>
  <c r="I14" i="30" s="1"/>
  <c r="J14" i="30" s="1"/>
  <c r="K14" i="30" s="1"/>
  <c r="L14" i="30" s="1"/>
  <c r="M14" i="30" s="1"/>
  <c r="N14" i="30" s="1"/>
  <c r="O14" i="30" s="1"/>
  <c r="F65" i="26"/>
  <c r="AC14" i="30" s="1"/>
  <c r="Q14" i="30" s="1"/>
  <c r="R14" i="30" s="1"/>
  <c r="S14" i="30" s="1"/>
  <c r="T14" i="30" s="1"/>
  <c r="U14" i="30" s="1"/>
  <c r="V14" i="30" s="1"/>
  <c r="W14" i="30" s="1"/>
  <c r="X14" i="30" s="1"/>
  <c r="Y14" i="30" s="1"/>
  <c r="Z14" i="30" s="1"/>
  <c r="AA14" i="30" s="1"/>
  <c r="AB14" i="30" s="1"/>
  <c r="G65" i="26"/>
  <c r="AP14" i="30" s="1"/>
  <c r="AD14" i="30" s="1"/>
  <c r="AE14" i="30" s="1"/>
  <c r="AF14" i="30" s="1"/>
  <c r="AG14" i="30" s="1"/>
  <c r="AH14" i="30" s="1"/>
  <c r="AI14" i="30" s="1"/>
  <c r="AJ14" i="30" s="1"/>
  <c r="AK14" i="30" s="1"/>
  <c r="AL14" i="30" s="1"/>
  <c r="AM14" i="30" s="1"/>
  <c r="AN14" i="30" s="1"/>
  <c r="AO14" i="30" s="1"/>
  <c r="H65" i="26"/>
  <c r="BC14" i="30" s="1"/>
  <c r="AQ14" i="30" s="1"/>
  <c r="AR14" i="30" s="1"/>
  <c r="AS14" i="30" s="1"/>
  <c r="AT14" i="30" s="1"/>
  <c r="AU14" i="30" s="1"/>
  <c r="AV14" i="30" s="1"/>
  <c r="AW14" i="30" s="1"/>
  <c r="AX14" i="30" s="1"/>
  <c r="AY14" i="30" s="1"/>
  <c r="AZ14" i="30" s="1"/>
  <c r="BA14" i="30" s="1"/>
  <c r="BB14" i="30" s="1"/>
  <c r="I65" i="26"/>
  <c r="BP14" i="30" s="1"/>
  <c r="BD14" i="30" s="1"/>
  <c r="BE14" i="30" s="1"/>
  <c r="BF14" i="30" s="1"/>
  <c r="BG14" i="30" s="1"/>
  <c r="BH14" i="30" s="1"/>
  <c r="BI14" i="30" s="1"/>
  <c r="BJ14" i="30" s="1"/>
  <c r="BK14" i="30" s="1"/>
  <c r="BL14" i="30" s="1"/>
  <c r="BM14" i="30" s="1"/>
  <c r="BN14" i="30" s="1"/>
  <c r="BO14" i="30" s="1"/>
  <c r="F68" i="26"/>
  <c r="G68" i="26" s="1"/>
  <c r="F70" i="26"/>
  <c r="E85" i="26"/>
  <c r="P8" i="31" s="1"/>
  <c r="D8" i="31" s="1"/>
  <c r="E8" i="31" s="1"/>
  <c r="F8" i="31" s="1"/>
  <c r="G8" i="31" s="1"/>
  <c r="H8" i="31" s="1"/>
  <c r="I8" i="31" s="1"/>
  <c r="J8" i="31" s="1"/>
  <c r="K8" i="31" s="1"/>
  <c r="L8" i="31" s="1"/>
  <c r="M8" i="31" s="1"/>
  <c r="N8" i="31" s="1"/>
  <c r="O8" i="31" s="1"/>
  <c r="F85" i="26"/>
  <c r="AC8" i="31" s="1"/>
  <c r="Q8" i="31" s="1"/>
  <c r="R8" i="31" s="1"/>
  <c r="S8" i="31" s="1"/>
  <c r="T8" i="31" s="1"/>
  <c r="U8" i="31" s="1"/>
  <c r="V8" i="31" s="1"/>
  <c r="W8" i="31" s="1"/>
  <c r="X8" i="31" s="1"/>
  <c r="Y8" i="31" s="1"/>
  <c r="Z8" i="31" s="1"/>
  <c r="AA8" i="31" s="1"/>
  <c r="AB8" i="31" s="1"/>
  <c r="E87" i="26"/>
  <c r="P14" i="31" s="1"/>
  <c r="D14" i="31" s="1"/>
  <c r="E14" i="31" s="1"/>
  <c r="F14" i="31" s="1"/>
  <c r="G14" i="31" s="1"/>
  <c r="H14" i="31" s="1"/>
  <c r="I14" i="31" s="1"/>
  <c r="J14" i="31" s="1"/>
  <c r="K14" i="31" s="1"/>
  <c r="F87" i="26"/>
  <c r="AC14" i="31" s="1"/>
  <c r="Q14" i="31" s="1"/>
  <c r="R14" i="31" s="1"/>
  <c r="S14" i="31" s="1"/>
  <c r="T14" i="31" s="1"/>
  <c r="U14" i="31" s="1"/>
  <c r="V14" i="31" s="1"/>
  <c r="W14" i="31" s="1"/>
  <c r="X14" i="31" s="1"/>
  <c r="Y14" i="31" s="1"/>
  <c r="Z14" i="31" s="1"/>
  <c r="AA14" i="31" s="1"/>
  <c r="AB14" i="31" s="1"/>
  <c r="G87" i="26"/>
  <c r="AP14" i="31" s="1"/>
  <c r="AD14" i="31" s="1"/>
  <c r="AE14" i="31" s="1"/>
  <c r="AF14" i="31" s="1"/>
  <c r="AG14" i="31" s="1"/>
  <c r="AH14" i="31" s="1"/>
  <c r="AI14" i="31" s="1"/>
  <c r="AJ14" i="31" s="1"/>
  <c r="AK14" i="31" s="1"/>
  <c r="AL14" i="31" s="1"/>
  <c r="AM14" i="31" s="1"/>
  <c r="AN14" i="31" s="1"/>
  <c r="AO14" i="31" s="1"/>
  <c r="H87" i="26"/>
  <c r="BC14" i="31" s="1"/>
  <c r="AQ14" i="31" s="1"/>
  <c r="AR14" i="31" s="1"/>
  <c r="AS14" i="31" s="1"/>
  <c r="AT14" i="31" s="1"/>
  <c r="AU14" i="31" s="1"/>
  <c r="AV14" i="31" s="1"/>
  <c r="AW14" i="31" s="1"/>
  <c r="AX14" i="31" s="1"/>
  <c r="AY14" i="31" s="1"/>
  <c r="AZ14" i="31" s="1"/>
  <c r="BA14" i="31" s="1"/>
  <c r="BB14" i="31" s="1"/>
  <c r="I87" i="26"/>
  <c r="BP14" i="31" s="1"/>
  <c r="BD14" i="31" s="1"/>
  <c r="BE14" i="31" s="1"/>
  <c r="BF14" i="31" s="1"/>
  <c r="BG14" i="31" s="1"/>
  <c r="BH14" i="31" s="1"/>
  <c r="BI14" i="31" s="1"/>
  <c r="BJ14" i="31" s="1"/>
  <c r="BK14" i="31" s="1"/>
  <c r="BL14" i="31" s="1"/>
  <c r="BM14" i="31" s="1"/>
  <c r="BN14" i="31" s="1"/>
  <c r="BO14" i="31" s="1"/>
  <c r="F90" i="26"/>
  <c r="F92" i="26"/>
  <c r="AC21" i="31" s="1"/>
  <c r="Q21" i="31" s="1"/>
  <c r="R21" i="31" s="1"/>
  <c r="S21" i="31" s="1"/>
  <c r="T21" i="31" s="1"/>
  <c r="U21" i="31" s="1"/>
  <c r="V21" i="31" s="1"/>
  <c r="W21" i="31" s="1"/>
  <c r="X21" i="31" s="1"/>
  <c r="Y21" i="31" s="1"/>
  <c r="Z21" i="31" s="1"/>
  <c r="AA21" i="31" s="1"/>
  <c r="AB21" i="31" s="1"/>
  <c r="D101" i="26"/>
  <c r="K285" i="23"/>
  <c r="L285" i="23" s="1"/>
  <c r="M285" i="23" s="1"/>
  <c r="N285" i="23" s="1"/>
  <c r="O285" i="23" s="1"/>
  <c r="P285" i="23" s="1"/>
  <c r="J287" i="23"/>
  <c r="K287" i="23"/>
  <c r="L287" i="23"/>
  <c r="M287" i="23"/>
  <c r="N287" i="23"/>
  <c r="O287" i="23"/>
  <c r="P287" i="23"/>
  <c r="Q33" i="20"/>
  <c r="P235" i="23"/>
  <c r="J235" i="23" s="1"/>
  <c r="P233" i="23"/>
  <c r="P232" i="23"/>
  <c r="J232" i="23" s="1"/>
  <c r="P230" i="23"/>
  <c r="P205" i="23"/>
  <c r="J205" i="23" s="1"/>
  <c r="P204" i="23"/>
  <c r="J204" i="23" s="1"/>
  <c r="K122" i="23"/>
  <c r="L122" i="23"/>
  <c r="M122" i="23"/>
  <c r="N122" i="23"/>
  <c r="O122" i="23"/>
  <c r="P122" i="23"/>
  <c r="K123" i="23"/>
  <c r="L123" i="23"/>
  <c r="M123" i="23"/>
  <c r="N123" i="23"/>
  <c r="O123" i="23"/>
  <c r="P123" i="23"/>
  <c r="J123" i="23"/>
  <c r="J122" i="23"/>
  <c r="P117" i="23"/>
  <c r="J118" i="23"/>
  <c r="J119" i="23"/>
  <c r="K121" i="23"/>
  <c r="L121" i="23"/>
  <c r="M121" i="23"/>
  <c r="N121" i="23"/>
  <c r="O121" i="23"/>
  <c r="P121" i="23"/>
  <c r="J121" i="23"/>
  <c r="P8" i="23"/>
  <c r="K245" i="23"/>
  <c r="L245" i="23"/>
  <c r="M245" i="23"/>
  <c r="N245" i="23"/>
  <c r="O245" i="23"/>
  <c r="P245" i="23"/>
  <c r="K267" i="23"/>
  <c r="K277" i="23" s="1"/>
  <c r="L267" i="23"/>
  <c r="L277" i="23" s="1"/>
  <c r="M267" i="23"/>
  <c r="M277" i="23" s="1"/>
  <c r="N267" i="23"/>
  <c r="N277" i="23" s="1"/>
  <c r="O267" i="23"/>
  <c r="O277" i="23" s="1"/>
  <c r="P267" i="23"/>
  <c r="P277" i="23" s="1"/>
  <c r="K227" i="23"/>
  <c r="L227" i="23"/>
  <c r="M227" i="23"/>
  <c r="N227" i="23"/>
  <c r="O227" i="23"/>
  <c r="P227" i="23"/>
  <c r="K230" i="23"/>
  <c r="K231" i="23" s="1"/>
  <c r="L230" i="23"/>
  <c r="L231" i="23" s="1"/>
  <c r="M230" i="23"/>
  <c r="M231" i="23" s="1"/>
  <c r="N230" i="23"/>
  <c r="N231" i="23" s="1"/>
  <c r="O230" i="23"/>
  <c r="O231" i="23" s="1"/>
  <c r="K232" i="23"/>
  <c r="L232" i="23"/>
  <c r="M232" i="23"/>
  <c r="N232" i="23"/>
  <c r="O232" i="23"/>
  <c r="K233" i="23"/>
  <c r="L233" i="23"/>
  <c r="M233" i="23"/>
  <c r="N233" i="23"/>
  <c r="O233" i="23"/>
  <c r="K234" i="23"/>
  <c r="L234" i="23"/>
  <c r="M234" i="23"/>
  <c r="N234" i="23"/>
  <c r="O234" i="23"/>
  <c r="K235" i="23"/>
  <c r="L235" i="23"/>
  <c r="M235" i="23"/>
  <c r="N235" i="23"/>
  <c r="O235" i="23"/>
  <c r="K204" i="23"/>
  <c r="L204" i="23"/>
  <c r="M204" i="23"/>
  <c r="N204" i="23"/>
  <c r="O204" i="23"/>
  <c r="K205" i="23"/>
  <c r="L205" i="23"/>
  <c r="M205" i="23"/>
  <c r="N205" i="23"/>
  <c r="O205" i="23"/>
  <c r="K209" i="23"/>
  <c r="L209" i="23"/>
  <c r="M209" i="23"/>
  <c r="N209" i="23"/>
  <c r="O209" i="23"/>
  <c r="P209" i="23"/>
  <c r="J209" i="23"/>
  <c r="K200" i="23"/>
  <c r="J267" i="23"/>
  <c r="J277" i="23" s="1"/>
  <c r="J245" i="23"/>
  <c r="J227" i="23"/>
  <c r="F170" i="23"/>
  <c r="G170" i="23"/>
  <c r="H170" i="23"/>
  <c r="I170" i="23"/>
  <c r="E170" i="23"/>
  <c r="J85" i="23"/>
  <c r="J74" i="23"/>
  <c r="J77" i="23"/>
  <c r="P74" i="23"/>
  <c r="O74" i="23"/>
  <c r="N74" i="23"/>
  <c r="M74" i="23"/>
  <c r="L74" i="23"/>
  <c r="K74" i="23"/>
  <c r="T62" i="23"/>
  <c r="S62" i="23"/>
  <c r="S61" i="23"/>
  <c r="R61" i="23"/>
  <c r="W93" i="20"/>
  <c r="V93" i="20"/>
  <c r="U93" i="20"/>
  <c r="T93" i="20"/>
  <c r="J11" i="24"/>
  <c r="K11" i="24"/>
  <c r="L11" i="24"/>
  <c r="M11" i="24"/>
  <c r="N11" i="24"/>
  <c r="O11" i="24"/>
  <c r="P11" i="24"/>
  <c r="I11" i="24"/>
  <c r="J27" i="24"/>
  <c r="K27" i="24" s="1"/>
  <c r="L27" i="24" s="1"/>
  <c r="M27" i="24" s="1"/>
  <c r="N27" i="24" s="1"/>
  <c r="O27" i="24" s="1"/>
  <c r="P27" i="24" s="1"/>
  <c r="J38" i="24"/>
  <c r="K38" i="24" s="1"/>
  <c r="L38" i="24" s="1"/>
  <c r="M38" i="24" s="1"/>
  <c r="N38" i="24" s="1"/>
  <c r="O38" i="24" s="1"/>
  <c r="P38" i="24" s="1"/>
  <c r="J50" i="24"/>
  <c r="K50" i="24" s="1"/>
  <c r="L50" i="24" s="1"/>
  <c r="M50" i="24" s="1"/>
  <c r="N50" i="24" s="1"/>
  <c r="O50" i="24" s="1"/>
  <c r="P50" i="24" s="1"/>
  <c r="I10" i="24"/>
  <c r="I14" i="24" s="1"/>
  <c r="I16" i="24" s="1"/>
  <c r="I18" i="24" s="1"/>
  <c r="I80" i="20" s="1"/>
  <c r="J8" i="24"/>
  <c r="P33" i="24"/>
  <c r="P34" i="24" s="1"/>
  <c r="O33" i="24"/>
  <c r="O34" i="24" s="1"/>
  <c r="N33" i="24"/>
  <c r="N34" i="24" s="1"/>
  <c r="M33" i="24"/>
  <c r="M34" i="24" s="1"/>
  <c r="L33" i="24"/>
  <c r="L34" i="24" s="1"/>
  <c r="K33" i="24"/>
  <c r="K34" i="24" s="1"/>
  <c r="J33" i="24"/>
  <c r="J34" i="24" s="1"/>
  <c r="I33" i="24"/>
  <c r="I34" i="24" s="1"/>
  <c r="W13" i="24"/>
  <c r="V13" i="24"/>
  <c r="U13" i="24"/>
  <c r="T13" i="24"/>
  <c r="S13" i="24"/>
  <c r="S8" i="24"/>
  <c r="R8" i="24"/>
  <c r="J29" i="23"/>
  <c r="J30" i="23" s="1"/>
  <c r="K29" i="23"/>
  <c r="K30" i="23" s="1"/>
  <c r="L29" i="23"/>
  <c r="L30" i="23" s="1"/>
  <c r="M29" i="23"/>
  <c r="M30" i="23" s="1"/>
  <c r="N29" i="23"/>
  <c r="N30" i="23" s="1"/>
  <c r="O29" i="23"/>
  <c r="O30" i="23" s="1"/>
  <c r="P29" i="23"/>
  <c r="P30" i="23" s="1"/>
  <c r="J15" i="23"/>
  <c r="K15" i="23"/>
  <c r="L15" i="23"/>
  <c r="M15" i="23"/>
  <c r="N15" i="23"/>
  <c r="O15" i="23"/>
  <c r="P15" i="23"/>
  <c r="K11" i="23"/>
  <c r="L11" i="23" s="1"/>
  <c r="M11" i="23" s="1"/>
  <c r="N11" i="23" s="1"/>
  <c r="O11" i="23" s="1"/>
  <c r="P11" i="23" s="1"/>
  <c r="R8" i="23"/>
  <c r="E5" i="22"/>
  <c r="F5" i="22"/>
  <c r="G5" i="22" s="1"/>
  <c r="E7" i="22"/>
  <c r="F7" i="22"/>
  <c r="G7" i="22" s="1"/>
  <c r="D12" i="22"/>
  <c r="E12" i="22" s="1"/>
  <c r="E13" i="22"/>
  <c r="F13" i="22" s="1"/>
  <c r="G13" i="22" s="1"/>
  <c r="H13" i="22" s="1"/>
  <c r="I13" i="22" s="1"/>
  <c r="E18" i="22"/>
  <c r="F18" i="22"/>
  <c r="G18" i="22"/>
  <c r="H18" i="22"/>
  <c r="I18" i="22"/>
  <c r="D19" i="22"/>
  <c r="D21" i="22"/>
  <c r="E21" i="22"/>
  <c r="F21" i="22"/>
  <c r="G21" i="22"/>
  <c r="H21" i="22"/>
  <c r="I21" i="22"/>
  <c r="D25" i="22"/>
  <c r="E25" i="22"/>
  <c r="F25" i="22" s="1"/>
  <c r="G25" i="22" s="1"/>
  <c r="H25" i="22" s="1"/>
  <c r="I25" i="22" s="1"/>
  <c r="D27" i="22"/>
  <c r="E27" i="22"/>
  <c r="F27" i="22"/>
  <c r="E29" i="22"/>
  <c r="F29" i="22"/>
  <c r="E33" i="22"/>
  <c r="F33" i="22"/>
  <c r="G33" i="22"/>
  <c r="H33" i="22"/>
  <c r="I33" i="22"/>
  <c r="E35" i="22"/>
  <c r="F35" i="22"/>
  <c r="G35" i="22"/>
  <c r="H35" i="22"/>
  <c r="I35" i="22"/>
  <c r="E37" i="22"/>
  <c r="F37" i="22"/>
  <c r="G37" i="22"/>
  <c r="H37" i="22"/>
  <c r="I37" i="22"/>
  <c r="E39" i="22"/>
  <c r="F39" i="22"/>
  <c r="G39" i="22"/>
  <c r="H39" i="22"/>
  <c r="I39" i="22"/>
  <c r="E41" i="22"/>
  <c r="F41" i="22"/>
  <c r="G41" i="22"/>
  <c r="H41" i="22"/>
  <c r="I41" i="22"/>
  <c r="E42" i="22"/>
  <c r="F42" i="22"/>
  <c r="G42" i="22"/>
  <c r="E44" i="22"/>
  <c r="F44" i="22"/>
  <c r="G44" i="22"/>
  <c r="E46" i="22"/>
  <c r="F46" i="22"/>
  <c r="G46" i="22"/>
  <c r="H46" i="22"/>
  <c r="I46" i="22"/>
  <c r="E48" i="22"/>
  <c r="F48" i="22"/>
  <c r="G48" i="22"/>
  <c r="E55" i="22"/>
  <c r="F55" i="22"/>
  <c r="G55" i="22"/>
  <c r="H55" i="22"/>
  <c r="I55" i="22"/>
  <c r="E57" i="22"/>
  <c r="F57" i="22"/>
  <c r="G57" i="22"/>
  <c r="H57" i="22"/>
  <c r="I57" i="22"/>
  <c r="E59" i="22"/>
  <c r="F59" i="22"/>
  <c r="G59" i="22"/>
  <c r="H59" i="22"/>
  <c r="I59" i="22"/>
  <c r="E61" i="22"/>
  <c r="F61" i="22"/>
  <c r="G61" i="22"/>
  <c r="H61" i="22"/>
  <c r="I61" i="22"/>
  <c r="E63" i="22"/>
  <c r="F63" i="22"/>
  <c r="G63" i="22"/>
  <c r="H63" i="22"/>
  <c r="I63" i="22"/>
  <c r="E64" i="22"/>
  <c r="F65" i="22"/>
  <c r="F64" i="22" s="1"/>
  <c r="F66" i="22" s="1"/>
  <c r="G65" i="22"/>
  <c r="H65" i="22"/>
  <c r="I65" i="22"/>
  <c r="E66" i="22"/>
  <c r="F67" i="22"/>
  <c r="G67" i="22" s="1"/>
  <c r="E68" i="22"/>
  <c r="F68" i="22"/>
  <c r="F69" i="22"/>
  <c r="G69" i="22" s="1"/>
  <c r="H69" i="22" s="1"/>
  <c r="I69" i="22" s="1"/>
  <c r="E70" i="22"/>
  <c r="E71" i="22"/>
  <c r="E72" i="22"/>
  <c r="K73" i="22"/>
  <c r="E77" i="22"/>
  <c r="F77" i="22"/>
  <c r="E79" i="22"/>
  <c r="F79" i="22"/>
  <c r="G79" i="22"/>
  <c r="H79" i="22"/>
  <c r="I79" i="22"/>
  <c r="E81" i="22"/>
  <c r="F81" i="22"/>
  <c r="E83" i="22"/>
  <c r="F83" i="22"/>
  <c r="E85" i="22"/>
  <c r="F85" i="22"/>
  <c r="E86" i="22"/>
  <c r="F87" i="22"/>
  <c r="F86" i="22" s="1"/>
  <c r="F88" i="22" s="1"/>
  <c r="F92" i="22" s="1"/>
  <c r="G87" i="22"/>
  <c r="H87" i="22"/>
  <c r="I87" i="22"/>
  <c r="E88" i="22"/>
  <c r="F89" i="22"/>
  <c r="G89" i="22"/>
  <c r="H89" i="22" s="1"/>
  <c r="I89" i="22" s="1"/>
  <c r="E90" i="22"/>
  <c r="F90" i="22"/>
  <c r="E92" i="22"/>
  <c r="E93" i="22"/>
  <c r="E94" i="22" s="1"/>
  <c r="K95" i="22"/>
  <c r="D98" i="22"/>
  <c r="E98" i="22"/>
  <c r="F98" i="22"/>
  <c r="G98" i="22"/>
  <c r="H98" i="22"/>
  <c r="I98" i="22"/>
  <c r="E100" i="22"/>
  <c r="F100" i="22"/>
  <c r="G100" i="22"/>
  <c r="H100" i="22"/>
  <c r="I100" i="22"/>
  <c r="E102" i="22"/>
  <c r="F102" i="22"/>
  <c r="G102" i="22"/>
  <c r="H102" i="22"/>
  <c r="I102" i="22"/>
  <c r="E104" i="22"/>
  <c r="F104" i="22"/>
  <c r="G104" i="22"/>
  <c r="H104" i="22"/>
  <c r="I104" i="22"/>
  <c r="E106" i="22"/>
  <c r="F106" i="22"/>
  <c r="G106" i="22"/>
  <c r="H106" i="22"/>
  <c r="I106" i="22"/>
  <c r="E108" i="22"/>
  <c r="F108" i="22"/>
  <c r="G108" i="22"/>
  <c r="H108" i="22"/>
  <c r="I108" i="22"/>
  <c r="E109" i="22"/>
  <c r="F109" i="22"/>
  <c r="E111" i="22"/>
  <c r="F111" i="22"/>
  <c r="D117" i="22"/>
  <c r="D119" i="22" s="1"/>
  <c r="D121" i="22" s="1"/>
  <c r="D123" i="22" s="1"/>
  <c r="D125" i="22" s="1"/>
  <c r="D126" i="22"/>
  <c r="D134" i="22"/>
  <c r="D136" i="22" s="1"/>
  <c r="D138" i="22" s="1"/>
  <c r="D140" i="22" s="1"/>
  <c r="D142" i="22" s="1"/>
  <c r="D143" i="22"/>
  <c r="E169" i="22"/>
  <c r="F169" i="22"/>
  <c r="E170" i="22"/>
  <c r="H22" i="14"/>
  <c r="G22" i="14"/>
  <c r="I20" i="14"/>
  <c r="G17" i="14"/>
  <c r="W23" i="21"/>
  <c r="V23" i="21"/>
  <c r="U23" i="21"/>
  <c r="T23" i="21"/>
  <c r="S23" i="21"/>
  <c r="R23" i="21"/>
  <c r="G28" i="14"/>
  <c r="I17" i="14"/>
  <c r="J17" i="14"/>
  <c r="K17" i="14"/>
  <c r="L17" i="14"/>
  <c r="M17" i="14"/>
  <c r="N17" i="14"/>
  <c r="O17" i="14"/>
  <c r="P17" i="14"/>
  <c r="H17" i="14"/>
  <c r="H11" i="14"/>
  <c r="I11" i="14"/>
  <c r="J11" i="14"/>
  <c r="K11" i="14"/>
  <c r="L11" i="14"/>
  <c r="M11" i="14"/>
  <c r="N11" i="14"/>
  <c r="O11" i="14"/>
  <c r="P11" i="14"/>
  <c r="G11" i="14"/>
  <c r="H9" i="14"/>
  <c r="J58" i="20"/>
  <c r="W62" i="20"/>
  <c r="V62" i="20"/>
  <c r="U62" i="20"/>
  <c r="T62" i="20"/>
  <c r="S62" i="20"/>
  <c r="W60" i="20"/>
  <c r="V60" i="20"/>
  <c r="U60" i="20"/>
  <c r="T60" i="20"/>
  <c r="S60" i="20"/>
  <c r="S59" i="20"/>
  <c r="R15" i="10"/>
  <c r="R24" i="10"/>
  <c r="R22" i="10"/>
  <c r="R9" i="10"/>
  <c r="R10" i="10"/>
  <c r="R11" i="10"/>
  <c r="R12" i="10"/>
  <c r="R14" i="10"/>
  <c r="P118" i="10"/>
  <c r="O118" i="10"/>
  <c r="N118" i="10"/>
  <c r="M118" i="10"/>
  <c r="L118" i="10"/>
  <c r="K118" i="10"/>
  <c r="J118" i="10"/>
  <c r="I118" i="10"/>
  <c r="H118" i="10"/>
  <c r="G118" i="10"/>
  <c r="P74" i="10"/>
  <c r="O74" i="10"/>
  <c r="N74" i="10"/>
  <c r="M74" i="10"/>
  <c r="L74" i="10"/>
  <c r="K74" i="10"/>
  <c r="J74" i="10"/>
  <c r="I74" i="10"/>
  <c r="H74" i="10"/>
  <c r="G74" i="10"/>
  <c r="H13" i="9"/>
  <c r="H12" i="9"/>
  <c r="I12" i="9" s="1"/>
  <c r="J12" i="9" s="1"/>
  <c r="I17" i="20"/>
  <c r="R25" i="20"/>
  <c r="R16" i="20"/>
  <c r="R124" i="20"/>
  <c r="P69" i="20"/>
  <c r="P70" i="34" s="1"/>
  <c r="O69" i="20"/>
  <c r="O70" i="34" s="1"/>
  <c r="N69" i="20"/>
  <c r="N70" i="34" s="1"/>
  <c r="M69" i="20"/>
  <c r="M70" i="34" s="1"/>
  <c r="L69" i="20"/>
  <c r="L70" i="34" s="1"/>
  <c r="K69" i="20"/>
  <c r="K70" i="34" s="1"/>
  <c r="J69" i="20"/>
  <c r="J70" i="34" s="1"/>
  <c r="I69" i="20"/>
  <c r="I70" i="34" s="1"/>
  <c r="H69" i="20"/>
  <c r="H70" i="34" s="1"/>
  <c r="S70" i="34" s="1"/>
  <c r="W68" i="20"/>
  <c r="V68" i="20"/>
  <c r="U68" i="20"/>
  <c r="T68" i="20"/>
  <c r="S68" i="20"/>
  <c r="W67" i="20"/>
  <c r="V67" i="20"/>
  <c r="U67" i="20"/>
  <c r="T67" i="20"/>
  <c r="S67" i="20"/>
  <c r="D30" i="20"/>
  <c r="R30" i="20" s="1"/>
  <c r="K30" i="20"/>
  <c r="L30" i="20"/>
  <c r="M30" i="20"/>
  <c r="N30" i="20"/>
  <c r="O30" i="20"/>
  <c r="P30" i="20"/>
  <c r="W26" i="20"/>
  <c r="V26" i="20"/>
  <c r="U26" i="20"/>
  <c r="R26" i="20"/>
  <c r="E26" i="20"/>
  <c r="I26" i="20"/>
  <c r="J26" i="20"/>
  <c r="G26" i="20"/>
  <c r="H26" i="20"/>
  <c r="F26" i="20"/>
  <c r="R29" i="20"/>
  <c r="D22" i="20"/>
  <c r="R22" i="20" s="1"/>
  <c r="G30" i="10"/>
  <c r="H30" i="10"/>
  <c r="I30" i="10"/>
  <c r="J30" i="10"/>
  <c r="K30" i="10"/>
  <c r="L30" i="10"/>
  <c r="M30" i="10"/>
  <c r="N30" i="10"/>
  <c r="O30" i="10"/>
  <c r="P30" i="10"/>
  <c r="F22" i="20"/>
  <c r="G22" i="20"/>
  <c r="H22" i="20"/>
  <c r="E22" i="20"/>
  <c r="R21" i="20"/>
  <c r="S21" i="20"/>
  <c r="T21" i="20"/>
  <c r="U21" i="20"/>
  <c r="V21" i="20"/>
  <c r="W21" i="20"/>
  <c r="W17" i="20"/>
  <c r="V17" i="20"/>
  <c r="U17" i="20"/>
  <c r="T17" i="20"/>
  <c r="S17" i="20"/>
  <c r="R17" i="20"/>
  <c r="O17" i="20"/>
  <c r="M17" i="20"/>
  <c r="K17" i="20"/>
  <c r="R11" i="9"/>
  <c r="W21" i="21"/>
  <c r="V21" i="21"/>
  <c r="U21" i="21"/>
  <c r="T21" i="21"/>
  <c r="S21" i="21"/>
  <c r="R21" i="21"/>
  <c r="W18" i="21"/>
  <c r="V18" i="21"/>
  <c r="U18" i="21"/>
  <c r="T18" i="21"/>
  <c r="S18" i="21"/>
  <c r="R18" i="21"/>
  <c r="W13" i="21"/>
  <c r="V13" i="21"/>
  <c r="U13" i="21"/>
  <c r="T13" i="21"/>
  <c r="S13" i="21"/>
  <c r="R13" i="21"/>
  <c r="H8" i="20"/>
  <c r="S8" i="20" s="1"/>
  <c r="G11" i="9"/>
  <c r="R22" i="9"/>
  <c r="R21" i="9"/>
  <c r="R19" i="9"/>
  <c r="R20" i="9"/>
  <c r="R18" i="9"/>
  <c r="S18" i="9"/>
  <c r="T18" i="9"/>
  <c r="U18" i="9"/>
  <c r="V18" i="9"/>
  <c r="W18" i="9"/>
  <c r="W17" i="9"/>
  <c r="V17" i="9"/>
  <c r="U17" i="9"/>
  <c r="T17" i="9"/>
  <c r="S17" i="9"/>
  <c r="R17" i="9"/>
  <c r="R12" i="9"/>
  <c r="R13" i="9"/>
  <c r="F61" i="6"/>
  <c r="G61" i="6"/>
  <c r="H61" i="6"/>
  <c r="I61" i="6"/>
  <c r="J61" i="6"/>
  <c r="K61" i="6"/>
  <c r="L61" i="6"/>
  <c r="M61" i="6"/>
  <c r="N61" i="6"/>
  <c r="O61" i="6"/>
  <c r="P61" i="6"/>
  <c r="F64" i="6"/>
  <c r="G64" i="6"/>
  <c r="H64" i="6"/>
  <c r="I64" i="6"/>
  <c r="J64" i="6"/>
  <c r="K64" i="6"/>
  <c r="L64" i="6"/>
  <c r="M64" i="6"/>
  <c r="N64" i="6"/>
  <c r="O64" i="6"/>
  <c r="P64" i="6"/>
  <c r="F67" i="6"/>
  <c r="G67" i="6"/>
  <c r="H67" i="6"/>
  <c r="I67" i="6"/>
  <c r="J67" i="6"/>
  <c r="K67" i="6"/>
  <c r="L67" i="6"/>
  <c r="M67" i="6"/>
  <c r="N67" i="6"/>
  <c r="O67" i="6"/>
  <c r="P67" i="6"/>
  <c r="E67" i="6"/>
  <c r="E64" i="6"/>
  <c r="E61" i="6"/>
  <c r="D8" i="5"/>
  <c r="D38" i="5"/>
  <c r="D15" i="5"/>
  <c r="D13" i="5"/>
  <c r="E2" i="5"/>
  <c r="E12" i="5"/>
  <c r="E4" i="5"/>
  <c r="BO10" i="4"/>
  <c r="BK10" i="4" s="1"/>
  <c r="BB10" i="4"/>
  <c r="AZ10" i="4" s="1"/>
  <c r="AO10" i="4"/>
  <c r="AN10" i="4" s="1"/>
  <c r="AB10" i="4"/>
  <c r="W10" i="4" s="1"/>
  <c r="BO8" i="4"/>
  <c r="BL8" i="4" s="1"/>
  <c r="BB8" i="4"/>
  <c r="AZ8" i="4" s="1"/>
  <c r="AO8" i="4"/>
  <c r="AI8" i="4" s="1"/>
  <c r="AB8" i="4"/>
  <c r="AA8" i="4" s="1"/>
  <c r="BM5" i="4"/>
  <c r="BL5" i="4"/>
  <c r="BK5" i="4"/>
  <c r="BJ5" i="4"/>
  <c r="BI5" i="4"/>
  <c r="BH5" i="4"/>
  <c r="BG5" i="4"/>
  <c r="BF5" i="4"/>
  <c r="BE5" i="4"/>
  <c r="BD5" i="4"/>
  <c r="BC5" i="4"/>
  <c r="AZ5" i="4"/>
  <c r="AY5" i="4"/>
  <c r="AX5" i="4"/>
  <c r="AW5" i="4"/>
  <c r="AV5" i="4"/>
  <c r="AU5" i="4"/>
  <c r="AT5" i="4"/>
  <c r="AS5" i="4"/>
  <c r="AR5" i="4"/>
  <c r="AQ5" i="4"/>
  <c r="AP5" i="4"/>
  <c r="AM5" i="4"/>
  <c r="AL5" i="4"/>
  <c r="AK5" i="4"/>
  <c r="AJ5" i="4"/>
  <c r="AI5" i="4"/>
  <c r="AH5" i="4"/>
  <c r="AG5" i="4"/>
  <c r="AF5" i="4"/>
  <c r="AE5" i="4"/>
  <c r="AD5" i="4"/>
  <c r="AC5" i="4"/>
  <c r="Z5" i="4"/>
  <c r="Y5" i="4"/>
  <c r="X5" i="4"/>
  <c r="W5" i="4"/>
  <c r="V5" i="4"/>
  <c r="U5" i="4"/>
  <c r="T5" i="4"/>
  <c r="S5" i="4"/>
  <c r="R5" i="4"/>
  <c r="Q5" i="4"/>
  <c r="P5" i="4"/>
  <c r="M5" i="4"/>
  <c r="L5" i="4"/>
  <c r="K5" i="4"/>
  <c r="J5" i="4"/>
  <c r="I5" i="4"/>
  <c r="H5" i="4"/>
  <c r="G5" i="4"/>
  <c r="F5" i="4"/>
  <c r="E5" i="4"/>
  <c r="D5" i="4"/>
  <c r="C5" i="4"/>
  <c r="O10" i="4"/>
  <c r="M10" i="4" s="1"/>
  <c r="O8" i="4"/>
  <c r="K8" i="4" s="1"/>
  <c r="F40" i="34" l="1"/>
  <c r="F12" i="34" s="1"/>
  <c r="D45" i="34"/>
  <c r="D13" i="34" s="1"/>
  <c r="D40" i="34"/>
  <c r="BL48" i="35"/>
  <c r="BK48" i="35"/>
  <c r="AW48" i="35"/>
  <c r="AV48" i="35"/>
  <c r="AU48" i="35"/>
  <c r="AT48" i="35"/>
  <c r="R48" i="35"/>
  <c r="M48" i="35"/>
  <c r="BM39" i="35"/>
  <c r="AG39" i="35"/>
  <c r="R39" i="35"/>
  <c r="AC95" i="29"/>
  <c r="P80" i="29"/>
  <c r="P81" i="29"/>
  <c r="P82" i="29"/>
  <c r="P87" i="29"/>
  <c r="P88" i="29"/>
  <c r="P94" i="29"/>
  <c r="P95" i="29"/>
  <c r="P97" i="29"/>
  <c r="P99" i="29"/>
  <c r="P103" i="29"/>
  <c r="P104" i="29"/>
  <c r="P105" i="29"/>
  <c r="P106" i="29"/>
  <c r="P9" i="21"/>
  <c r="D128" i="22"/>
  <c r="D145" i="22"/>
  <c r="AQ44" i="32"/>
  <c r="AR44" i="32" s="1"/>
  <c r="AS44" i="32" s="1"/>
  <c r="AT44" i="32" s="1"/>
  <c r="AU44" i="32" s="1"/>
  <c r="AV44" i="32" s="1"/>
  <c r="AW44" i="32" s="1"/>
  <c r="AX44" i="32" s="1"/>
  <c r="AY44" i="32" s="1"/>
  <c r="AZ44" i="32" s="1"/>
  <c r="BA44" i="32" s="1"/>
  <c r="BB44" i="32" s="1"/>
  <c r="BP44" i="32"/>
  <c r="BD44" i="32" s="1"/>
  <c r="BE44" i="32" s="1"/>
  <c r="BF44" i="32" s="1"/>
  <c r="BG44" i="32" s="1"/>
  <c r="BH44" i="32" s="1"/>
  <c r="BI44" i="32" s="1"/>
  <c r="BJ44" i="32" s="1"/>
  <c r="BK44" i="32" s="1"/>
  <c r="BL44" i="32" s="1"/>
  <c r="BM44" i="32" s="1"/>
  <c r="BN44" i="32" s="1"/>
  <c r="BO44" i="32" s="1"/>
  <c r="D46" i="32"/>
  <c r="E45" i="32"/>
  <c r="E112" i="26"/>
  <c r="E29" i="26"/>
  <c r="E31" i="26" s="1"/>
  <c r="E89" i="26"/>
  <c r="P19" i="31" s="1"/>
  <c r="D19" i="31" s="1"/>
  <c r="E19" i="31" s="1"/>
  <c r="F19" i="31" s="1"/>
  <c r="G19" i="31" s="1"/>
  <c r="H19" i="31" s="1"/>
  <c r="I19" i="31" s="1"/>
  <c r="J19" i="31" s="1"/>
  <c r="K19" i="31" s="1"/>
  <c r="L19" i="31" s="1"/>
  <c r="M19" i="31" s="1"/>
  <c r="N19" i="31" s="1"/>
  <c r="O19" i="31" s="1"/>
  <c r="G45" i="26"/>
  <c r="H45" i="26" s="1"/>
  <c r="I45" i="26" s="1"/>
  <c r="G92" i="26"/>
  <c r="AY48" i="35"/>
  <c r="AK48" i="35"/>
  <c r="O39" i="35"/>
  <c r="AE39" i="35"/>
  <c r="AT39" i="35"/>
  <c r="BI39" i="35"/>
  <c r="K39" i="35"/>
  <c r="Z39" i="35"/>
  <c r="AO39" i="35"/>
  <c r="BE39" i="35"/>
  <c r="G39" i="35"/>
  <c r="V39" i="35"/>
  <c r="AK39" i="35"/>
  <c r="AZ39" i="35"/>
  <c r="BO39" i="35"/>
  <c r="E39" i="35"/>
  <c r="T39" i="35"/>
  <c r="AI39" i="35"/>
  <c r="AX39" i="35"/>
  <c r="K48" i="35"/>
  <c r="Z48" i="35"/>
  <c r="AO48" i="35"/>
  <c r="BE48" i="35"/>
  <c r="G48" i="35"/>
  <c r="V48" i="35"/>
  <c r="BO48" i="35"/>
  <c r="AG48" i="35"/>
  <c r="AR48" i="35"/>
  <c r="X48" i="35"/>
  <c r="AI48" i="35"/>
  <c r="N39" i="35"/>
  <c r="AS39" i="35"/>
  <c r="J39" i="35"/>
  <c r="AN39" i="35"/>
  <c r="BP41" i="35"/>
  <c r="F39" i="35"/>
  <c r="AJ39" i="35"/>
  <c r="AY39" i="35"/>
  <c r="BN39" i="35"/>
  <c r="AC43" i="35"/>
  <c r="BC44" i="35"/>
  <c r="P46" i="35"/>
  <c r="S39" i="35"/>
  <c r="AH39" i="35"/>
  <c r="AW39" i="35"/>
  <c r="AP47" i="35"/>
  <c r="J48" i="35"/>
  <c r="Y48" i="35"/>
  <c r="AN48" i="35"/>
  <c r="BP49" i="35"/>
  <c r="F48" i="35"/>
  <c r="U48" i="35"/>
  <c r="AJ48" i="35"/>
  <c r="BN48" i="35"/>
  <c r="AF48" i="35"/>
  <c r="L48" i="35"/>
  <c r="P54" i="35"/>
  <c r="AH48" i="35"/>
  <c r="AP55" i="35"/>
  <c r="AS48" i="35"/>
  <c r="BP56" i="35"/>
  <c r="AC58" i="35"/>
  <c r="AC75" i="35"/>
  <c r="Q39" i="35"/>
  <c r="AF39" i="35"/>
  <c r="AU39" i="35"/>
  <c r="BJ39" i="35"/>
  <c r="L39" i="35"/>
  <c r="H39" i="35"/>
  <c r="W39" i="35"/>
  <c r="AL39" i="35"/>
  <c r="BA39" i="35"/>
  <c r="P43" i="35"/>
  <c r="AP44" i="35"/>
  <c r="BP45" i="35"/>
  <c r="AC47" i="35"/>
  <c r="AA48" i="35"/>
  <c r="BC49" i="35"/>
  <c r="H48" i="35"/>
  <c r="W48" i="35"/>
  <c r="BA48" i="35"/>
  <c r="S48" i="35"/>
  <c r="AP52" i="35"/>
  <c r="BP53" i="35"/>
  <c r="P58" i="35"/>
  <c r="AR39" i="35"/>
  <c r="X39" i="35"/>
  <c r="BG48" i="35"/>
  <c r="BB48" i="35"/>
  <c r="T48" i="35"/>
  <c r="N48" i="35"/>
  <c r="AD48" i="35"/>
  <c r="BH48" i="35"/>
  <c r="AX48" i="35"/>
  <c r="AZ48" i="35"/>
  <c r="BC75" i="35"/>
  <c r="AA39" i="35"/>
  <c r="AQ39" i="35"/>
  <c r="BF39" i="35"/>
  <c r="AL48" i="35"/>
  <c r="AM48" i="35"/>
  <c r="AP40" i="35"/>
  <c r="BH39" i="35"/>
  <c r="Y39" i="35"/>
  <c r="U39" i="35"/>
  <c r="AB39" i="35"/>
  <c r="I39" i="35"/>
  <c r="BB39" i="35"/>
  <c r="AB48" i="35"/>
  <c r="E48" i="35"/>
  <c r="O48" i="35"/>
  <c r="AE48" i="35"/>
  <c r="BI48" i="35"/>
  <c r="BF48" i="35"/>
  <c r="BG39" i="35"/>
  <c r="AM39" i="35"/>
  <c r="I48" i="35"/>
  <c r="BM48" i="35"/>
  <c r="BJ48" i="35"/>
  <c r="BP75" i="35"/>
  <c r="D39" i="35"/>
  <c r="M39" i="35"/>
  <c r="P47" i="35"/>
  <c r="BC53" i="35"/>
  <c r="BP57" i="35"/>
  <c r="AP45" i="35"/>
  <c r="AC49" i="35"/>
  <c r="P52" i="35"/>
  <c r="BC57" i="35"/>
  <c r="BD39" i="35"/>
  <c r="BP43" i="35"/>
  <c r="AC45" i="35"/>
  <c r="BC46" i="35"/>
  <c r="P49" i="35"/>
  <c r="BP51" i="35"/>
  <c r="AC53" i="35"/>
  <c r="BC54" i="35"/>
  <c r="P56" i="35"/>
  <c r="AP57" i="35"/>
  <c r="BP58" i="35"/>
  <c r="BD48" i="35"/>
  <c r="AC41" i="35"/>
  <c r="BC43" i="35"/>
  <c r="BP47" i="35"/>
  <c r="P53" i="35"/>
  <c r="AD39" i="35"/>
  <c r="P75" i="35"/>
  <c r="AQ48" i="35"/>
  <c r="BC40" i="35"/>
  <c r="P42" i="35"/>
  <c r="BP44" i="35"/>
  <c r="AC46" i="35"/>
  <c r="BC47" i="35"/>
  <c r="P50" i="35"/>
  <c r="BP52" i="35"/>
  <c r="AC54" i="35"/>
  <c r="BC55" i="35"/>
  <c r="AP58" i="35"/>
  <c r="D48" i="35"/>
  <c r="AC44" i="35"/>
  <c r="BC45" i="35"/>
  <c r="AP49" i="35"/>
  <c r="AC52" i="35"/>
  <c r="P55" i="35"/>
  <c r="AP56" i="35"/>
  <c r="BC42" i="35"/>
  <c r="BP46" i="35"/>
  <c r="AP53" i="35"/>
  <c r="BP54" i="35"/>
  <c r="AC56" i="35"/>
  <c r="P45" i="35"/>
  <c r="AP54" i="35"/>
  <c r="AC57" i="35"/>
  <c r="BC58" i="35"/>
  <c r="Q48" i="35"/>
  <c r="AP75" i="35"/>
  <c r="F27" i="25"/>
  <c r="H27" i="25"/>
  <c r="S27" i="25" s="1"/>
  <c r="D27" i="25"/>
  <c r="E27" i="25"/>
  <c r="G27" i="25"/>
  <c r="I27" i="25"/>
  <c r="Q20" i="28"/>
  <c r="R20" i="28" s="1"/>
  <c r="S20" i="28" s="1"/>
  <c r="T20" i="28" s="1"/>
  <c r="U20" i="28" s="1"/>
  <c r="V20" i="28" s="1"/>
  <c r="W20" i="28" s="1"/>
  <c r="X20" i="28" s="1"/>
  <c r="Y20" i="28" s="1"/>
  <c r="Z20" i="28" s="1"/>
  <c r="AA20" i="28" s="1"/>
  <c r="AB20" i="28" s="1"/>
  <c r="AP20" i="28"/>
  <c r="AD77" i="28"/>
  <c r="AE77" i="28" s="1"/>
  <c r="AF77" i="28" s="1"/>
  <c r="AG77" i="28" s="1"/>
  <c r="AH77" i="28" s="1"/>
  <c r="AI77" i="28" s="1"/>
  <c r="AJ77" i="28" s="1"/>
  <c r="AK77" i="28" s="1"/>
  <c r="AL77" i="28" s="1"/>
  <c r="AM77" i="28" s="1"/>
  <c r="AN77" i="28" s="1"/>
  <c r="AO77" i="28" s="1"/>
  <c r="BC77" i="28"/>
  <c r="D80" i="28"/>
  <c r="AC80" i="28"/>
  <c r="Q16" i="32"/>
  <c r="R16" i="32" s="1"/>
  <c r="S16" i="32" s="1"/>
  <c r="T16" i="32" s="1"/>
  <c r="U16" i="32" s="1"/>
  <c r="V16" i="32" s="1"/>
  <c r="W16" i="32" s="1"/>
  <c r="X16" i="32" s="1"/>
  <c r="Y16" i="32" s="1"/>
  <c r="Z16" i="32" s="1"/>
  <c r="AA16" i="32" s="1"/>
  <c r="AB16" i="32" s="1"/>
  <c r="AP16" i="32"/>
  <c r="AD16" i="32" s="1"/>
  <c r="AE16" i="32" s="1"/>
  <c r="AF16" i="32" s="1"/>
  <c r="AG16" i="32" s="1"/>
  <c r="AH16" i="32" s="1"/>
  <c r="AI16" i="32" s="1"/>
  <c r="AJ16" i="32" s="1"/>
  <c r="AK16" i="32" s="1"/>
  <c r="AL16" i="32" s="1"/>
  <c r="AM16" i="32" s="1"/>
  <c r="AN16" i="32" s="1"/>
  <c r="AO16" i="32" s="1"/>
  <c r="Q53" i="32"/>
  <c r="R53" i="32" s="1"/>
  <c r="S53" i="32" s="1"/>
  <c r="T53" i="32" s="1"/>
  <c r="U53" i="32" s="1"/>
  <c r="V53" i="32" s="1"/>
  <c r="W53" i="32" s="1"/>
  <c r="X53" i="32" s="1"/>
  <c r="Y53" i="32" s="1"/>
  <c r="Z53" i="32" s="1"/>
  <c r="AA53" i="32" s="1"/>
  <c r="AB53" i="32" s="1"/>
  <c r="AP53" i="32"/>
  <c r="AP91" i="32"/>
  <c r="AC91" i="32"/>
  <c r="BP91" i="32"/>
  <c r="E16" i="31"/>
  <c r="F16" i="31" s="1"/>
  <c r="G16" i="31" s="1"/>
  <c r="H16" i="31" s="1"/>
  <c r="I16" i="31" s="1"/>
  <c r="J16" i="31" s="1"/>
  <c r="K16" i="31" s="1"/>
  <c r="L16" i="31" s="1"/>
  <c r="M16" i="31" s="1"/>
  <c r="N16" i="31" s="1"/>
  <c r="O16" i="31" s="1"/>
  <c r="P16" i="31" s="1"/>
  <c r="Q16" i="31" s="1"/>
  <c r="R16" i="31" s="1"/>
  <c r="S16" i="31" s="1"/>
  <c r="T16" i="31" s="1"/>
  <c r="U16" i="31" s="1"/>
  <c r="V16" i="31" s="1"/>
  <c r="W16" i="31" s="1"/>
  <c r="X16" i="31" s="1"/>
  <c r="Y16" i="31" s="1"/>
  <c r="Z16" i="31" s="1"/>
  <c r="AA16" i="31" s="1"/>
  <c r="AB16" i="31" s="1"/>
  <c r="AC16" i="31" s="1"/>
  <c r="AD16" i="31" s="1"/>
  <c r="AE16" i="31" s="1"/>
  <c r="AF16" i="31" s="1"/>
  <c r="AG16" i="31" s="1"/>
  <c r="AH16" i="31" s="1"/>
  <c r="AI16" i="31" s="1"/>
  <c r="AJ16" i="31" s="1"/>
  <c r="AK16" i="31" s="1"/>
  <c r="AL16" i="31" s="1"/>
  <c r="AM16" i="31" s="1"/>
  <c r="AN16" i="31" s="1"/>
  <c r="AO16" i="31" s="1"/>
  <c r="AP16" i="31" s="1"/>
  <c r="AQ16" i="31" s="1"/>
  <c r="AR16" i="31" s="1"/>
  <c r="AS16" i="31" s="1"/>
  <c r="AT16" i="31" s="1"/>
  <c r="AU16" i="31" s="1"/>
  <c r="AV16" i="31" s="1"/>
  <c r="AW16" i="31" s="1"/>
  <c r="AX16" i="31" s="1"/>
  <c r="AY16" i="31" s="1"/>
  <c r="AZ16" i="31" s="1"/>
  <c r="BA16" i="31" s="1"/>
  <c r="BB16" i="31" s="1"/>
  <c r="BC16" i="31" s="1"/>
  <c r="BD16" i="31" s="1"/>
  <c r="BE16" i="31" s="1"/>
  <c r="BF16" i="31" s="1"/>
  <c r="BG16" i="31" s="1"/>
  <c r="BH16" i="31" s="1"/>
  <c r="BI16" i="31" s="1"/>
  <c r="BJ16" i="31" s="1"/>
  <c r="BK16" i="31" s="1"/>
  <c r="BL16" i="31" s="1"/>
  <c r="BM16" i="31" s="1"/>
  <c r="BN16" i="31" s="1"/>
  <c r="BO16" i="31" s="1"/>
  <c r="BP16" i="31" s="1"/>
  <c r="D17" i="31"/>
  <c r="AD69" i="31"/>
  <c r="AE69" i="31" s="1"/>
  <c r="AF69" i="31" s="1"/>
  <c r="AG69" i="31" s="1"/>
  <c r="AH69" i="31" s="1"/>
  <c r="AI69" i="31" s="1"/>
  <c r="AJ69" i="31" s="1"/>
  <c r="AK69" i="31" s="1"/>
  <c r="AL69" i="31" s="1"/>
  <c r="AM69" i="31" s="1"/>
  <c r="AN69" i="31" s="1"/>
  <c r="AO69" i="31" s="1"/>
  <c r="BC69" i="31"/>
  <c r="Q75" i="31"/>
  <c r="R75" i="31" s="1"/>
  <c r="AP75" i="31"/>
  <c r="Q76" i="31"/>
  <c r="R76" i="31" s="1"/>
  <c r="S76" i="31" s="1"/>
  <c r="T76" i="31" s="1"/>
  <c r="U76" i="31" s="1"/>
  <c r="V76" i="31" s="1"/>
  <c r="W76" i="31" s="1"/>
  <c r="X76" i="31" s="1"/>
  <c r="Y76" i="31" s="1"/>
  <c r="Z76" i="31" s="1"/>
  <c r="AA76" i="31" s="1"/>
  <c r="AB76" i="31" s="1"/>
  <c r="AP76" i="31"/>
  <c r="AD91" i="31"/>
  <c r="AE91" i="31" s="1"/>
  <c r="AF91" i="31" s="1"/>
  <c r="AG91" i="31" s="1"/>
  <c r="AH91" i="31" s="1"/>
  <c r="AI91" i="31" s="1"/>
  <c r="AJ91" i="31" s="1"/>
  <c r="AK91" i="31" s="1"/>
  <c r="AL91" i="31" s="1"/>
  <c r="AM91" i="31" s="1"/>
  <c r="AN91" i="31" s="1"/>
  <c r="AO91" i="31" s="1"/>
  <c r="BC91" i="31"/>
  <c r="AQ94" i="31"/>
  <c r="AR94" i="31" s="1"/>
  <c r="AS94" i="31" s="1"/>
  <c r="AT94" i="31" s="1"/>
  <c r="AU94" i="31" s="1"/>
  <c r="AV94" i="31" s="1"/>
  <c r="AW94" i="31" s="1"/>
  <c r="AX94" i="31" s="1"/>
  <c r="AY94" i="31" s="1"/>
  <c r="AZ94" i="31" s="1"/>
  <c r="BA94" i="31" s="1"/>
  <c r="BB94" i="31" s="1"/>
  <c r="BP94" i="31"/>
  <c r="BD94" i="31" s="1"/>
  <c r="BE94" i="31" s="1"/>
  <c r="BF94" i="31" s="1"/>
  <c r="BG94" i="31" s="1"/>
  <c r="BH94" i="31" s="1"/>
  <c r="BI94" i="31" s="1"/>
  <c r="BJ94" i="31" s="1"/>
  <c r="BK94" i="31" s="1"/>
  <c r="BL94" i="31" s="1"/>
  <c r="BM94" i="31" s="1"/>
  <c r="BN94" i="31" s="1"/>
  <c r="BO94" i="31" s="1"/>
  <c r="Q91" i="30"/>
  <c r="R91" i="30" s="1"/>
  <c r="S91" i="30" s="1"/>
  <c r="T91" i="30" s="1"/>
  <c r="U91" i="30" s="1"/>
  <c r="V91" i="30" s="1"/>
  <c r="W91" i="30" s="1"/>
  <c r="X91" i="30" s="1"/>
  <c r="Y91" i="30" s="1"/>
  <c r="Z91" i="30" s="1"/>
  <c r="AA91" i="30" s="1"/>
  <c r="AB91" i="30" s="1"/>
  <c r="AP91" i="30"/>
  <c r="AC94" i="29"/>
  <c r="N9" i="21"/>
  <c r="D19" i="21"/>
  <c r="R16" i="21"/>
  <c r="G94" i="36"/>
  <c r="C9" i="36"/>
  <c r="P119" i="34"/>
  <c r="W119" i="34" s="1"/>
  <c r="T28" i="20"/>
  <c r="L119" i="34"/>
  <c r="U119" i="34" s="1"/>
  <c r="S28" i="20"/>
  <c r="Q63" i="27"/>
  <c r="R63" i="27" s="1"/>
  <c r="S63" i="27" s="1"/>
  <c r="T63" i="27" s="1"/>
  <c r="U63" i="27" s="1"/>
  <c r="V63" i="27" s="1"/>
  <c r="W63" i="27" s="1"/>
  <c r="X63" i="27" s="1"/>
  <c r="Y63" i="27" s="1"/>
  <c r="Z63" i="27" s="1"/>
  <c r="AA63" i="27" s="1"/>
  <c r="AB63" i="27" s="1"/>
  <c r="AP63" i="27"/>
  <c r="BL39" i="35"/>
  <c r="P41" i="35"/>
  <c r="AP43" i="35"/>
  <c r="P44" i="35"/>
  <c r="P40" i="35"/>
  <c r="BP42" i="35"/>
  <c r="AP46" i="35"/>
  <c r="AP92" i="35"/>
  <c r="Q92" i="35"/>
  <c r="R92" i="35" s="1"/>
  <c r="S92" i="35" s="1"/>
  <c r="T92" i="35" s="1"/>
  <c r="U92" i="35" s="1"/>
  <c r="V92" i="35" s="1"/>
  <c r="W92" i="35" s="1"/>
  <c r="X92" i="35" s="1"/>
  <c r="Y92" i="35" s="1"/>
  <c r="Z92" i="35" s="1"/>
  <c r="AA92" i="35" s="1"/>
  <c r="AB92" i="35" s="1"/>
  <c r="BD75" i="35"/>
  <c r="BE78" i="35"/>
  <c r="BF78" i="35" s="1"/>
  <c r="BG78" i="35" s="1"/>
  <c r="BH78" i="35" s="1"/>
  <c r="BI78" i="35" s="1"/>
  <c r="BJ78" i="35" s="1"/>
  <c r="BK78" i="35" s="1"/>
  <c r="BL78" i="35" s="1"/>
  <c r="BM78" i="35" s="1"/>
  <c r="BN78" i="35" s="1"/>
  <c r="BO78" i="35" s="1"/>
  <c r="AQ75" i="35"/>
  <c r="AR78" i="35"/>
  <c r="AS78" i="35" s="1"/>
  <c r="AT78" i="35" s="1"/>
  <c r="AU78" i="35" s="1"/>
  <c r="AV78" i="35" s="1"/>
  <c r="AW78" i="35" s="1"/>
  <c r="AX78" i="35" s="1"/>
  <c r="AY78" i="35" s="1"/>
  <c r="AZ78" i="35" s="1"/>
  <c r="BA78" i="35" s="1"/>
  <c r="BB78" i="35" s="1"/>
  <c r="AC50" i="35"/>
  <c r="AC42" i="35"/>
  <c r="AP42" i="35"/>
  <c r="BD65" i="33"/>
  <c r="BE65" i="33"/>
  <c r="BF65" i="33"/>
  <c r="BG65" i="33" s="1"/>
  <c r="BH65" i="33" s="1"/>
  <c r="BI65" i="33" s="1"/>
  <c r="BJ65" i="33" s="1"/>
  <c r="BK65" i="33" s="1"/>
  <c r="BL65" i="33" s="1"/>
  <c r="BM65" i="33" s="1"/>
  <c r="BN65" i="33" s="1"/>
  <c r="BO65" i="33" s="1"/>
  <c r="AC55" i="35"/>
  <c r="P57" i="35"/>
  <c r="BP40" i="35"/>
  <c r="J9" i="21"/>
  <c r="L9" i="21"/>
  <c r="H30" i="21"/>
  <c r="F5" i="26"/>
  <c r="F89" i="26" s="1"/>
  <c r="AC19" i="31" s="1"/>
  <c r="Q19" i="31" s="1"/>
  <c r="R19" i="31" s="1"/>
  <c r="S19" i="31" s="1"/>
  <c r="T19" i="31" s="1"/>
  <c r="U19" i="31" s="1"/>
  <c r="V19" i="31" s="1"/>
  <c r="W19" i="31" s="1"/>
  <c r="X19" i="31" s="1"/>
  <c r="Y19" i="31" s="1"/>
  <c r="Z19" i="31" s="1"/>
  <c r="AA19" i="31" s="1"/>
  <c r="AB19" i="31" s="1"/>
  <c r="D11" i="26"/>
  <c r="D12" i="21"/>
  <c r="D10" i="21" s="1"/>
  <c r="E10" i="21" s="1"/>
  <c r="F10" i="21" s="1"/>
  <c r="G10" i="21" s="1"/>
  <c r="H10" i="21" s="1"/>
  <c r="D12" i="26"/>
  <c r="E12" i="26" s="1"/>
  <c r="H16" i="21"/>
  <c r="F13" i="26"/>
  <c r="AC8" i="29"/>
  <c r="G40" i="26"/>
  <c r="H40" i="26" s="1"/>
  <c r="I40" i="26" s="1"/>
  <c r="H68" i="26"/>
  <c r="AP125" i="27"/>
  <c r="Q125" i="27"/>
  <c r="R125" i="27" s="1"/>
  <c r="S125" i="27" s="1"/>
  <c r="T125" i="27" s="1"/>
  <c r="U125" i="27" s="1"/>
  <c r="V125" i="27" s="1"/>
  <c r="W125" i="27" s="1"/>
  <c r="X125" i="27" s="1"/>
  <c r="Y125" i="27" s="1"/>
  <c r="Z125" i="27" s="1"/>
  <c r="AA125" i="27" s="1"/>
  <c r="AB125" i="27" s="1"/>
  <c r="AP94" i="29"/>
  <c r="BC82" i="29"/>
  <c r="D80" i="31"/>
  <c r="E80" i="31" s="1"/>
  <c r="AC80" i="31"/>
  <c r="P81" i="31"/>
  <c r="AC79" i="29"/>
  <c r="O5" i="31"/>
  <c r="P5" i="31" s="1"/>
  <c r="Q85" i="31"/>
  <c r="R85" i="31" s="1"/>
  <c r="S85" i="31" s="1"/>
  <c r="T85" i="31" s="1"/>
  <c r="U85" i="31" s="1"/>
  <c r="V85" i="31" s="1"/>
  <c r="W85" i="31" s="1"/>
  <c r="X85" i="31" s="1"/>
  <c r="Y85" i="31" s="1"/>
  <c r="Z85" i="31" s="1"/>
  <c r="AA85" i="31" s="1"/>
  <c r="AB85" i="31" s="1"/>
  <c r="AP85" i="31"/>
  <c r="Q87" i="31"/>
  <c r="R87" i="31" s="1"/>
  <c r="S87" i="31" s="1"/>
  <c r="T87" i="31" s="1"/>
  <c r="U87" i="31" s="1"/>
  <c r="V87" i="31" s="1"/>
  <c r="W87" i="31" s="1"/>
  <c r="X87" i="31" s="1"/>
  <c r="Y87" i="31" s="1"/>
  <c r="Z87" i="31" s="1"/>
  <c r="AA87" i="31" s="1"/>
  <c r="AB87" i="31" s="1"/>
  <c r="AP87" i="31"/>
  <c r="Q89" i="31"/>
  <c r="R89" i="31" s="1"/>
  <c r="S89" i="31" s="1"/>
  <c r="T89" i="31" s="1"/>
  <c r="U89" i="31" s="1"/>
  <c r="V89" i="31" s="1"/>
  <c r="W89" i="31" s="1"/>
  <c r="X89" i="31" s="1"/>
  <c r="Y89" i="31" s="1"/>
  <c r="Z89" i="31" s="1"/>
  <c r="AA89" i="31" s="1"/>
  <c r="AB89" i="31" s="1"/>
  <c r="AP89" i="31"/>
  <c r="AQ91" i="31"/>
  <c r="AR91" i="31" s="1"/>
  <c r="AS91" i="31" s="1"/>
  <c r="AT91" i="31" s="1"/>
  <c r="AU91" i="31" s="1"/>
  <c r="AV91" i="31" s="1"/>
  <c r="AW91" i="31" s="1"/>
  <c r="AX91" i="31" s="1"/>
  <c r="AY91" i="31" s="1"/>
  <c r="AZ91" i="31" s="1"/>
  <c r="BA91" i="31" s="1"/>
  <c r="BB91" i="31" s="1"/>
  <c r="BP91" i="31"/>
  <c r="BD91" i="31" s="1"/>
  <c r="BE91" i="31" s="1"/>
  <c r="BF91" i="31" s="1"/>
  <c r="BG91" i="31" s="1"/>
  <c r="BH91" i="31" s="1"/>
  <c r="BI91" i="31" s="1"/>
  <c r="BJ91" i="31" s="1"/>
  <c r="BK91" i="31" s="1"/>
  <c r="BL91" i="31" s="1"/>
  <c r="BM91" i="31" s="1"/>
  <c r="BN91" i="31" s="1"/>
  <c r="BO91" i="31" s="1"/>
  <c r="AQ93" i="31"/>
  <c r="AR93" i="31" s="1"/>
  <c r="AS93" i="31" s="1"/>
  <c r="AT93" i="31" s="1"/>
  <c r="AU93" i="31" s="1"/>
  <c r="AV93" i="31" s="1"/>
  <c r="AW93" i="31" s="1"/>
  <c r="AX93" i="31" s="1"/>
  <c r="AY93" i="31" s="1"/>
  <c r="AZ93" i="31" s="1"/>
  <c r="BA93" i="31" s="1"/>
  <c r="BB93" i="31" s="1"/>
  <c r="BP93" i="31"/>
  <c r="BD93" i="31" s="1"/>
  <c r="BE93" i="31" s="1"/>
  <c r="BF93" i="31" s="1"/>
  <c r="BG93" i="31" s="1"/>
  <c r="BH93" i="31" s="1"/>
  <c r="BI93" i="31" s="1"/>
  <c r="BJ93" i="31" s="1"/>
  <c r="BK93" i="31" s="1"/>
  <c r="BL93" i="31" s="1"/>
  <c r="BM93" i="31" s="1"/>
  <c r="BN93" i="31" s="1"/>
  <c r="BO93" i="31" s="1"/>
  <c r="BR85" i="28"/>
  <c r="E92" i="34" s="1"/>
  <c r="E91" i="34" s="1"/>
  <c r="BS85" i="28"/>
  <c r="F92" i="34" s="1"/>
  <c r="F91" i="34" s="1"/>
  <c r="F9" i="34" s="1"/>
  <c r="BR87" i="28"/>
  <c r="BS87" i="28"/>
  <c r="BT87" i="28"/>
  <c r="BU87" i="28"/>
  <c r="BV87" i="28"/>
  <c r="BW87" i="28"/>
  <c r="BX87" i="28"/>
  <c r="BY87" i="28"/>
  <c r="BZ87" i="28"/>
  <c r="CA87" i="28"/>
  <c r="CB87" i="28"/>
  <c r="CC87" i="28"/>
  <c r="S47" i="34"/>
  <c r="S42" i="34"/>
  <c r="BC119" i="31"/>
  <c r="AC129" i="31"/>
  <c r="BC129" i="31"/>
  <c r="AP100" i="30"/>
  <c r="F93" i="22"/>
  <c r="F94" i="22" s="1"/>
  <c r="AC40" i="29"/>
  <c r="AP40" i="29"/>
  <c r="O5" i="28"/>
  <c r="P5" i="28" s="1"/>
  <c r="BC56" i="35"/>
  <c r="BP55" i="35"/>
  <c r="BC52" i="35"/>
  <c r="BC51" i="35"/>
  <c r="BC41" i="35"/>
  <c r="AP41" i="35"/>
  <c r="AC40" i="35"/>
  <c r="D37" i="32"/>
  <c r="D36" i="32" s="1"/>
  <c r="C24" i="35"/>
  <c r="P26" i="35"/>
  <c r="P27" i="35"/>
  <c r="M27" i="35" s="1"/>
  <c r="P30" i="35"/>
  <c r="P29" i="35"/>
  <c r="M29" i="35" s="1"/>
  <c r="P31" i="35"/>
  <c r="N31" i="35" s="1"/>
  <c r="P32" i="35"/>
  <c r="C23" i="35"/>
  <c r="P28" i="35"/>
  <c r="N28" i="35" s="1"/>
  <c r="P21" i="35"/>
  <c r="D1" i="35"/>
  <c r="E1" i="35" s="1"/>
  <c r="F1" i="35" s="1"/>
  <c r="G1" i="35" s="1"/>
  <c r="H1" i="35" s="1"/>
  <c r="I1" i="35" s="1"/>
  <c r="J1" i="35" s="1"/>
  <c r="K1" i="35" s="1"/>
  <c r="L1" i="35" s="1"/>
  <c r="M1" i="35" s="1"/>
  <c r="N1" i="35" s="1"/>
  <c r="O1" i="35" s="1"/>
  <c r="P37" i="35"/>
  <c r="I10" i="21"/>
  <c r="S10" i="21"/>
  <c r="Q21" i="32"/>
  <c r="R21" i="32" s="1"/>
  <c r="S21" i="32" s="1"/>
  <c r="T21" i="32" s="1"/>
  <c r="U21" i="32" s="1"/>
  <c r="V21" i="32" s="1"/>
  <c r="W21" i="32" s="1"/>
  <c r="X21" i="32" s="1"/>
  <c r="Y21" i="32" s="1"/>
  <c r="Z21" i="32" s="1"/>
  <c r="AA21" i="32" s="1"/>
  <c r="AB21" i="32" s="1"/>
  <c r="AP21" i="32"/>
  <c r="AQ41" i="32"/>
  <c r="AR41" i="32" s="1"/>
  <c r="BP41" i="32"/>
  <c r="Q42" i="32"/>
  <c r="AP42" i="32"/>
  <c r="Q45" i="32"/>
  <c r="AP45" i="32"/>
  <c r="Q47" i="32"/>
  <c r="R47" i="32" s="1"/>
  <c r="S47" i="32" s="1"/>
  <c r="T47" i="32" s="1"/>
  <c r="U47" i="32" s="1"/>
  <c r="V47" i="32" s="1"/>
  <c r="W47" i="32" s="1"/>
  <c r="X47" i="32" s="1"/>
  <c r="Y47" i="32" s="1"/>
  <c r="Z47" i="32" s="1"/>
  <c r="AA47" i="32" s="1"/>
  <c r="AB47" i="32" s="1"/>
  <c r="AP47" i="32"/>
  <c r="AP37" i="32" s="1"/>
  <c r="AP36" i="32" s="1"/>
  <c r="AD50" i="32"/>
  <c r="AE50" i="32" s="1"/>
  <c r="BC50" i="32"/>
  <c r="Q51" i="32"/>
  <c r="R51" i="32" s="1"/>
  <c r="S51" i="32" s="1"/>
  <c r="T51" i="32" s="1"/>
  <c r="U51" i="32" s="1"/>
  <c r="V51" i="32" s="1"/>
  <c r="W51" i="32" s="1"/>
  <c r="X51" i="32" s="1"/>
  <c r="Y51" i="32" s="1"/>
  <c r="Z51" i="32" s="1"/>
  <c r="AA51" i="32" s="1"/>
  <c r="AB51" i="32" s="1"/>
  <c r="AP51" i="32"/>
  <c r="Q52" i="32"/>
  <c r="R52" i="32" s="1"/>
  <c r="AP52" i="32"/>
  <c r="Q6" i="29"/>
  <c r="AC5" i="27"/>
  <c r="AD6" i="29"/>
  <c r="AP5" i="27"/>
  <c r="AQ6" i="29"/>
  <c r="BC5" i="27"/>
  <c r="BD6" i="29"/>
  <c r="BP5" i="27"/>
  <c r="D8" i="29"/>
  <c r="P7" i="27"/>
  <c r="E16" i="29"/>
  <c r="D17" i="29"/>
  <c r="BC40" i="29"/>
  <c r="BB79" i="29"/>
  <c r="BC79" i="29" s="1"/>
  <c r="BC51" i="29"/>
  <c r="BB90" i="29"/>
  <c r="BC90" i="29" s="1"/>
  <c r="R69" i="29"/>
  <c r="R108" i="29" s="1"/>
  <c r="R98" i="29"/>
  <c r="S69" i="29"/>
  <c r="S108" i="29" s="1"/>
  <c r="S98" i="29"/>
  <c r="T69" i="29"/>
  <c r="T108" i="29" s="1"/>
  <c r="T98" i="29"/>
  <c r="U69" i="29"/>
  <c r="U108" i="29" s="1"/>
  <c r="U98" i="29"/>
  <c r="V69" i="29"/>
  <c r="V108" i="29" s="1"/>
  <c r="V98" i="29"/>
  <c r="W69" i="29"/>
  <c r="W108" i="29" s="1"/>
  <c r="W98" i="29"/>
  <c r="X69" i="29"/>
  <c r="X108" i="29" s="1"/>
  <c r="X98" i="29"/>
  <c r="Y69" i="29"/>
  <c r="Y108" i="29" s="1"/>
  <c r="Y98" i="29"/>
  <c r="Z69" i="29"/>
  <c r="Z108" i="29" s="1"/>
  <c r="Z98" i="29"/>
  <c r="AA69" i="29"/>
  <c r="AA108" i="29" s="1"/>
  <c r="AA98" i="29"/>
  <c r="AB69" i="29"/>
  <c r="AB108" i="29" s="1"/>
  <c r="AB98" i="29"/>
  <c r="AE69" i="29"/>
  <c r="AE108" i="29" s="1"/>
  <c r="AE98" i="29"/>
  <c r="AF69" i="29"/>
  <c r="AF108" i="29" s="1"/>
  <c r="AF98" i="29"/>
  <c r="AG69" i="29"/>
  <c r="AG108" i="29" s="1"/>
  <c r="AG98" i="29"/>
  <c r="AH69" i="29"/>
  <c r="AH108" i="29" s="1"/>
  <c r="AH98" i="29"/>
  <c r="AI69" i="29"/>
  <c r="AI108" i="29" s="1"/>
  <c r="AI98" i="29"/>
  <c r="AJ69" i="29"/>
  <c r="AJ108" i="29" s="1"/>
  <c r="AJ98" i="29"/>
  <c r="AK69" i="29"/>
  <c r="AK108" i="29" s="1"/>
  <c r="AK98" i="29"/>
  <c r="AL69" i="29"/>
  <c r="AL108" i="29" s="1"/>
  <c r="AL98" i="29"/>
  <c r="AM69" i="29"/>
  <c r="AM108" i="29" s="1"/>
  <c r="AM98" i="29"/>
  <c r="AN69" i="29"/>
  <c r="AN108" i="29" s="1"/>
  <c r="AN98" i="29"/>
  <c r="AO69" i="29"/>
  <c r="AO108" i="29" s="1"/>
  <c r="AO98" i="29"/>
  <c r="AR69" i="29"/>
  <c r="AR108" i="29" s="1"/>
  <c r="AR98" i="29"/>
  <c r="AS69" i="29"/>
  <c r="AS108" i="29" s="1"/>
  <c r="AS98" i="29"/>
  <c r="AT69" i="29"/>
  <c r="AT108" i="29" s="1"/>
  <c r="AT98" i="29"/>
  <c r="AU69" i="29"/>
  <c r="AU108" i="29" s="1"/>
  <c r="AU98" i="29"/>
  <c r="AV69" i="29"/>
  <c r="AV108" i="29" s="1"/>
  <c r="AV98" i="29"/>
  <c r="AW69" i="29"/>
  <c r="AW108" i="29" s="1"/>
  <c r="AW98" i="29"/>
  <c r="AX69" i="29"/>
  <c r="AX108" i="29" s="1"/>
  <c r="AX98" i="29"/>
  <c r="AY69" i="29"/>
  <c r="AY108" i="29" s="1"/>
  <c r="AY98" i="29"/>
  <c r="AZ69" i="29"/>
  <c r="AZ108" i="29" s="1"/>
  <c r="AZ98" i="29"/>
  <c r="BA69" i="29"/>
  <c r="BA108" i="29" s="1"/>
  <c r="BA98" i="29"/>
  <c r="BB69" i="29"/>
  <c r="BB108" i="29" s="1"/>
  <c r="BB98" i="29"/>
  <c r="BE69" i="29"/>
  <c r="BE108" i="29" s="1"/>
  <c r="BE98" i="29"/>
  <c r="BF69" i="29"/>
  <c r="BF108" i="29" s="1"/>
  <c r="BF98" i="29"/>
  <c r="BG69" i="29"/>
  <c r="BG108" i="29" s="1"/>
  <c r="BG98" i="29"/>
  <c r="BH69" i="29"/>
  <c r="BH108" i="29" s="1"/>
  <c r="BH98" i="29"/>
  <c r="BI69" i="29"/>
  <c r="BI108" i="29" s="1"/>
  <c r="BI98" i="29"/>
  <c r="D37" i="28"/>
  <c r="D94" i="28" s="1"/>
  <c r="D95" i="28"/>
  <c r="E37" i="28"/>
  <c r="E94" i="28" s="1"/>
  <c r="E95" i="28"/>
  <c r="F37" i="28"/>
  <c r="F94" i="28" s="1"/>
  <c r="F95" i="28"/>
  <c r="G37" i="28"/>
  <c r="G94" i="28" s="1"/>
  <c r="G95" i="28"/>
  <c r="H37" i="28"/>
  <c r="H94" i="28" s="1"/>
  <c r="H95" i="28"/>
  <c r="I37" i="28"/>
  <c r="I94" i="28" s="1"/>
  <c r="I95" i="28"/>
  <c r="AC21" i="30"/>
  <c r="Q21" i="30" s="1"/>
  <c r="R21" i="30" s="1"/>
  <c r="S21" i="30" s="1"/>
  <c r="T21" i="30" s="1"/>
  <c r="U21" i="30" s="1"/>
  <c r="V21" i="30" s="1"/>
  <c r="W21" i="30" s="1"/>
  <c r="X21" i="30" s="1"/>
  <c r="Y21" i="30" s="1"/>
  <c r="Z21" i="30" s="1"/>
  <c r="AA21" i="30" s="1"/>
  <c r="AB21" i="30" s="1"/>
  <c r="G70" i="26"/>
  <c r="G90" i="26"/>
  <c r="F112" i="26"/>
  <c r="F113" i="26" s="1"/>
  <c r="P10" i="28"/>
  <c r="G109" i="22"/>
  <c r="G111" i="22" s="1"/>
  <c r="H42" i="22"/>
  <c r="H44" i="22" s="1"/>
  <c r="H48" i="22" s="1"/>
  <c r="G27" i="22"/>
  <c r="G29" i="22" s="1"/>
  <c r="G86" i="22"/>
  <c r="G64" i="22"/>
  <c r="G66" i="22" s="1"/>
  <c r="H5" i="22"/>
  <c r="G77" i="22"/>
  <c r="G81" i="22" s="1"/>
  <c r="H7" i="22"/>
  <c r="F12" i="22"/>
  <c r="E9" i="22"/>
  <c r="G68" i="22"/>
  <c r="H67" i="22"/>
  <c r="AP79" i="29"/>
  <c r="AC90" i="29"/>
  <c r="BP90" i="29"/>
  <c r="BP79" i="29"/>
  <c r="AP90" i="29"/>
  <c r="AP84" i="31"/>
  <c r="BC114" i="27"/>
  <c r="Q119" i="27"/>
  <c r="R119" i="27" s="1"/>
  <c r="S119" i="27" s="1"/>
  <c r="T119" i="27" s="1"/>
  <c r="U119" i="27" s="1"/>
  <c r="V119" i="27" s="1"/>
  <c r="W119" i="27" s="1"/>
  <c r="X119" i="27" s="1"/>
  <c r="Y119" i="27" s="1"/>
  <c r="Z119" i="27" s="1"/>
  <c r="AA119" i="27" s="1"/>
  <c r="AB119" i="27" s="1"/>
  <c r="AP119" i="27"/>
  <c r="R91" i="35"/>
  <c r="S91" i="35" s="1"/>
  <c r="T91" i="35" s="1"/>
  <c r="U91" i="35" s="1"/>
  <c r="V91" i="35" s="1"/>
  <c r="W91" i="35" s="1"/>
  <c r="X91" i="35" s="1"/>
  <c r="Y91" i="35" s="1"/>
  <c r="Z91" i="35" s="1"/>
  <c r="AA91" i="35" s="1"/>
  <c r="AB91" i="35" s="1"/>
  <c r="Q75" i="35"/>
  <c r="AD75" i="35"/>
  <c r="AE85" i="35"/>
  <c r="AF85" i="35" s="1"/>
  <c r="AG85" i="35" s="1"/>
  <c r="AH85" i="35" s="1"/>
  <c r="AI85" i="35" s="1"/>
  <c r="AJ85" i="35" s="1"/>
  <c r="AK85" i="35" s="1"/>
  <c r="AL85" i="35" s="1"/>
  <c r="AM85" i="35" s="1"/>
  <c r="AN85" i="35" s="1"/>
  <c r="AO85" i="35" s="1"/>
  <c r="D75" i="35"/>
  <c r="E80" i="35"/>
  <c r="F80" i="35" s="1"/>
  <c r="G80" i="35" s="1"/>
  <c r="H80" i="35" s="1"/>
  <c r="I80" i="35" s="1"/>
  <c r="J80" i="35" s="1"/>
  <c r="K80" i="35" s="1"/>
  <c r="L80" i="35" s="1"/>
  <c r="M80" i="35" s="1"/>
  <c r="N80" i="35" s="1"/>
  <c r="O80" i="35" s="1"/>
  <c r="BF76" i="35"/>
  <c r="AS76" i="35"/>
  <c r="AF76" i="35"/>
  <c r="S76" i="35"/>
  <c r="F76" i="35"/>
  <c r="P62" i="35"/>
  <c r="P17" i="35"/>
  <c r="P18" i="35"/>
  <c r="P20" i="35"/>
  <c r="P63" i="35"/>
  <c r="D63" i="35" s="1"/>
  <c r="P65" i="35"/>
  <c r="D65" i="35" s="1"/>
  <c r="P66" i="35"/>
  <c r="D66" i="35" s="1"/>
  <c r="P15" i="35"/>
  <c r="P69" i="35"/>
  <c r="D69" i="35" s="1"/>
  <c r="P14" i="35"/>
  <c r="P13" i="35"/>
  <c r="P7" i="35"/>
  <c r="P64" i="35"/>
  <c r="D64" i="35" s="1"/>
  <c r="P6" i="35"/>
  <c r="AC1" i="35"/>
  <c r="P16" i="35"/>
  <c r="P11" i="35"/>
  <c r="P10" i="35"/>
  <c r="P9" i="35"/>
  <c r="P19" i="35"/>
  <c r="P8" i="35"/>
  <c r="P67" i="35"/>
  <c r="D67" i="35" s="1"/>
  <c r="P12" i="35"/>
  <c r="AP51" i="35"/>
  <c r="AC51" i="35"/>
  <c r="P51" i="35"/>
  <c r="BP50" i="35"/>
  <c r="BC50" i="35"/>
  <c r="AP50" i="35"/>
  <c r="L32" i="35"/>
  <c r="M32" i="35"/>
  <c r="O32" i="35"/>
  <c r="J32" i="35"/>
  <c r="N32" i="35"/>
  <c r="K32" i="35"/>
  <c r="O28" i="35"/>
  <c r="N27" i="35"/>
  <c r="O27" i="35"/>
  <c r="O26" i="35"/>
  <c r="N26" i="35"/>
  <c r="D21" i="25"/>
  <c r="S28" i="25"/>
  <c r="C104" i="36" s="1"/>
  <c r="X5" i="31"/>
  <c r="Y5" i="31" s="1"/>
  <c r="BR91" i="27"/>
  <c r="BR84" i="27"/>
  <c r="U62" i="23"/>
  <c r="CC61" i="35"/>
  <c r="CA61" i="35"/>
  <c r="BY61" i="35"/>
  <c r="BW61" i="35"/>
  <c r="BU61" i="35"/>
  <c r="BT61" i="35"/>
  <c r="BS61" i="35"/>
  <c r="AD63" i="27"/>
  <c r="AE63" i="27" s="1"/>
  <c r="AF63" i="27" s="1"/>
  <c r="AG63" i="27" s="1"/>
  <c r="AH63" i="27" s="1"/>
  <c r="AI63" i="27" s="1"/>
  <c r="AJ63" i="27" s="1"/>
  <c r="AK63" i="27" s="1"/>
  <c r="AL63" i="27" s="1"/>
  <c r="AM63" i="27" s="1"/>
  <c r="AN63" i="27" s="1"/>
  <c r="AO63" i="27" s="1"/>
  <c r="D10" i="29"/>
  <c r="P9" i="27"/>
  <c r="D12" i="29"/>
  <c r="P11" i="27"/>
  <c r="E80" i="27"/>
  <c r="F80" i="27" s="1"/>
  <c r="G80" i="27" s="1"/>
  <c r="H80" i="27" s="1"/>
  <c r="I80" i="27" s="1"/>
  <c r="J80" i="27" s="1"/>
  <c r="K80" i="27" s="1"/>
  <c r="L80" i="27" s="1"/>
  <c r="M80" i="27" s="1"/>
  <c r="N80" i="27" s="1"/>
  <c r="O80" i="27" s="1"/>
  <c r="Q100" i="27"/>
  <c r="R100" i="27" s="1"/>
  <c r="S100" i="27" s="1"/>
  <c r="T100" i="27" s="1"/>
  <c r="U100" i="27" s="1"/>
  <c r="V100" i="27" s="1"/>
  <c r="W100" i="27" s="1"/>
  <c r="X100" i="27" s="1"/>
  <c r="Y100" i="27" s="1"/>
  <c r="Z100" i="27" s="1"/>
  <c r="AA100" i="27" s="1"/>
  <c r="AB100" i="27" s="1"/>
  <c r="AC10" i="30"/>
  <c r="Q10" i="30" s="1"/>
  <c r="R10" i="30" s="1"/>
  <c r="S10" i="30" s="1"/>
  <c r="T10" i="30" s="1"/>
  <c r="U10" i="30" s="1"/>
  <c r="V10" i="30" s="1"/>
  <c r="W10" i="30" s="1"/>
  <c r="X10" i="30" s="1"/>
  <c r="Y10" i="30" s="1"/>
  <c r="Z10" i="30" s="1"/>
  <c r="AA10" i="30" s="1"/>
  <c r="AB10" i="30" s="1"/>
  <c r="AC10" i="29"/>
  <c r="AC10" i="31"/>
  <c r="Q10" i="31" s="1"/>
  <c r="R10" i="31" s="1"/>
  <c r="S10" i="31" s="1"/>
  <c r="T10" i="31" s="1"/>
  <c r="U10" i="31" s="1"/>
  <c r="V10" i="31" s="1"/>
  <c r="W10" i="31" s="1"/>
  <c r="X10" i="31" s="1"/>
  <c r="Y10" i="31" s="1"/>
  <c r="Z10" i="31" s="1"/>
  <c r="AA10" i="31" s="1"/>
  <c r="AB10" i="31" s="1"/>
  <c r="AP100" i="27"/>
  <c r="Q101" i="27"/>
  <c r="R101" i="27" s="1"/>
  <c r="S101" i="27" s="1"/>
  <c r="T101" i="27" s="1"/>
  <c r="U101" i="27" s="1"/>
  <c r="V101" i="27" s="1"/>
  <c r="W101" i="27" s="1"/>
  <c r="X101" i="27" s="1"/>
  <c r="Y101" i="27" s="1"/>
  <c r="Z101" i="27" s="1"/>
  <c r="AA101" i="27" s="1"/>
  <c r="AB101" i="27" s="1"/>
  <c r="AC12" i="30"/>
  <c r="Q12" i="30" s="1"/>
  <c r="R12" i="30" s="1"/>
  <c r="S12" i="30" s="1"/>
  <c r="T12" i="30" s="1"/>
  <c r="U12" i="30" s="1"/>
  <c r="V12" i="30" s="1"/>
  <c r="W12" i="30" s="1"/>
  <c r="X12" i="30" s="1"/>
  <c r="Y12" i="30" s="1"/>
  <c r="Z12" i="30" s="1"/>
  <c r="AA12" i="30" s="1"/>
  <c r="AB12" i="30" s="1"/>
  <c r="AC12" i="31"/>
  <c r="Q12" i="31" s="1"/>
  <c r="R12" i="31" s="1"/>
  <c r="S12" i="31" s="1"/>
  <c r="T12" i="31" s="1"/>
  <c r="U12" i="31" s="1"/>
  <c r="V12" i="31" s="1"/>
  <c r="W12" i="31" s="1"/>
  <c r="X12" i="31" s="1"/>
  <c r="Y12" i="31" s="1"/>
  <c r="Z12" i="31" s="1"/>
  <c r="AA12" i="31" s="1"/>
  <c r="AB12" i="31" s="1"/>
  <c r="AP101" i="27"/>
  <c r="AC12" i="29"/>
  <c r="D23" i="30"/>
  <c r="D39" i="30" s="1"/>
  <c r="D23" i="31"/>
  <c r="D39" i="31" s="1"/>
  <c r="E103" i="27"/>
  <c r="AP103" i="27"/>
  <c r="AC23" i="31"/>
  <c r="AC39" i="31" s="1"/>
  <c r="AC23" i="30"/>
  <c r="AC39" i="30" s="1"/>
  <c r="C24" i="30"/>
  <c r="C40" i="30" s="1"/>
  <c r="C24" i="31"/>
  <c r="C40" i="31" s="1"/>
  <c r="D24" i="31"/>
  <c r="D40" i="31" s="1"/>
  <c r="D24" i="30"/>
  <c r="D40" i="30" s="1"/>
  <c r="P24" i="30"/>
  <c r="P40" i="30" s="1"/>
  <c r="P24" i="31"/>
  <c r="P40" i="31" s="1"/>
  <c r="AC24" i="30"/>
  <c r="AC40" i="30" s="1"/>
  <c r="AC24" i="31"/>
  <c r="AC40" i="31" s="1"/>
  <c r="C25" i="30"/>
  <c r="C41" i="30" s="1"/>
  <c r="C25" i="31"/>
  <c r="C41" i="31" s="1"/>
  <c r="P26" i="31"/>
  <c r="P42" i="31" s="1"/>
  <c r="P26" i="30"/>
  <c r="P42" i="30" s="1"/>
  <c r="AC26" i="31"/>
  <c r="AC42" i="31" s="1"/>
  <c r="AC26" i="30"/>
  <c r="AC42" i="30" s="1"/>
  <c r="AP106" i="27"/>
  <c r="P27" i="30"/>
  <c r="P43" i="30" s="1"/>
  <c r="P27" i="31"/>
  <c r="P43" i="31" s="1"/>
  <c r="AC107" i="27"/>
  <c r="AC108" i="27"/>
  <c r="Q108" i="27" s="1"/>
  <c r="R108" i="27" s="1"/>
  <c r="S108" i="27" s="1"/>
  <c r="T108" i="27" s="1"/>
  <c r="U108" i="27" s="1"/>
  <c r="V108" i="27" s="1"/>
  <c r="W108" i="27" s="1"/>
  <c r="X108" i="27" s="1"/>
  <c r="Y108" i="27" s="1"/>
  <c r="Z108" i="27" s="1"/>
  <c r="AA108" i="27" s="1"/>
  <c r="AB108" i="27" s="1"/>
  <c r="P28" i="31"/>
  <c r="P44" i="31" s="1"/>
  <c r="P28" i="30"/>
  <c r="P44" i="30" s="1"/>
  <c r="Q110" i="27"/>
  <c r="R110" i="27" s="1"/>
  <c r="S110" i="27" s="1"/>
  <c r="T110" i="27" s="1"/>
  <c r="U110" i="27" s="1"/>
  <c r="V110" i="27" s="1"/>
  <c r="W110" i="27" s="1"/>
  <c r="X110" i="27" s="1"/>
  <c r="Y110" i="27" s="1"/>
  <c r="Z110" i="27" s="1"/>
  <c r="AA110" i="27" s="1"/>
  <c r="AB110" i="27" s="1"/>
  <c r="AP110" i="27"/>
  <c r="AC54" i="32"/>
  <c r="Q54" i="32" s="1"/>
  <c r="R54" i="32" s="1"/>
  <c r="S54" i="32" s="1"/>
  <c r="T54" i="32" s="1"/>
  <c r="U54" i="32" s="1"/>
  <c r="V54" i="32" s="1"/>
  <c r="W54" i="32" s="1"/>
  <c r="X54" i="32" s="1"/>
  <c r="Y54" i="32" s="1"/>
  <c r="Z54" i="32" s="1"/>
  <c r="AA54" i="32" s="1"/>
  <c r="AB54" i="32" s="1"/>
  <c r="AC112" i="27"/>
  <c r="Q112" i="27" s="1"/>
  <c r="R112" i="27" s="1"/>
  <c r="S112" i="27" s="1"/>
  <c r="T112" i="27" s="1"/>
  <c r="U112" i="27" s="1"/>
  <c r="V112" i="27" s="1"/>
  <c r="W112" i="27" s="1"/>
  <c r="X112" i="27" s="1"/>
  <c r="Y112" i="27" s="1"/>
  <c r="Z112" i="27" s="1"/>
  <c r="AA112" i="27" s="1"/>
  <c r="AB112" i="27" s="1"/>
  <c r="P32" i="29"/>
  <c r="D32" i="29" s="1"/>
  <c r="E32" i="29" s="1"/>
  <c r="F32" i="29" s="1"/>
  <c r="P84" i="30"/>
  <c r="D84" i="30" s="1"/>
  <c r="E84" i="30" s="1"/>
  <c r="AC113" i="27"/>
  <c r="P74" i="30"/>
  <c r="D74" i="30" s="1"/>
  <c r="E74" i="30" s="1"/>
  <c r="F74" i="30" s="1"/>
  <c r="G74" i="30" s="1"/>
  <c r="H74" i="30" s="1"/>
  <c r="I74" i="30" s="1"/>
  <c r="J74" i="30" s="1"/>
  <c r="K74" i="30" s="1"/>
  <c r="L74" i="30" s="1"/>
  <c r="M74" i="30" s="1"/>
  <c r="N74" i="30" s="1"/>
  <c r="O74" i="30" s="1"/>
  <c r="P74" i="31"/>
  <c r="AC74" i="31"/>
  <c r="AC74" i="30"/>
  <c r="Q74" i="30" s="1"/>
  <c r="R74" i="30" s="1"/>
  <c r="S74" i="30" s="1"/>
  <c r="T74" i="30" s="1"/>
  <c r="U74" i="30" s="1"/>
  <c r="V74" i="30" s="1"/>
  <c r="W74" i="30" s="1"/>
  <c r="X74" i="30" s="1"/>
  <c r="Y74" i="30" s="1"/>
  <c r="Z74" i="30" s="1"/>
  <c r="AA74" i="30" s="1"/>
  <c r="AB74" i="30" s="1"/>
  <c r="AP74" i="30"/>
  <c r="AD74" i="30" s="1"/>
  <c r="AE74" i="30" s="1"/>
  <c r="AF74" i="30" s="1"/>
  <c r="AG74" i="30" s="1"/>
  <c r="AH74" i="30" s="1"/>
  <c r="AI74" i="30" s="1"/>
  <c r="AJ74" i="30" s="1"/>
  <c r="AK74" i="30" s="1"/>
  <c r="AL74" i="30" s="1"/>
  <c r="AM74" i="30" s="1"/>
  <c r="AN74" i="30" s="1"/>
  <c r="AO74" i="30" s="1"/>
  <c r="AP74" i="31"/>
  <c r="BC74" i="30"/>
  <c r="BC74" i="31"/>
  <c r="AQ74" i="31" s="1"/>
  <c r="AR74" i="31" s="1"/>
  <c r="AS74" i="31" s="1"/>
  <c r="AT74" i="31" s="1"/>
  <c r="AU74" i="31" s="1"/>
  <c r="AV74" i="31" s="1"/>
  <c r="AW74" i="31" s="1"/>
  <c r="AX74" i="31" s="1"/>
  <c r="AY74" i="31" s="1"/>
  <c r="AZ74" i="31" s="1"/>
  <c r="BA74" i="31" s="1"/>
  <c r="BB74" i="31" s="1"/>
  <c r="BP116" i="27"/>
  <c r="Q118" i="27"/>
  <c r="R118" i="27" s="1"/>
  <c r="S118" i="27" s="1"/>
  <c r="T118" i="27" s="1"/>
  <c r="U118" i="27" s="1"/>
  <c r="V118" i="27" s="1"/>
  <c r="W118" i="27" s="1"/>
  <c r="X118" i="27" s="1"/>
  <c r="Y118" i="27" s="1"/>
  <c r="Z118" i="27" s="1"/>
  <c r="AA118" i="27" s="1"/>
  <c r="AB118" i="27" s="1"/>
  <c r="AP118" i="27"/>
  <c r="Q122" i="27"/>
  <c r="R122" i="27" s="1"/>
  <c r="S122" i="27" s="1"/>
  <c r="T122" i="27" s="1"/>
  <c r="U122" i="27" s="1"/>
  <c r="V122" i="27" s="1"/>
  <c r="W122" i="27" s="1"/>
  <c r="X122" i="27" s="1"/>
  <c r="Y122" i="27" s="1"/>
  <c r="Z122" i="27" s="1"/>
  <c r="AA122" i="27" s="1"/>
  <c r="AB122" i="27" s="1"/>
  <c r="AP122" i="27"/>
  <c r="Q123" i="27"/>
  <c r="R123" i="27" s="1"/>
  <c r="S123" i="27" s="1"/>
  <c r="T123" i="27" s="1"/>
  <c r="U123" i="27" s="1"/>
  <c r="V123" i="27" s="1"/>
  <c r="W123" i="27" s="1"/>
  <c r="X123" i="27" s="1"/>
  <c r="Y123" i="27" s="1"/>
  <c r="Z123" i="27" s="1"/>
  <c r="AA123" i="27" s="1"/>
  <c r="AB123" i="27" s="1"/>
  <c r="AP123" i="27"/>
  <c r="AP126" i="27"/>
  <c r="Q126" i="27"/>
  <c r="R126" i="27" s="1"/>
  <c r="S126" i="27" s="1"/>
  <c r="T126" i="27" s="1"/>
  <c r="U126" i="27" s="1"/>
  <c r="V126" i="27" s="1"/>
  <c r="W126" i="27" s="1"/>
  <c r="X126" i="27" s="1"/>
  <c r="Y126" i="27" s="1"/>
  <c r="Z126" i="27" s="1"/>
  <c r="AA126" i="27" s="1"/>
  <c r="AB126" i="27" s="1"/>
  <c r="AP127" i="27"/>
  <c r="Q127" i="27"/>
  <c r="R127" i="27" s="1"/>
  <c r="S127" i="27" s="1"/>
  <c r="T127" i="27" s="1"/>
  <c r="U127" i="27" s="1"/>
  <c r="V127" i="27" s="1"/>
  <c r="W127" i="27" s="1"/>
  <c r="X127" i="27" s="1"/>
  <c r="Y127" i="27" s="1"/>
  <c r="Z127" i="27" s="1"/>
  <c r="AA127" i="27" s="1"/>
  <c r="AB127" i="27" s="1"/>
  <c r="AP128" i="27"/>
  <c r="Q128" i="27"/>
  <c r="R128" i="27" s="1"/>
  <c r="S128" i="27" s="1"/>
  <c r="T128" i="27" s="1"/>
  <c r="U128" i="27" s="1"/>
  <c r="V128" i="27" s="1"/>
  <c r="W128" i="27" s="1"/>
  <c r="X128" i="27" s="1"/>
  <c r="Y128" i="27" s="1"/>
  <c r="Z128" i="27" s="1"/>
  <c r="AA128" i="27" s="1"/>
  <c r="AB128" i="27" s="1"/>
  <c r="AP129" i="27"/>
  <c r="Q129" i="27"/>
  <c r="R129" i="27" s="1"/>
  <c r="S129" i="27" s="1"/>
  <c r="T129" i="27" s="1"/>
  <c r="U129" i="27" s="1"/>
  <c r="V129" i="27" s="1"/>
  <c r="W129" i="27" s="1"/>
  <c r="X129" i="27" s="1"/>
  <c r="Y129" i="27" s="1"/>
  <c r="Z129" i="27" s="1"/>
  <c r="AA129" i="27" s="1"/>
  <c r="AB129" i="27" s="1"/>
  <c r="AP130" i="27"/>
  <c r="Q130" i="27"/>
  <c r="R130" i="27" s="1"/>
  <c r="S130" i="27" s="1"/>
  <c r="T130" i="27" s="1"/>
  <c r="U130" i="27" s="1"/>
  <c r="V130" i="27" s="1"/>
  <c r="W130" i="27" s="1"/>
  <c r="X130" i="27" s="1"/>
  <c r="Y130" i="27" s="1"/>
  <c r="Z130" i="27" s="1"/>
  <c r="AA130" i="27" s="1"/>
  <c r="AB130" i="27" s="1"/>
  <c r="AP131" i="27"/>
  <c r="Q131" i="27"/>
  <c r="R131" i="27" s="1"/>
  <c r="S131" i="27" s="1"/>
  <c r="T131" i="27" s="1"/>
  <c r="U131" i="27" s="1"/>
  <c r="V131" i="27" s="1"/>
  <c r="W131" i="27" s="1"/>
  <c r="X131" i="27" s="1"/>
  <c r="Y131" i="27" s="1"/>
  <c r="Z131" i="27" s="1"/>
  <c r="AA131" i="27" s="1"/>
  <c r="AB131" i="27" s="1"/>
  <c r="AP133" i="27"/>
  <c r="Q133" i="27"/>
  <c r="R133" i="27" s="1"/>
  <c r="AP134" i="27"/>
  <c r="Q134" i="27"/>
  <c r="R134" i="27" s="1"/>
  <c r="S134" i="27" s="1"/>
  <c r="T134" i="27" s="1"/>
  <c r="U134" i="27" s="1"/>
  <c r="V134" i="27" s="1"/>
  <c r="W134" i="27" s="1"/>
  <c r="X134" i="27" s="1"/>
  <c r="Y134" i="27" s="1"/>
  <c r="Z134" i="27" s="1"/>
  <c r="AA134" i="27" s="1"/>
  <c r="AB134" i="27" s="1"/>
  <c r="AP135" i="27"/>
  <c r="Q135" i="27"/>
  <c r="R135" i="27" s="1"/>
  <c r="S135" i="27" s="1"/>
  <c r="T135" i="27" s="1"/>
  <c r="U135" i="27" s="1"/>
  <c r="V135" i="27" s="1"/>
  <c r="W135" i="27" s="1"/>
  <c r="X135" i="27" s="1"/>
  <c r="Y135" i="27" s="1"/>
  <c r="Z135" i="27" s="1"/>
  <c r="AA135" i="27" s="1"/>
  <c r="AB135" i="27" s="1"/>
  <c r="AP136" i="27"/>
  <c r="Q136" i="27"/>
  <c r="R136" i="27" s="1"/>
  <c r="S136" i="27" s="1"/>
  <c r="T136" i="27" s="1"/>
  <c r="U136" i="27" s="1"/>
  <c r="V136" i="27" s="1"/>
  <c r="W136" i="27" s="1"/>
  <c r="X136" i="27" s="1"/>
  <c r="Y136" i="27" s="1"/>
  <c r="Z136" i="27" s="1"/>
  <c r="AA136" i="27" s="1"/>
  <c r="AB136" i="27" s="1"/>
  <c r="Q137" i="27"/>
  <c r="R137" i="27" s="1"/>
  <c r="S137" i="27" s="1"/>
  <c r="T137" i="27" s="1"/>
  <c r="U137" i="27" s="1"/>
  <c r="V137" i="27" s="1"/>
  <c r="W137" i="27" s="1"/>
  <c r="X137" i="27" s="1"/>
  <c r="Y137" i="27" s="1"/>
  <c r="Z137" i="27" s="1"/>
  <c r="AA137" i="27" s="1"/>
  <c r="AB137" i="27" s="1"/>
  <c r="AP137" i="27"/>
  <c r="F21" i="34"/>
  <c r="G21" i="34"/>
  <c r="W27" i="20"/>
  <c r="V27" i="20"/>
  <c r="U27" i="20"/>
  <c r="T27" i="20"/>
  <c r="S27" i="20"/>
  <c r="S112" i="34"/>
  <c r="H21" i="34"/>
  <c r="S78" i="34"/>
  <c r="T119" i="34"/>
  <c r="V119" i="34"/>
  <c r="S119" i="34"/>
  <c r="E21" i="34"/>
  <c r="S21" i="34" s="1"/>
  <c r="C37" i="36" s="1"/>
  <c r="W112" i="34"/>
  <c r="V112" i="34"/>
  <c r="T112" i="34"/>
  <c r="U112" i="34"/>
  <c r="U63" i="34"/>
  <c r="U24" i="25"/>
  <c r="E84" i="36" s="1"/>
  <c r="T24" i="25"/>
  <c r="D84" i="36" s="1"/>
  <c r="S24" i="25"/>
  <c r="C84" i="36" s="1"/>
  <c r="D10" i="25"/>
  <c r="D15" i="25"/>
  <c r="E15" i="25"/>
  <c r="F15" i="25"/>
  <c r="G15" i="25"/>
  <c r="H15" i="25"/>
  <c r="S15" i="25" s="1"/>
  <c r="W27" i="34"/>
  <c r="G41" i="36" s="1"/>
  <c r="T27" i="34"/>
  <c r="D41" i="36" s="1"/>
  <c r="U27" i="34"/>
  <c r="E41" i="36" s="1"/>
  <c r="S32" i="34"/>
  <c r="S20" i="34"/>
  <c r="C36" i="36" s="1"/>
  <c r="T20" i="34"/>
  <c r="D36" i="36" s="1"/>
  <c r="S80" i="34"/>
  <c r="S54" i="34"/>
  <c r="T70" i="34"/>
  <c r="U70" i="34"/>
  <c r="V70" i="34"/>
  <c r="W70" i="34"/>
  <c r="T80" i="34"/>
  <c r="U80" i="34"/>
  <c r="V80" i="34"/>
  <c r="W80" i="34"/>
  <c r="S27" i="34"/>
  <c r="C41" i="36" s="1"/>
  <c r="V27" i="34"/>
  <c r="F41" i="36" s="1"/>
  <c r="S63" i="34"/>
  <c r="E51" i="34"/>
  <c r="E40" i="34"/>
  <c r="O18" i="20"/>
  <c r="O61" i="25" s="1"/>
  <c r="O24" i="25" s="1"/>
  <c r="W18" i="20"/>
  <c r="P61" i="25"/>
  <c r="P24" i="25" s="1"/>
  <c r="V18" i="20"/>
  <c r="N61" i="25"/>
  <c r="N24" i="25" s="1"/>
  <c r="D103" i="34"/>
  <c r="D108" i="34" s="1"/>
  <c r="D121" i="34" s="1"/>
  <c r="D123" i="34" s="1"/>
  <c r="D125" i="34" s="1"/>
  <c r="F14" i="25"/>
  <c r="F80" i="25"/>
  <c r="E14" i="25"/>
  <c r="E80" i="25"/>
  <c r="E93" i="25" s="1"/>
  <c r="F18" i="20"/>
  <c r="F61" i="25" s="1"/>
  <c r="G18" i="20"/>
  <c r="G61" i="25" s="1"/>
  <c r="G24" i="25" s="1"/>
  <c r="M18" i="20"/>
  <c r="M61" i="25" s="1"/>
  <c r="M24" i="25" s="1"/>
  <c r="U18" i="20"/>
  <c r="K18" i="20"/>
  <c r="K61" i="25" s="1"/>
  <c r="K24" i="25" s="1"/>
  <c r="T18" i="20"/>
  <c r="I18" i="20"/>
  <c r="I61" i="25" s="1"/>
  <c r="I24" i="25" s="1"/>
  <c r="S18" i="20"/>
  <c r="BP51" i="29"/>
  <c r="AP51" i="29"/>
  <c r="AP82" i="30"/>
  <c r="Q82" i="30"/>
  <c r="R82" i="30" s="1"/>
  <c r="S82" i="30" s="1"/>
  <c r="T82" i="30" s="1"/>
  <c r="U82" i="30" s="1"/>
  <c r="V82" i="30" s="1"/>
  <c r="W82" i="30" s="1"/>
  <c r="X82" i="30" s="1"/>
  <c r="Y82" i="30" s="1"/>
  <c r="Z82" i="30" s="1"/>
  <c r="AA82" i="30" s="1"/>
  <c r="AB82" i="30" s="1"/>
  <c r="D69" i="29"/>
  <c r="D108" i="29" s="1"/>
  <c r="D98" i="29"/>
  <c r="E98" i="29"/>
  <c r="E69" i="29"/>
  <c r="E108" i="29" s="1"/>
  <c r="F69" i="29"/>
  <c r="F108" i="29" s="1"/>
  <c r="F98" i="29"/>
  <c r="G98" i="29"/>
  <c r="G69" i="29"/>
  <c r="G108" i="29" s="1"/>
  <c r="H69" i="29"/>
  <c r="H108" i="29" s="1"/>
  <c r="H98" i="29"/>
  <c r="I98" i="29"/>
  <c r="I69" i="29"/>
  <c r="I108" i="29" s="1"/>
  <c r="J69" i="29"/>
  <c r="J108" i="29" s="1"/>
  <c r="J98" i="29"/>
  <c r="K69" i="29"/>
  <c r="K108" i="29" s="1"/>
  <c r="K98" i="29"/>
  <c r="L69" i="29"/>
  <c r="L108" i="29" s="1"/>
  <c r="L98" i="29"/>
  <c r="M69" i="29"/>
  <c r="M108" i="29" s="1"/>
  <c r="M98" i="29"/>
  <c r="N69" i="29"/>
  <c r="N98" i="29"/>
  <c r="P59" i="29"/>
  <c r="O69" i="29"/>
  <c r="O108" i="29" s="1"/>
  <c r="O98" i="29"/>
  <c r="P79" i="29"/>
  <c r="P90" i="29"/>
  <c r="P98" i="29"/>
  <c r="D24" i="34"/>
  <c r="D9" i="34"/>
  <c r="D31" i="34"/>
  <c r="D8" i="34" s="1"/>
  <c r="Q71" i="28"/>
  <c r="R71" i="28" s="1"/>
  <c r="AP71" i="28"/>
  <c r="D55" i="25"/>
  <c r="D27" i="28"/>
  <c r="AD20" i="28"/>
  <c r="AE20" i="28" s="1"/>
  <c r="AF20" i="28" s="1"/>
  <c r="AG20" i="28" s="1"/>
  <c r="AH20" i="28" s="1"/>
  <c r="AI20" i="28" s="1"/>
  <c r="AJ20" i="28" s="1"/>
  <c r="AK20" i="28" s="1"/>
  <c r="AL20" i="28" s="1"/>
  <c r="AM20" i="28" s="1"/>
  <c r="AN20" i="28" s="1"/>
  <c r="AO20" i="28" s="1"/>
  <c r="BC20" i="28"/>
  <c r="E29" i="28"/>
  <c r="F24" i="28"/>
  <c r="Q24" i="28"/>
  <c r="R24" i="28" s="1"/>
  <c r="S24" i="28" s="1"/>
  <c r="T24" i="28" s="1"/>
  <c r="U24" i="28" s="1"/>
  <c r="V24" i="28" s="1"/>
  <c r="W24" i="28" s="1"/>
  <c r="X24" i="28" s="1"/>
  <c r="Y24" i="28" s="1"/>
  <c r="Z24" i="28" s="1"/>
  <c r="AA24" i="28" s="1"/>
  <c r="AB24" i="28" s="1"/>
  <c r="AP24" i="28"/>
  <c r="D64" i="28"/>
  <c r="AC64" i="28"/>
  <c r="Q65" i="28"/>
  <c r="R65" i="28" s="1"/>
  <c r="AP65" i="28"/>
  <c r="D67" i="28"/>
  <c r="E67" i="28" s="1"/>
  <c r="F67" i="28" s="1"/>
  <c r="G67" i="28" s="1"/>
  <c r="H67" i="28" s="1"/>
  <c r="I67" i="28" s="1"/>
  <c r="J67" i="28" s="1"/>
  <c r="K67" i="28" s="1"/>
  <c r="L67" i="28" s="1"/>
  <c r="M67" i="28" s="1"/>
  <c r="N67" i="28" s="1"/>
  <c r="O67" i="28" s="1"/>
  <c r="AC67" i="28"/>
  <c r="D68" i="28"/>
  <c r="AC68" i="28"/>
  <c r="D69" i="28"/>
  <c r="E69" i="28" s="1"/>
  <c r="F69" i="28" s="1"/>
  <c r="G69" i="28" s="1"/>
  <c r="H69" i="28" s="1"/>
  <c r="I69" i="28" s="1"/>
  <c r="J69" i="28" s="1"/>
  <c r="K69" i="28" s="1"/>
  <c r="L69" i="28" s="1"/>
  <c r="M69" i="28" s="1"/>
  <c r="N69" i="28" s="1"/>
  <c r="O69" i="28" s="1"/>
  <c r="AC69" i="28"/>
  <c r="AD59" i="29"/>
  <c r="Q59" i="29"/>
  <c r="AQ59" i="29"/>
  <c r="BD59" i="29"/>
  <c r="D81" i="30"/>
  <c r="E81" i="30" s="1"/>
  <c r="F81" i="30" s="1"/>
  <c r="G81" i="30" s="1"/>
  <c r="H81" i="30" s="1"/>
  <c r="I81" i="30" s="1"/>
  <c r="J81" i="30" s="1"/>
  <c r="K81" i="30" s="1"/>
  <c r="L81" i="30" s="1"/>
  <c r="M81" i="30" s="1"/>
  <c r="N81" i="30" s="1"/>
  <c r="O81" i="30" s="1"/>
  <c r="AC81" i="30"/>
  <c r="G5" i="29"/>
  <c r="T5" i="29"/>
  <c r="AG5" i="29"/>
  <c r="AT5" i="29"/>
  <c r="BF5" i="29"/>
  <c r="BG5" i="29" s="1"/>
  <c r="BH5" i="29" s="1"/>
  <c r="BI5" i="29" s="1"/>
  <c r="BJ5" i="29" s="1"/>
  <c r="BK5" i="29" s="1"/>
  <c r="J5" i="27"/>
  <c r="K6" i="29"/>
  <c r="Q30" i="29"/>
  <c r="R30" i="29" s="1"/>
  <c r="S30" i="29" s="1"/>
  <c r="T30" i="29" s="1"/>
  <c r="U30" i="29" s="1"/>
  <c r="V30" i="29" s="1"/>
  <c r="W30" i="29" s="1"/>
  <c r="X30" i="29" s="1"/>
  <c r="Y30" i="29" s="1"/>
  <c r="Z30" i="29" s="1"/>
  <c r="AA30" i="29" s="1"/>
  <c r="AB30" i="29" s="1"/>
  <c r="AP30" i="29"/>
  <c r="Q33" i="29"/>
  <c r="R33" i="29" s="1"/>
  <c r="AP33" i="29"/>
  <c r="AH5" i="31"/>
  <c r="AU5" i="31"/>
  <c r="BG5" i="31"/>
  <c r="Q67" i="31"/>
  <c r="R67" i="31" s="1"/>
  <c r="S67" i="31" s="1"/>
  <c r="T67" i="31" s="1"/>
  <c r="U67" i="31" s="1"/>
  <c r="V67" i="31" s="1"/>
  <c r="W67" i="31" s="1"/>
  <c r="X67" i="31" s="1"/>
  <c r="Y67" i="31" s="1"/>
  <c r="Z67" i="31" s="1"/>
  <c r="AA67" i="31" s="1"/>
  <c r="AB67" i="31" s="1"/>
  <c r="AP67" i="31"/>
  <c r="AD72" i="31"/>
  <c r="AE72" i="31" s="1"/>
  <c r="AF72" i="31" s="1"/>
  <c r="AG72" i="31" s="1"/>
  <c r="AH72" i="31" s="1"/>
  <c r="AI72" i="31" s="1"/>
  <c r="AJ72" i="31" s="1"/>
  <c r="AK72" i="31" s="1"/>
  <c r="AL72" i="31" s="1"/>
  <c r="AM72" i="31" s="1"/>
  <c r="AN72" i="31" s="1"/>
  <c r="AO72" i="31" s="1"/>
  <c r="BC72" i="31"/>
  <c r="AD83" i="31"/>
  <c r="AE83" i="31" s="1"/>
  <c r="AF83" i="31" s="1"/>
  <c r="AG83" i="31" s="1"/>
  <c r="AH83" i="31" s="1"/>
  <c r="AI83" i="31" s="1"/>
  <c r="AJ83" i="31" s="1"/>
  <c r="AK83" i="31" s="1"/>
  <c r="AL83" i="31" s="1"/>
  <c r="AM83" i="31" s="1"/>
  <c r="AN83" i="31" s="1"/>
  <c r="AO83" i="31" s="1"/>
  <c r="BC83" i="31"/>
  <c r="AD85" i="31"/>
  <c r="AE85" i="31" s="1"/>
  <c r="AF85" i="31" s="1"/>
  <c r="AG85" i="31" s="1"/>
  <c r="AH85" i="31" s="1"/>
  <c r="AI85" i="31" s="1"/>
  <c r="AJ85" i="31" s="1"/>
  <c r="AK85" i="31" s="1"/>
  <c r="AL85" i="31" s="1"/>
  <c r="AM85" i="31" s="1"/>
  <c r="AN85" i="31" s="1"/>
  <c r="AO85" i="31" s="1"/>
  <c r="BC85" i="31"/>
  <c r="R8" i="21"/>
  <c r="G8" i="21"/>
  <c r="D8" i="20"/>
  <c r="R8" i="20" s="1"/>
  <c r="F8" i="21"/>
  <c r="E8" i="21"/>
  <c r="Q119" i="30"/>
  <c r="AQ119" i="30"/>
  <c r="AD119" i="30"/>
  <c r="BD119" i="30"/>
  <c r="T5" i="30"/>
  <c r="U5" i="30" s="1"/>
  <c r="V5" i="30" s="1"/>
  <c r="W5" i="30" s="1"/>
  <c r="AG5" i="30"/>
  <c r="AH5" i="30" s="1"/>
  <c r="AI5" i="30" s="1"/>
  <c r="AJ5" i="30" s="1"/>
  <c r="AU5" i="30"/>
  <c r="BG5" i="30"/>
  <c r="AQ67" i="30"/>
  <c r="AR67" i="30" s="1"/>
  <c r="AS67" i="30" s="1"/>
  <c r="AT67" i="30" s="1"/>
  <c r="AU67" i="30" s="1"/>
  <c r="AV67" i="30" s="1"/>
  <c r="AW67" i="30" s="1"/>
  <c r="AX67" i="30" s="1"/>
  <c r="AY67" i="30" s="1"/>
  <c r="AZ67" i="30" s="1"/>
  <c r="BA67" i="30" s="1"/>
  <c r="BB67" i="30" s="1"/>
  <c r="BP67" i="30"/>
  <c r="BD67" i="30" s="1"/>
  <c r="BE67" i="30" s="1"/>
  <c r="BF67" i="30" s="1"/>
  <c r="BG67" i="30" s="1"/>
  <c r="BH67" i="30" s="1"/>
  <c r="BI67" i="30" s="1"/>
  <c r="BJ67" i="30" s="1"/>
  <c r="BK67" i="30" s="1"/>
  <c r="BL67" i="30" s="1"/>
  <c r="BM67" i="30" s="1"/>
  <c r="BN67" i="30" s="1"/>
  <c r="BO67" i="30" s="1"/>
  <c r="AD75" i="30"/>
  <c r="AE75" i="30" s="1"/>
  <c r="BC75" i="30"/>
  <c r="Q76" i="30"/>
  <c r="R76" i="30" s="1"/>
  <c r="S76" i="30" s="1"/>
  <c r="T76" i="30" s="1"/>
  <c r="U76" i="30" s="1"/>
  <c r="V76" i="30" s="1"/>
  <c r="W76" i="30" s="1"/>
  <c r="X76" i="30" s="1"/>
  <c r="Y76" i="30" s="1"/>
  <c r="Z76" i="30" s="1"/>
  <c r="AA76" i="30" s="1"/>
  <c r="AB76" i="30" s="1"/>
  <c r="AP76" i="30"/>
  <c r="Q85" i="30"/>
  <c r="R85" i="30" s="1"/>
  <c r="S85" i="30" s="1"/>
  <c r="T85" i="30" s="1"/>
  <c r="U85" i="30" s="1"/>
  <c r="V85" i="30" s="1"/>
  <c r="W85" i="30" s="1"/>
  <c r="X85" i="30" s="1"/>
  <c r="Y85" i="30" s="1"/>
  <c r="Z85" i="30" s="1"/>
  <c r="AA85" i="30" s="1"/>
  <c r="AB85" i="30" s="1"/>
  <c r="AP85" i="30"/>
  <c r="Q87" i="30"/>
  <c r="R87" i="30" s="1"/>
  <c r="S87" i="30" s="1"/>
  <c r="T87" i="30" s="1"/>
  <c r="U87" i="30" s="1"/>
  <c r="V87" i="30" s="1"/>
  <c r="W87" i="30" s="1"/>
  <c r="X87" i="30" s="1"/>
  <c r="Y87" i="30" s="1"/>
  <c r="Z87" i="30" s="1"/>
  <c r="AA87" i="30" s="1"/>
  <c r="AB87" i="30" s="1"/>
  <c r="AP87" i="30"/>
  <c r="AQ89" i="30"/>
  <c r="AR89" i="30" s="1"/>
  <c r="AS89" i="30" s="1"/>
  <c r="AT89" i="30" s="1"/>
  <c r="AU89" i="30" s="1"/>
  <c r="AV89" i="30" s="1"/>
  <c r="AW89" i="30" s="1"/>
  <c r="AX89" i="30" s="1"/>
  <c r="AY89" i="30" s="1"/>
  <c r="AZ89" i="30" s="1"/>
  <c r="BA89" i="30" s="1"/>
  <c r="BB89" i="30" s="1"/>
  <c r="BP89" i="30"/>
  <c r="BD89" i="30" s="1"/>
  <c r="BE89" i="30" s="1"/>
  <c r="BF89" i="30" s="1"/>
  <c r="BG89" i="30" s="1"/>
  <c r="BH89" i="30" s="1"/>
  <c r="BI89" i="30" s="1"/>
  <c r="BJ89" i="30" s="1"/>
  <c r="BK89" i="30" s="1"/>
  <c r="BL89" i="30" s="1"/>
  <c r="BM89" i="30" s="1"/>
  <c r="BN89" i="30" s="1"/>
  <c r="BO89" i="30" s="1"/>
  <c r="AD91" i="30"/>
  <c r="AE91" i="30" s="1"/>
  <c r="AF91" i="30" s="1"/>
  <c r="AG91" i="30" s="1"/>
  <c r="AH91" i="30" s="1"/>
  <c r="AI91" i="30" s="1"/>
  <c r="AJ91" i="30" s="1"/>
  <c r="AK91" i="30" s="1"/>
  <c r="AL91" i="30" s="1"/>
  <c r="AM91" i="30" s="1"/>
  <c r="AN91" i="30" s="1"/>
  <c r="AO91" i="30" s="1"/>
  <c r="BC91" i="30"/>
  <c r="AD92" i="30"/>
  <c r="AE92" i="30" s="1"/>
  <c r="AF92" i="30" s="1"/>
  <c r="AG92" i="30" s="1"/>
  <c r="AH92" i="30" s="1"/>
  <c r="AI92" i="30" s="1"/>
  <c r="AJ92" i="30" s="1"/>
  <c r="AK92" i="30" s="1"/>
  <c r="AL92" i="30" s="1"/>
  <c r="AM92" i="30" s="1"/>
  <c r="AN92" i="30" s="1"/>
  <c r="AO92" i="30" s="1"/>
  <c r="BC92" i="30"/>
  <c r="D56" i="33"/>
  <c r="E56" i="33" s="1"/>
  <c r="F56" i="33" s="1"/>
  <c r="G56" i="33" s="1"/>
  <c r="H56" i="33" s="1"/>
  <c r="I56" i="33" s="1"/>
  <c r="J56" i="33" s="1"/>
  <c r="K56" i="33" s="1"/>
  <c r="L56" i="33" s="1"/>
  <c r="M56" i="33" s="1"/>
  <c r="N56" i="33" s="1"/>
  <c r="O56" i="33" s="1"/>
  <c r="Q56" i="33"/>
  <c r="R56" i="33" s="1"/>
  <c r="S56" i="33" s="1"/>
  <c r="T56" i="33" s="1"/>
  <c r="U56" i="33" s="1"/>
  <c r="V56" i="33" s="1"/>
  <c r="W56" i="33" s="1"/>
  <c r="X56" i="33" s="1"/>
  <c r="Y56" i="33" s="1"/>
  <c r="Z56" i="33" s="1"/>
  <c r="AA56" i="33" s="1"/>
  <c r="AB56" i="33" s="1"/>
  <c r="AD56" i="33"/>
  <c r="AE56" i="33" s="1"/>
  <c r="AF56" i="33" s="1"/>
  <c r="AG56" i="33" s="1"/>
  <c r="AH56" i="33" s="1"/>
  <c r="AI56" i="33" s="1"/>
  <c r="AJ56" i="33" s="1"/>
  <c r="AK56" i="33" s="1"/>
  <c r="AL56" i="33" s="1"/>
  <c r="AM56" i="33" s="1"/>
  <c r="AN56" i="33" s="1"/>
  <c r="AO56" i="33" s="1"/>
  <c r="AQ56" i="33"/>
  <c r="AR56" i="33" s="1"/>
  <c r="AS56" i="33" s="1"/>
  <c r="AT56" i="33" s="1"/>
  <c r="AU56" i="33" s="1"/>
  <c r="AV56" i="33" s="1"/>
  <c r="AW56" i="33" s="1"/>
  <c r="AX56" i="33" s="1"/>
  <c r="AY56" i="33" s="1"/>
  <c r="AZ56" i="33" s="1"/>
  <c r="BA56" i="33" s="1"/>
  <c r="BB56" i="33" s="1"/>
  <c r="BD56" i="33"/>
  <c r="BE56" i="33" s="1"/>
  <c r="BF56" i="33" s="1"/>
  <c r="BG56" i="33" s="1"/>
  <c r="BH56" i="33" s="1"/>
  <c r="BI56" i="33" s="1"/>
  <c r="BJ56" i="33" s="1"/>
  <c r="BK56" i="33" s="1"/>
  <c r="BL56" i="33" s="1"/>
  <c r="BM56" i="33" s="1"/>
  <c r="BN56" i="33" s="1"/>
  <c r="BO56" i="33" s="1"/>
  <c r="D65" i="33"/>
  <c r="E65" i="33" s="1"/>
  <c r="F65" i="33" s="1"/>
  <c r="G65" i="33" s="1"/>
  <c r="H65" i="33" s="1"/>
  <c r="I65" i="33" s="1"/>
  <c r="J65" i="33" s="1"/>
  <c r="K65" i="33" s="1"/>
  <c r="L65" i="33" s="1"/>
  <c r="M65" i="33" s="1"/>
  <c r="N65" i="33" s="1"/>
  <c r="O65" i="33" s="1"/>
  <c r="Q65" i="33"/>
  <c r="R65" i="33" s="1"/>
  <c r="S65" i="33" s="1"/>
  <c r="T65" i="33" s="1"/>
  <c r="U65" i="33" s="1"/>
  <c r="V65" i="33" s="1"/>
  <c r="W65" i="33" s="1"/>
  <c r="X65" i="33" s="1"/>
  <c r="Y65" i="33" s="1"/>
  <c r="Z65" i="33" s="1"/>
  <c r="AA65" i="33" s="1"/>
  <c r="AB65" i="33" s="1"/>
  <c r="AD65" i="33"/>
  <c r="AE65" i="33" s="1"/>
  <c r="AF65" i="33" s="1"/>
  <c r="AG65" i="33" s="1"/>
  <c r="AH65" i="33" s="1"/>
  <c r="AI65" i="33" s="1"/>
  <c r="AJ65" i="33" s="1"/>
  <c r="AK65" i="33" s="1"/>
  <c r="AL65" i="33" s="1"/>
  <c r="AM65" i="33" s="1"/>
  <c r="AN65" i="33" s="1"/>
  <c r="AO65" i="33" s="1"/>
  <c r="AQ65" i="33"/>
  <c r="AR65" i="33"/>
  <c r="AS65" i="33" s="1"/>
  <c r="AT65" i="33" s="1"/>
  <c r="AU65" i="33" s="1"/>
  <c r="AV65" i="33" s="1"/>
  <c r="AW65" i="33" s="1"/>
  <c r="AX65" i="33" s="1"/>
  <c r="AY65" i="33" s="1"/>
  <c r="AZ65" i="33" s="1"/>
  <c r="BA65" i="33" s="1"/>
  <c r="BB65" i="33" s="1"/>
  <c r="E39" i="32"/>
  <c r="F38" i="32"/>
  <c r="R39" i="32"/>
  <c r="S38" i="32"/>
  <c r="AE39" i="32"/>
  <c r="AF38" i="32"/>
  <c r="AR39" i="32"/>
  <c r="AS38" i="32"/>
  <c r="BE39" i="32"/>
  <c r="BF38" i="32"/>
  <c r="F40" i="32"/>
  <c r="E37" i="32"/>
  <c r="E36" i="32" s="1"/>
  <c r="Q40" i="32"/>
  <c r="AC37" i="32"/>
  <c r="AC36" i="32" s="1"/>
  <c r="AD40" i="32"/>
  <c r="AQ40" i="32"/>
  <c r="BD40" i="32"/>
  <c r="J41" i="32"/>
  <c r="R41" i="32"/>
  <c r="AE41" i="32"/>
  <c r="E43" i="32"/>
  <c r="F42" i="32"/>
  <c r="F50" i="32"/>
  <c r="R50" i="32"/>
  <c r="G52" i="32"/>
  <c r="AC86" i="31"/>
  <c r="Q86" i="31" s="1"/>
  <c r="R86" i="31" s="1"/>
  <c r="S86" i="31" s="1"/>
  <c r="T86" i="31" s="1"/>
  <c r="U86" i="31" s="1"/>
  <c r="V86" i="31" s="1"/>
  <c r="W86" i="31" s="1"/>
  <c r="X86" i="31" s="1"/>
  <c r="Y86" i="31" s="1"/>
  <c r="Z86" i="31" s="1"/>
  <c r="AA86" i="31" s="1"/>
  <c r="AB86" i="31" s="1"/>
  <c r="Q55" i="32"/>
  <c r="R55" i="32" s="1"/>
  <c r="S55" i="32" s="1"/>
  <c r="T55" i="32" s="1"/>
  <c r="U55" i="32" s="1"/>
  <c r="V55" i="32" s="1"/>
  <c r="W55" i="32" s="1"/>
  <c r="X55" i="32" s="1"/>
  <c r="Y55" i="32" s="1"/>
  <c r="Z55" i="32" s="1"/>
  <c r="AA55" i="32" s="1"/>
  <c r="AB55" i="32" s="1"/>
  <c r="AP86" i="31"/>
  <c r="AD86" i="31" s="1"/>
  <c r="AE86" i="31" s="1"/>
  <c r="AF86" i="31" s="1"/>
  <c r="AG86" i="31" s="1"/>
  <c r="AH86" i="31" s="1"/>
  <c r="AI86" i="31" s="1"/>
  <c r="AJ86" i="31" s="1"/>
  <c r="AK86" i="31" s="1"/>
  <c r="AL86" i="31" s="1"/>
  <c r="AM86" i="31" s="1"/>
  <c r="AN86" i="31" s="1"/>
  <c r="AO86" i="31" s="1"/>
  <c r="AP86" i="30"/>
  <c r="AD86" i="30" s="1"/>
  <c r="AE86" i="30" s="1"/>
  <c r="AF86" i="30" s="1"/>
  <c r="AG86" i="30" s="1"/>
  <c r="AH86" i="30" s="1"/>
  <c r="AI86" i="30" s="1"/>
  <c r="AJ86" i="30" s="1"/>
  <c r="AK86" i="30" s="1"/>
  <c r="AL86" i="30" s="1"/>
  <c r="AM86" i="30" s="1"/>
  <c r="AN86" i="30" s="1"/>
  <c r="AO86" i="30" s="1"/>
  <c r="AD55" i="32"/>
  <c r="AE55" i="32" s="1"/>
  <c r="AF55" i="32" s="1"/>
  <c r="AG55" i="32" s="1"/>
  <c r="AH55" i="32" s="1"/>
  <c r="AI55" i="32" s="1"/>
  <c r="AJ55" i="32" s="1"/>
  <c r="AK55" i="32" s="1"/>
  <c r="AL55" i="32" s="1"/>
  <c r="AM55" i="32" s="1"/>
  <c r="AN55" i="32" s="1"/>
  <c r="AO55" i="32" s="1"/>
  <c r="BC86" i="31"/>
  <c r="AQ86" i="31" s="1"/>
  <c r="AR86" i="31" s="1"/>
  <c r="AS86" i="31" s="1"/>
  <c r="AT86" i="31" s="1"/>
  <c r="AU86" i="31" s="1"/>
  <c r="AV86" i="31" s="1"/>
  <c r="AW86" i="31" s="1"/>
  <c r="AX86" i="31" s="1"/>
  <c r="AY86" i="31" s="1"/>
  <c r="AZ86" i="31" s="1"/>
  <c r="BA86" i="31" s="1"/>
  <c r="BB86" i="31" s="1"/>
  <c r="BC86" i="30"/>
  <c r="AQ86" i="30" s="1"/>
  <c r="AR86" i="30" s="1"/>
  <c r="AS86" i="30" s="1"/>
  <c r="AT86" i="30" s="1"/>
  <c r="AU86" i="30" s="1"/>
  <c r="AV86" i="30" s="1"/>
  <c r="AW86" i="30" s="1"/>
  <c r="AX86" i="30" s="1"/>
  <c r="AY86" i="30" s="1"/>
  <c r="AZ86" i="30" s="1"/>
  <c r="BA86" i="30" s="1"/>
  <c r="BB86" i="30" s="1"/>
  <c r="AQ55" i="32"/>
  <c r="AR55" i="32" s="1"/>
  <c r="AS55" i="32" s="1"/>
  <c r="AT55" i="32" s="1"/>
  <c r="AU55" i="32" s="1"/>
  <c r="AV55" i="32" s="1"/>
  <c r="AW55" i="32" s="1"/>
  <c r="AX55" i="32" s="1"/>
  <c r="AY55" i="32" s="1"/>
  <c r="AZ55" i="32" s="1"/>
  <c r="BA55" i="32" s="1"/>
  <c r="BB55" i="32" s="1"/>
  <c r="BP86" i="31"/>
  <c r="BD86" i="31" s="1"/>
  <c r="BE86" i="31" s="1"/>
  <c r="BF86" i="31" s="1"/>
  <c r="BG86" i="31" s="1"/>
  <c r="BH86" i="31" s="1"/>
  <c r="BI86" i="31" s="1"/>
  <c r="BJ86" i="31" s="1"/>
  <c r="BK86" i="31" s="1"/>
  <c r="BL86" i="31" s="1"/>
  <c r="BM86" i="31" s="1"/>
  <c r="BN86" i="31" s="1"/>
  <c r="BO86" i="31" s="1"/>
  <c r="BD55" i="32"/>
  <c r="BE55" i="32" s="1"/>
  <c r="BF55" i="32" s="1"/>
  <c r="BG55" i="32" s="1"/>
  <c r="BH55" i="32" s="1"/>
  <c r="BI55" i="32" s="1"/>
  <c r="BJ55" i="32" s="1"/>
  <c r="BK55" i="32" s="1"/>
  <c r="BL55" i="32" s="1"/>
  <c r="BM55" i="32" s="1"/>
  <c r="BN55" i="32" s="1"/>
  <c r="BO55" i="32" s="1"/>
  <c r="BP86" i="30"/>
  <c r="BD86" i="30" s="1"/>
  <c r="BE86" i="30" s="1"/>
  <c r="BF86" i="30" s="1"/>
  <c r="BG86" i="30" s="1"/>
  <c r="BH86" i="30" s="1"/>
  <c r="BI86" i="30" s="1"/>
  <c r="BJ86" i="30" s="1"/>
  <c r="BK86" i="30" s="1"/>
  <c r="BL86" i="30" s="1"/>
  <c r="BM86" i="30" s="1"/>
  <c r="BN86" i="30" s="1"/>
  <c r="BO86" i="30" s="1"/>
  <c r="D60" i="31"/>
  <c r="E67" i="31"/>
  <c r="F67" i="31" s="1"/>
  <c r="G67" i="31" s="1"/>
  <c r="H67" i="31" s="1"/>
  <c r="I67" i="31" s="1"/>
  <c r="J67" i="31" s="1"/>
  <c r="K67" i="31" s="1"/>
  <c r="L67" i="31" s="1"/>
  <c r="M67" i="31" s="1"/>
  <c r="N67" i="31" s="1"/>
  <c r="O67" i="31" s="1"/>
  <c r="D62" i="31"/>
  <c r="E69" i="31"/>
  <c r="F69" i="31" s="1"/>
  <c r="G69" i="31" s="1"/>
  <c r="H69" i="31" s="1"/>
  <c r="I69" i="31" s="1"/>
  <c r="J69" i="31" s="1"/>
  <c r="K69" i="31" s="1"/>
  <c r="L69" i="31" s="1"/>
  <c r="M69" i="31" s="1"/>
  <c r="N69" i="31" s="1"/>
  <c r="O69" i="31" s="1"/>
  <c r="D63" i="31"/>
  <c r="E70" i="31"/>
  <c r="F70" i="31" s="1"/>
  <c r="G70" i="31" s="1"/>
  <c r="H70" i="31" s="1"/>
  <c r="I70" i="31" s="1"/>
  <c r="J70" i="31" s="1"/>
  <c r="K70" i="31" s="1"/>
  <c r="L70" i="31" s="1"/>
  <c r="M70" i="31" s="1"/>
  <c r="N70" i="31" s="1"/>
  <c r="O70" i="31" s="1"/>
  <c r="D64" i="31"/>
  <c r="E71" i="31"/>
  <c r="F71" i="31" s="1"/>
  <c r="G71" i="31" s="1"/>
  <c r="H71" i="31" s="1"/>
  <c r="I71" i="31" s="1"/>
  <c r="J71" i="31" s="1"/>
  <c r="K71" i="31" s="1"/>
  <c r="L71" i="31" s="1"/>
  <c r="M71" i="31" s="1"/>
  <c r="N71" i="31" s="1"/>
  <c r="O71" i="31" s="1"/>
  <c r="D65" i="31"/>
  <c r="E72" i="31"/>
  <c r="F72" i="31" s="1"/>
  <c r="G72" i="31" s="1"/>
  <c r="H72" i="31" s="1"/>
  <c r="I72" i="31" s="1"/>
  <c r="J72" i="31" s="1"/>
  <c r="K72" i="31" s="1"/>
  <c r="L72" i="31" s="1"/>
  <c r="M72" i="31" s="1"/>
  <c r="N72" i="31" s="1"/>
  <c r="O72" i="31" s="1"/>
  <c r="D84" i="31"/>
  <c r="E84" i="31" s="1"/>
  <c r="Q84" i="31"/>
  <c r="R84" i="31" s="1"/>
  <c r="S84" i="31" s="1"/>
  <c r="T84" i="31" s="1"/>
  <c r="U84" i="31" s="1"/>
  <c r="AD84" i="31"/>
  <c r="AE84" i="31" s="1"/>
  <c r="AF84" i="31" s="1"/>
  <c r="AG84" i="31" s="1"/>
  <c r="AH84" i="31" s="1"/>
  <c r="D60" i="30"/>
  <c r="E67" i="30"/>
  <c r="F67" i="30" s="1"/>
  <c r="G67" i="30" s="1"/>
  <c r="H67" i="30" s="1"/>
  <c r="I67" i="30" s="1"/>
  <c r="J67" i="30" s="1"/>
  <c r="K67" i="30" s="1"/>
  <c r="L67" i="30" s="1"/>
  <c r="M67" i="30" s="1"/>
  <c r="N67" i="30" s="1"/>
  <c r="O67" i="30" s="1"/>
  <c r="D62" i="30"/>
  <c r="E69" i="30"/>
  <c r="F69" i="30" s="1"/>
  <c r="G69" i="30" s="1"/>
  <c r="H69" i="30" s="1"/>
  <c r="I69" i="30" s="1"/>
  <c r="J69" i="30" s="1"/>
  <c r="K69" i="30" s="1"/>
  <c r="L69" i="30" s="1"/>
  <c r="M69" i="30" s="1"/>
  <c r="N69" i="30" s="1"/>
  <c r="O69" i="30" s="1"/>
  <c r="E70" i="30"/>
  <c r="F70" i="30" s="1"/>
  <c r="G70" i="30" s="1"/>
  <c r="H70" i="30" s="1"/>
  <c r="I70" i="30" s="1"/>
  <c r="J70" i="30" s="1"/>
  <c r="K70" i="30" s="1"/>
  <c r="L70" i="30" s="1"/>
  <c r="M70" i="30" s="1"/>
  <c r="N70" i="30" s="1"/>
  <c r="O70" i="30" s="1"/>
  <c r="D63" i="30"/>
  <c r="E71" i="30"/>
  <c r="F71" i="30" s="1"/>
  <c r="G71" i="30" s="1"/>
  <c r="H71" i="30" s="1"/>
  <c r="I71" i="30" s="1"/>
  <c r="J71" i="30" s="1"/>
  <c r="K71" i="30" s="1"/>
  <c r="L71" i="30" s="1"/>
  <c r="M71" i="30" s="1"/>
  <c r="N71" i="30" s="1"/>
  <c r="O71" i="30" s="1"/>
  <c r="D64" i="30"/>
  <c r="D65" i="30"/>
  <c r="E72" i="30"/>
  <c r="F72" i="30" s="1"/>
  <c r="G72" i="30" s="1"/>
  <c r="H72" i="30" s="1"/>
  <c r="I72" i="30" s="1"/>
  <c r="J72" i="30" s="1"/>
  <c r="K72" i="30" s="1"/>
  <c r="L72" i="30" s="1"/>
  <c r="M72" i="30" s="1"/>
  <c r="N72" i="30" s="1"/>
  <c r="O72" i="30" s="1"/>
  <c r="F75" i="30"/>
  <c r="R75" i="30"/>
  <c r="D80" i="30"/>
  <c r="Q80" i="30"/>
  <c r="AD80" i="30"/>
  <c r="AQ80" i="30"/>
  <c r="BD80" i="30"/>
  <c r="P78" i="30"/>
  <c r="D82" i="30"/>
  <c r="E82" i="30" s="1"/>
  <c r="F82" i="30" s="1"/>
  <c r="G82" i="30" s="1"/>
  <c r="H82" i="30" s="1"/>
  <c r="I82" i="30" s="1"/>
  <c r="J82" i="30" s="1"/>
  <c r="K82" i="30" s="1"/>
  <c r="L82" i="30" s="1"/>
  <c r="M82" i="30" s="1"/>
  <c r="N82" i="30" s="1"/>
  <c r="O82" i="30" s="1"/>
  <c r="P13" i="27"/>
  <c r="D14" i="29"/>
  <c r="Q14" i="29"/>
  <c r="AC13" i="27"/>
  <c r="AD14" i="29"/>
  <c r="AP13" i="27"/>
  <c r="BC13" i="27"/>
  <c r="AQ14" i="29"/>
  <c r="BP13" i="27"/>
  <c r="BD14" i="29"/>
  <c r="D15" i="27"/>
  <c r="D16" i="27" s="1"/>
  <c r="D11" i="32"/>
  <c r="D12" i="32" s="1"/>
  <c r="E19" i="29"/>
  <c r="D19" i="29"/>
  <c r="N19" i="29"/>
  <c r="H19" i="29"/>
  <c r="G19" i="29"/>
  <c r="O19" i="29"/>
  <c r="F19" i="29"/>
  <c r="L19" i="29"/>
  <c r="K19" i="29"/>
  <c r="J19" i="29"/>
  <c r="I19" i="29"/>
  <c r="M19" i="29"/>
  <c r="O21" i="29"/>
  <c r="O14" i="32" s="1"/>
  <c r="N21" i="29"/>
  <c r="N14" i="32" s="1"/>
  <c r="M21" i="29"/>
  <c r="M14" i="32" s="1"/>
  <c r="K21" i="29"/>
  <c r="K14" i="32" s="1"/>
  <c r="J21" i="29"/>
  <c r="J14" i="32" s="1"/>
  <c r="I21" i="29"/>
  <c r="I14" i="32" s="1"/>
  <c r="H21" i="29"/>
  <c r="H14" i="32" s="1"/>
  <c r="G21" i="29"/>
  <c r="G14" i="32" s="1"/>
  <c r="F21" i="29"/>
  <c r="F14" i="32" s="1"/>
  <c r="E21" i="29"/>
  <c r="E14" i="32" s="1"/>
  <c r="D21" i="29"/>
  <c r="D14" i="32" s="1"/>
  <c r="L21" i="29"/>
  <c r="L14" i="32" s="1"/>
  <c r="U21" i="29"/>
  <c r="U14" i="32" s="1"/>
  <c r="V21" i="29"/>
  <c r="V14" i="32" s="1"/>
  <c r="W21" i="29"/>
  <c r="W14" i="32" s="1"/>
  <c r="X21" i="29"/>
  <c r="X14" i="32" s="1"/>
  <c r="Y21" i="29"/>
  <c r="Y14" i="32" s="1"/>
  <c r="Z21" i="29"/>
  <c r="Z14" i="32" s="1"/>
  <c r="AA21" i="29"/>
  <c r="AA14" i="32" s="1"/>
  <c r="AB21" i="29"/>
  <c r="AB14" i="32" s="1"/>
  <c r="T21" i="29"/>
  <c r="T14" i="32" s="1"/>
  <c r="Q21" i="29"/>
  <c r="Q14" i="32" s="1"/>
  <c r="R21" i="29"/>
  <c r="R14" i="32" s="1"/>
  <c r="S21" i="29"/>
  <c r="S14" i="32" s="1"/>
  <c r="AG21" i="29"/>
  <c r="AG14" i="32" s="1"/>
  <c r="AH21" i="29"/>
  <c r="AH14" i="32" s="1"/>
  <c r="AJ21" i="29"/>
  <c r="AJ14" i="32" s="1"/>
  <c r="AK21" i="29"/>
  <c r="AK14" i="32" s="1"/>
  <c r="AL21" i="29"/>
  <c r="AL14" i="32" s="1"/>
  <c r="AI21" i="29"/>
  <c r="AI14" i="32" s="1"/>
  <c r="AO21" i="29"/>
  <c r="AO14" i="32" s="1"/>
  <c r="AM21" i="29"/>
  <c r="AM14" i="32" s="1"/>
  <c r="AN21" i="29"/>
  <c r="AN14" i="32" s="1"/>
  <c r="AD21" i="29"/>
  <c r="AD14" i="32" s="1"/>
  <c r="AE21" i="29"/>
  <c r="AE14" i="32" s="1"/>
  <c r="AF21" i="29"/>
  <c r="AF14" i="32" s="1"/>
  <c r="AY21" i="29"/>
  <c r="AY14" i="32" s="1"/>
  <c r="AU21" i="29"/>
  <c r="AU14" i="32" s="1"/>
  <c r="AV21" i="29"/>
  <c r="AV14" i="32" s="1"/>
  <c r="AW21" i="29"/>
  <c r="AW14" i="32" s="1"/>
  <c r="AX21" i="29"/>
  <c r="AX14" i="32" s="1"/>
  <c r="BA21" i="29"/>
  <c r="BA14" i="32" s="1"/>
  <c r="AZ21" i="29"/>
  <c r="AZ14" i="32" s="1"/>
  <c r="AR21" i="29"/>
  <c r="AR14" i="32" s="1"/>
  <c r="BB21" i="29"/>
  <c r="BB14" i="32" s="1"/>
  <c r="AT21" i="29"/>
  <c r="AT14" i="32" s="1"/>
  <c r="AQ21" i="29"/>
  <c r="AQ14" i="32" s="1"/>
  <c r="AS21" i="29"/>
  <c r="AS14" i="32" s="1"/>
  <c r="BI21" i="29"/>
  <c r="BI14" i="32" s="1"/>
  <c r="BH21" i="29"/>
  <c r="BH14" i="32" s="1"/>
  <c r="BG21" i="29"/>
  <c r="BG14" i="32" s="1"/>
  <c r="BF21" i="29"/>
  <c r="BF14" i="32" s="1"/>
  <c r="BO21" i="29"/>
  <c r="BO14" i="32" s="1"/>
  <c r="BM21" i="29"/>
  <c r="BM14" i="32" s="1"/>
  <c r="BN21" i="29"/>
  <c r="BN14" i="32" s="1"/>
  <c r="BJ21" i="29"/>
  <c r="BJ14" i="32" s="1"/>
  <c r="BK21" i="29"/>
  <c r="BK14" i="32" s="1"/>
  <c r="BD21" i="29"/>
  <c r="BD14" i="32" s="1"/>
  <c r="BE21" i="29"/>
  <c r="BE14" i="32" s="1"/>
  <c r="BL21" i="29"/>
  <c r="BL14" i="32" s="1"/>
  <c r="K23" i="29"/>
  <c r="O23" i="29"/>
  <c r="M23" i="29"/>
  <c r="L23" i="29"/>
  <c r="D23" i="29"/>
  <c r="E23" i="29"/>
  <c r="F23" i="29"/>
  <c r="G23" i="29"/>
  <c r="N23" i="29"/>
  <c r="H23" i="29"/>
  <c r="I23" i="29"/>
  <c r="J23" i="29"/>
  <c r="U23" i="29"/>
  <c r="T23" i="29"/>
  <c r="S23" i="29"/>
  <c r="R23" i="29"/>
  <c r="Q23" i="29"/>
  <c r="Z23" i="29"/>
  <c r="AA23" i="29"/>
  <c r="AB23" i="29"/>
  <c r="Y23" i="29"/>
  <c r="X23" i="29"/>
  <c r="W23" i="29"/>
  <c r="V23" i="29"/>
  <c r="AJ23" i="29"/>
  <c r="AO23" i="29"/>
  <c r="AN23" i="29"/>
  <c r="AD23" i="29"/>
  <c r="AE23" i="29"/>
  <c r="AF23" i="29"/>
  <c r="AG23" i="29"/>
  <c r="AH23" i="29"/>
  <c r="AI23" i="29"/>
  <c r="AM23" i="29"/>
  <c r="AK23" i="29"/>
  <c r="AL23" i="29"/>
  <c r="AW23" i="29"/>
  <c r="AV23" i="29"/>
  <c r="AU23" i="29"/>
  <c r="AT23" i="29"/>
  <c r="AS23" i="29"/>
  <c r="AR23" i="29"/>
  <c r="AZ23" i="29"/>
  <c r="AQ23" i="29"/>
  <c r="BB23" i="29"/>
  <c r="AY23" i="29"/>
  <c r="AX23" i="29"/>
  <c r="BA23" i="29"/>
  <c r="BE23" i="29"/>
  <c r="BD23" i="29"/>
  <c r="BK23" i="29"/>
  <c r="BO23" i="29"/>
  <c r="BN23" i="29"/>
  <c r="BM23" i="29"/>
  <c r="BL23" i="29"/>
  <c r="BJ23" i="29"/>
  <c r="BI23" i="29"/>
  <c r="BH23" i="29"/>
  <c r="BG23" i="29"/>
  <c r="BF23" i="29"/>
  <c r="K6" i="28"/>
  <c r="L6" i="28"/>
  <c r="M6" i="28"/>
  <c r="N6" i="28"/>
  <c r="O6" i="28"/>
  <c r="Q6" i="28"/>
  <c r="R6" i="28"/>
  <c r="S6" i="28"/>
  <c r="T6" i="28"/>
  <c r="U6" i="28"/>
  <c r="V6" i="28"/>
  <c r="X6" i="28"/>
  <c r="Y6" i="28"/>
  <c r="Z6" i="28"/>
  <c r="AA6" i="28"/>
  <c r="AB6" i="28"/>
  <c r="W6" i="28"/>
  <c r="AE6" i="28"/>
  <c r="AF6" i="28"/>
  <c r="AG6" i="28"/>
  <c r="AI6" i="28"/>
  <c r="AJ6" i="28"/>
  <c r="AK6" i="28"/>
  <c r="AM6" i="28"/>
  <c r="AN6" i="28"/>
  <c r="AD6" i="28"/>
  <c r="AO6" i="28"/>
  <c r="AH6" i="28"/>
  <c r="AL6" i="28"/>
  <c r="AQ6" i="28"/>
  <c r="BB6" i="28"/>
  <c r="BA6" i="28"/>
  <c r="AZ6" i="28"/>
  <c r="AY6" i="28"/>
  <c r="AX6" i="28"/>
  <c r="AW6" i="28"/>
  <c r="AV6" i="28"/>
  <c r="AU6" i="28"/>
  <c r="AT6" i="28"/>
  <c r="AS6" i="28"/>
  <c r="AR6" i="28"/>
  <c r="BN6" i="28"/>
  <c r="BM6" i="28"/>
  <c r="BL6" i="28"/>
  <c r="BK6" i="28"/>
  <c r="BI6" i="28"/>
  <c r="BG6" i="28"/>
  <c r="BF6" i="28"/>
  <c r="BE6" i="28"/>
  <c r="BD6" i="28"/>
  <c r="BJ6" i="28"/>
  <c r="BH6" i="28"/>
  <c r="BO6" i="28"/>
  <c r="K8" i="28"/>
  <c r="L8" i="28"/>
  <c r="M8" i="28"/>
  <c r="N8" i="28"/>
  <c r="O8" i="28"/>
  <c r="J8" i="28"/>
  <c r="T8" i="28"/>
  <c r="Q8" i="28"/>
  <c r="R8" i="28"/>
  <c r="S8" i="28"/>
  <c r="U8" i="28"/>
  <c r="V8" i="28"/>
  <c r="W8" i="28"/>
  <c r="X8" i="28"/>
  <c r="Z8" i="28"/>
  <c r="AA8" i="28"/>
  <c r="AB8" i="28"/>
  <c r="Y8" i="28"/>
  <c r="AO8" i="28"/>
  <c r="AG8" i="28"/>
  <c r="AD8" i="28"/>
  <c r="AE8" i="28"/>
  <c r="AF8" i="28"/>
  <c r="AH8" i="28"/>
  <c r="AI8" i="28"/>
  <c r="AJ8" i="28"/>
  <c r="AK8" i="28"/>
  <c r="AL8" i="28"/>
  <c r="AM8" i="28"/>
  <c r="AN8" i="28"/>
  <c r="AR8" i="28"/>
  <c r="AT8" i="28"/>
  <c r="AU8" i="28"/>
  <c r="AV8" i="28"/>
  <c r="AW8" i="28"/>
  <c r="AX8" i="28"/>
  <c r="AY8" i="28"/>
  <c r="AZ8" i="28"/>
  <c r="BA8" i="28"/>
  <c r="BB8" i="28"/>
  <c r="AS8" i="28"/>
  <c r="AQ8" i="28"/>
  <c r="BF8" i="28"/>
  <c r="BG8" i="28"/>
  <c r="BH8" i="28"/>
  <c r="BI8" i="28"/>
  <c r="BJ8" i="28"/>
  <c r="BK8" i="28"/>
  <c r="BL8" i="28"/>
  <c r="BD8" i="28"/>
  <c r="BE8" i="28"/>
  <c r="BM8" i="28"/>
  <c r="BN8" i="28"/>
  <c r="BO8" i="28"/>
  <c r="D23" i="28"/>
  <c r="Q23" i="28"/>
  <c r="R23" i="28" s="1"/>
  <c r="S23" i="28" s="1"/>
  <c r="T23" i="28" s="1"/>
  <c r="U23" i="28" s="1"/>
  <c r="V23" i="28" s="1"/>
  <c r="W23" i="28" s="1"/>
  <c r="X23" i="28" s="1"/>
  <c r="Y23" i="28" s="1"/>
  <c r="Z23" i="28" s="1"/>
  <c r="AA23" i="28" s="1"/>
  <c r="AB23" i="28" s="1"/>
  <c r="AD23" i="28"/>
  <c r="AE23" i="28" s="1"/>
  <c r="AF23" i="28" s="1"/>
  <c r="AG23" i="28" s="1"/>
  <c r="AH23" i="28" s="1"/>
  <c r="AI23" i="28" s="1"/>
  <c r="AJ23" i="28" s="1"/>
  <c r="AK23" i="28" s="1"/>
  <c r="AL23" i="28" s="1"/>
  <c r="AM23" i="28" s="1"/>
  <c r="AN23" i="28" s="1"/>
  <c r="AO23" i="28" s="1"/>
  <c r="AQ23" i="28"/>
  <c r="AR23" i="28"/>
  <c r="AS23" i="28" s="1"/>
  <c r="AT23" i="28" s="1"/>
  <c r="AU23" i="28" s="1"/>
  <c r="AV23" i="28" s="1"/>
  <c r="AW23" i="28" s="1"/>
  <c r="AX23" i="28" s="1"/>
  <c r="AY23" i="28" s="1"/>
  <c r="AZ23" i="28" s="1"/>
  <c r="BA23" i="28" s="1"/>
  <c r="BB23" i="28" s="1"/>
  <c r="BD23" i="28"/>
  <c r="BE23" i="28" s="1"/>
  <c r="BF23" i="28" s="1"/>
  <c r="BG23" i="28" s="1"/>
  <c r="BH23" i="28" s="1"/>
  <c r="BI23" i="28" s="1"/>
  <c r="BJ23" i="28" s="1"/>
  <c r="BK23" i="28" s="1"/>
  <c r="BL23" i="28" s="1"/>
  <c r="BM23" i="28" s="1"/>
  <c r="BN23" i="28" s="1"/>
  <c r="BO23" i="28" s="1"/>
  <c r="E65" i="28"/>
  <c r="D47" i="28"/>
  <c r="D104" i="28" s="1"/>
  <c r="D49" i="28"/>
  <c r="D106" i="28" s="1"/>
  <c r="E71" i="28"/>
  <c r="E74" i="28"/>
  <c r="D41" i="28"/>
  <c r="D98" i="28" s="1"/>
  <c r="E76" i="28"/>
  <c r="D50" i="28"/>
  <c r="D107" i="28" s="1"/>
  <c r="R76" i="28"/>
  <c r="AE76" i="28"/>
  <c r="AR76" i="28"/>
  <c r="BE76" i="28"/>
  <c r="D51" i="28"/>
  <c r="D108" i="28" s="1"/>
  <c r="E78" i="28"/>
  <c r="R78" i="28"/>
  <c r="Q51" i="28"/>
  <c r="Q108" i="28" s="1"/>
  <c r="AE78" i="28"/>
  <c r="AD51" i="28"/>
  <c r="AD108" i="28" s="1"/>
  <c r="AQ51" i="28"/>
  <c r="AQ108" i="28" s="1"/>
  <c r="AR78" i="28"/>
  <c r="BE78" i="28"/>
  <c r="BD51" i="28"/>
  <c r="BD108" i="28" s="1"/>
  <c r="E79" i="28"/>
  <c r="D52" i="28"/>
  <c r="D109" i="28" s="1"/>
  <c r="D53" i="28"/>
  <c r="D110" i="28" s="1"/>
  <c r="E80" i="28"/>
  <c r="Q103" i="27"/>
  <c r="R103" i="27" s="1"/>
  <c r="S103" i="27" s="1"/>
  <c r="T103" i="27" s="1"/>
  <c r="U103" i="27" s="1"/>
  <c r="V103" i="27" s="1"/>
  <c r="W103" i="27" s="1"/>
  <c r="X103" i="27" s="1"/>
  <c r="Y103" i="27" s="1"/>
  <c r="Z103" i="27" s="1"/>
  <c r="AA103" i="27" s="1"/>
  <c r="AB103" i="27" s="1"/>
  <c r="P105" i="27"/>
  <c r="D106" i="27"/>
  <c r="E106" i="27"/>
  <c r="F106" i="27" s="1"/>
  <c r="G106" i="27" s="1"/>
  <c r="H106" i="27" s="1"/>
  <c r="I106" i="27" s="1"/>
  <c r="J106" i="27" s="1"/>
  <c r="K106" i="27" s="1"/>
  <c r="L106" i="27" s="1"/>
  <c r="M106" i="27" s="1"/>
  <c r="N106" i="27" s="1"/>
  <c r="O106" i="27" s="1"/>
  <c r="Q106" i="27"/>
  <c r="R106" i="27" s="1"/>
  <c r="S106" i="27" s="1"/>
  <c r="T106" i="27" s="1"/>
  <c r="U106" i="27" s="1"/>
  <c r="V106" i="27" s="1"/>
  <c r="W106" i="27" s="1"/>
  <c r="X106" i="27" s="1"/>
  <c r="Y106" i="27" s="1"/>
  <c r="Z106" i="27" s="1"/>
  <c r="AA106" i="27" s="1"/>
  <c r="AB106" i="27" s="1"/>
  <c r="D107" i="27"/>
  <c r="E107" i="27" s="1"/>
  <c r="F107" i="27" s="1"/>
  <c r="G107" i="27" s="1"/>
  <c r="H107" i="27" s="1"/>
  <c r="I107" i="27" s="1"/>
  <c r="J107" i="27" s="1"/>
  <c r="K107" i="27" s="1"/>
  <c r="L107" i="27" s="1"/>
  <c r="M107" i="27" s="1"/>
  <c r="N107" i="27" s="1"/>
  <c r="O107" i="27" s="1"/>
  <c r="D108" i="27"/>
  <c r="E108" i="27" s="1"/>
  <c r="F108" i="27" s="1"/>
  <c r="G108" i="27" s="1"/>
  <c r="H108" i="27" s="1"/>
  <c r="I108" i="27" s="1"/>
  <c r="J108" i="27" s="1"/>
  <c r="K108" i="27" s="1"/>
  <c r="L108" i="27" s="1"/>
  <c r="M108" i="27" s="1"/>
  <c r="N108" i="27" s="1"/>
  <c r="O108" i="27" s="1"/>
  <c r="D112" i="27"/>
  <c r="E112" i="27" s="1"/>
  <c r="F112" i="27" s="1"/>
  <c r="G112" i="27" s="1"/>
  <c r="H112" i="27" s="1"/>
  <c r="I112" i="27" s="1"/>
  <c r="J112" i="27" s="1"/>
  <c r="K112" i="27" s="1"/>
  <c r="L112" i="27" s="1"/>
  <c r="M112" i="27" s="1"/>
  <c r="N112" i="27" s="1"/>
  <c r="O112" i="27" s="1"/>
  <c r="D113" i="27"/>
  <c r="E113" i="27" s="1"/>
  <c r="F113" i="27" s="1"/>
  <c r="G113" i="27" s="1"/>
  <c r="H113" i="27" s="1"/>
  <c r="I113" i="27" s="1"/>
  <c r="J113" i="27" s="1"/>
  <c r="K113" i="27" s="1"/>
  <c r="L113" i="27" s="1"/>
  <c r="M113" i="27" s="1"/>
  <c r="N113" i="27" s="1"/>
  <c r="O113" i="27" s="1"/>
  <c r="D114" i="27"/>
  <c r="E114" i="27" s="1"/>
  <c r="F114" i="27" s="1"/>
  <c r="G114" i="27" s="1"/>
  <c r="H114" i="27" s="1"/>
  <c r="I114" i="27" s="1"/>
  <c r="J114" i="27" s="1"/>
  <c r="K114" i="27" s="1"/>
  <c r="L114" i="27" s="1"/>
  <c r="M114" i="27" s="1"/>
  <c r="N114" i="27" s="1"/>
  <c r="O114" i="27" s="1"/>
  <c r="Q114" i="27"/>
  <c r="R114" i="27" s="1"/>
  <c r="S114" i="27" s="1"/>
  <c r="T114" i="27" s="1"/>
  <c r="U114" i="27" s="1"/>
  <c r="V114" i="27" s="1"/>
  <c r="W114" i="27" s="1"/>
  <c r="X114" i="27" s="1"/>
  <c r="Y114" i="27" s="1"/>
  <c r="Z114" i="27" s="1"/>
  <c r="AA114" i="27" s="1"/>
  <c r="AB114" i="27" s="1"/>
  <c r="AD114" i="27"/>
  <c r="AE114" i="27" s="1"/>
  <c r="AF114" i="27" s="1"/>
  <c r="AG114" i="27" s="1"/>
  <c r="AH114" i="27" s="1"/>
  <c r="AI114" i="27" s="1"/>
  <c r="AJ114" i="27" s="1"/>
  <c r="AK114" i="27" s="1"/>
  <c r="AL114" i="27" s="1"/>
  <c r="AM114" i="27" s="1"/>
  <c r="AN114" i="27" s="1"/>
  <c r="AO114" i="27" s="1"/>
  <c r="D116" i="27"/>
  <c r="E116" i="27" s="1"/>
  <c r="F116" i="27" s="1"/>
  <c r="G116" i="27" s="1"/>
  <c r="H116" i="27" s="1"/>
  <c r="I116" i="27" s="1"/>
  <c r="J116" i="27" s="1"/>
  <c r="K116" i="27" s="1"/>
  <c r="L116" i="27" s="1"/>
  <c r="M116" i="27" s="1"/>
  <c r="N116" i="27" s="1"/>
  <c r="O116" i="27" s="1"/>
  <c r="Q116" i="27"/>
  <c r="R116" i="27" s="1"/>
  <c r="S116" i="27" s="1"/>
  <c r="T116" i="27" s="1"/>
  <c r="U116" i="27" s="1"/>
  <c r="V116" i="27" s="1"/>
  <c r="W116" i="27" s="1"/>
  <c r="X116" i="27" s="1"/>
  <c r="Y116" i="27" s="1"/>
  <c r="Z116" i="27" s="1"/>
  <c r="AA116" i="27" s="1"/>
  <c r="AB116" i="27" s="1"/>
  <c r="AD116" i="27"/>
  <c r="AE116" i="27" s="1"/>
  <c r="AF116" i="27" s="1"/>
  <c r="AG116" i="27" s="1"/>
  <c r="AH116" i="27" s="1"/>
  <c r="AI116" i="27" s="1"/>
  <c r="AJ116" i="27" s="1"/>
  <c r="AK116" i="27" s="1"/>
  <c r="AL116" i="27" s="1"/>
  <c r="AM116" i="27" s="1"/>
  <c r="AN116" i="27" s="1"/>
  <c r="AO116" i="27" s="1"/>
  <c r="AQ116" i="27"/>
  <c r="AR116" i="27"/>
  <c r="AS116" i="27" s="1"/>
  <c r="AT116" i="27" s="1"/>
  <c r="AU116" i="27" s="1"/>
  <c r="AV116" i="27" s="1"/>
  <c r="AW116" i="27" s="1"/>
  <c r="AX116" i="27" s="1"/>
  <c r="AY116" i="27" s="1"/>
  <c r="AZ116" i="27" s="1"/>
  <c r="BA116" i="27" s="1"/>
  <c r="BB116" i="27" s="1"/>
  <c r="AC19" i="29"/>
  <c r="J127" i="23"/>
  <c r="J128" i="23"/>
  <c r="J233" i="23"/>
  <c r="J234" i="23" s="1"/>
  <c r="P234" i="23"/>
  <c r="J230" i="23"/>
  <c r="J231" i="23" s="1"/>
  <c r="P231" i="23"/>
  <c r="K225" i="23"/>
  <c r="L225" i="23"/>
  <c r="M225" i="23"/>
  <c r="N225" i="23"/>
  <c r="O225" i="23"/>
  <c r="P225" i="23"/>
  <c r="J225" i="23"/>
  <c r="J224" i="23" s="1"/>
  <c r="L200" i="23"/>
  <c r="K77" i="23"/>
  <c r="I12" i="24"/>
  <c r="I64" i="24" s="1"/>
  <c r="I20" i="24"/>
  <c r="I22" i="24" s="1"/>
  <c r="I52" i="24"/>
  <c r="I54" i="24" s="1"/>
  <c r="I51" i="24"/>
  <c r="I79" i="34" s="1"/>
  <c r="K8" i="24"/>
  <c r="J10" i="24"/>
  <c r="T8" i="24"/>
  <c r="S9" i="23"/>
  <c r="S8" i="23"/>
  <c r="F170" i="22"/>
  <c r="F70" i="22"/>
  <c r="G70" i="22"/>
  <c r="I22" i="14"/>
  <c r="J20" i="14"/>
  <c r="I9" i="14"/>
  <c r="S9" i="14"/>
  <c r="E30" i="20"/>
  <c r="G30" i="20"/>
  <c r="H30" i="20"/>
  <c r="F30" i="20"/>
  <c r="K58" i="20"/>
  <c r="S61" i="20"/>
  <c r="H116" i="10"/>
  <c r="H72" i="10"/>
  <c r="S13" i="9"/>
  <c r="I13" i="9"/>
  <c r="J13" i="9" s="1"/>
  <c r="T12" i="9"/>
  <c r="K12" i="9"/>
  <c r="K13" i="9"/>
  <c r="L13" i="9" s="1"/>
  <c r="M13" i="9" s="1"/>
  <c r="N13" i="9" s="1"/>
  <c r="O13" i="9" s="1"/>
  <c r="P13" i="9" s="1"/>
  <c r="I11" i="9"/>
  <c r="H11" i="9"/>
  <c r="S11" i="9" s="1"/>
  <c r="S12" i="9"/>
  <c r="V69" i="20"/>
  <c r="W69" i="20"/>
  <c r="D10" i="9"/>
  <c r="D9" i="20"/>
  <c r="R9" i="20" s="1"/>
  <c r="J22" i="20"/>
  <c r="I22" i="20"/>
  <c r="U69" i="20"/>
  <c r="T69" i="20"/>
  <c r="S69" i="20"/>
  <c r="S22" i="20"/>
  <c r="J30" i="20"/>
  <c r="I30" i="20"/>
  <c r="T26" i="20"/>
  <c r="S26" i="20"/>
  <c r="U30" i="20"/>
  <c r="W30" i="20"/>
  <c r="V30" i="20"/>
  <c r="W29" i="20"/>
  <c r="V29" i="20"/>
  <c r="U29" i="20"/>
  <c r="T29" i="20"/>
  <c r="S29" i="20"/>
  <c r="P22" i="20"/>
  <c r="O22" i="20"/>
  <c r="M22" i="20"/>
  <c r="N22" i="20"/>
  <c r="L22" i="20"/>
  <c r="K22" i="20"/>
  <c r="D20" i="21"/>
  <c r="R20" i="21" s="1"/>
  <c r="R19" i="21"/>
  <c r="D22" i="21"/>
  <c r="R22" i="21" s="1"/>
  <c r="R11" i="21"/>
  <c r="S8" i="21"/>
  <c r="P72" i="6"/>
  <c r="L72" i="6"/>
  <c r="L60" i="6" s="1"/>
  <c r="K72" i="6"/>
  <c r="K60" i="6" s="1"/>
  <c r="H72" i="6"/>
  <c r="H60" i="6" s="1"/>
  <c r="N72" i="6"/>
  <c r="N60" i="6" s="1"/>
  <c r="G72" i="6"/>
  <c r="G60" i="6" s="1"/>
  <c r="F72" i="6"/>
  <c r="F60" i="6" s="1"/>
  <c r="O72" i="6"/>
  <c r="O60" i="6" s="1"/>
  <c r="I72" i="6"/>
  <c r="I60" i="6" s="1"/>
  <c r="J72" i="6"/>
  <c r="J60" i="6" s="1"/>
  <c r="M72" i="6"/>
  <c r="M60" i="6" s="1"/>
  <c r="P60" i="6"/>
  <c r="E72" i="6"/>
  <c r="F2" i="5"/>
  <c r="E38" i="5"/>
  <c r="E15" i="5"/>
  <c r="E13" i="5"/>
  <c r="D7" i="5"/>
  <c r="D17" i="5" s="1"/>
  <c r="D33" i="5" s="1"/>
  <c r="D9" i="5"/>
  <c r="D11" i="5"/>
  <c r="F12" i="5"/>
  <c r="F4" i="5"/>
  <c r="Z10" i="4"/>
  <c r="AA10" i="4"/>
  <c r="Q10" i="4"/>
  <c r="T10" i="4"/>
  <c r="X10" i="4"/>
  <c r="V10" i="4"/>
  <c r="S10" i="4"/>
  <c r="U10" i="4"/>
  <c r="Y10" i="4"/>
  <c r="AP10" i="4"/>
  <c r="AD10" i="4"/>
  <c r="AE10" i="4"/>
  <c r="AI10" i="4"/>
  <c r="AQ10" i="4"/>
  <c r="AJ10" i="4"/>
  <c r="AT10" i="4"/>
  <c r="AK10" i="4"/>
  <c r="AV10" i="4"/>
  <c r="AL10" i="4"/>
  <c r="AW10" i="4"/>
  <c r="AX10" i="4"/>
  <c r="AC10" i="4"/>
  <c r="BA10" i="4"/>
  <c r="BI10" i="4"/>
  <c r="BJ10" i="4"/>
  <c r="F8" i="4"/>
  <c r="BA5" i="4"/>
  <c r="G8" i="4"/>
  <c r="AN5" i="4"/>
  <c r="AO5" i="4" s="1"/>
  <c r="BC10" i="4"/>
  <c r="Z8" i="4"/>
  <c r="BL10" i="4"/>
  <c r="M8" i="4"/>
  <c r="BE10" i="4"/>
  <c r="BF10" i="4"/>
  <c r="BM10" i="4"/>
  <c r="BG10" i="4"/>
  <c r="BN10" i="4"/>
  <c r="BD10" i="4"/>
  <c r="AR10" i="4"/>
  <c r="AY10" i="4"/>
  <c r="AS10" i="4"/>
  <c r="AF10" i="4"/>
  <c r="AM10" i="4"/>
  <c r="AG10" i="4"/>
  <c r="P10" i="4"/>
  <c r="BM8" i="4"/>
  <c r="BC8" i="4"/>
  <c r="BN8" i="4"/>
  <c r="BF8" i="4"/>
  <c r="BH8" i="4"/>
  <c r="BK8" i="4"/>
  <c r="BG8" i="4"/>
  <c r="AP8" i="4"/>
  <c r="BA8" i="4"/>
  <c r="AS8" i="4"/>
  <c r="AV8" i="4"/>
  <c r="AT8" i="4"/>
  <c r="AU8" i="4"/>
  <c r="AY8" i="4"/>
  <c r="AF8" i="4"/>
  <c r="AN8" i="4"/>
  <c r="AG8" i="4"/>
  <c r="AK8" i="4"/>
  <c r="AL8" i="4"/>
  <c r="AC8" i="4"/>
  <c r="AM8" i="4"/>
  <c r="AH8" i="4"/>
  <c r="U8" i="4"/>
  <c r="BD8" i="4"/>
  <c r="BJ8" i="4"/>
  <c r="BH10" i="4"/>
  <c r="BI8" i="4"/>
  <c r="BN5" i="4"/>
  <c r="BE8" i="4"/>
  <c r="AQ8" i="4"/>
  <c r="AW8" i="4"/>
  <c r="AU10" i="4"/>
  <c r="BB5" i="4"/>
  <c r="AR8" i="4"/>
  <c r="AX8" i="4"/>
  <c r="AD8" i="4"/>
  <c r="AJ8" i="4"/>
  <c r="AH10" i="4"/>
  <c r="AE8" i="4"/>
  <c r="Q8" i="4"/>
  <c r="W8" i="4"/>
  <c r="AA5" i="4"/>
  <c r="AB5" i="4" s="1"/>
  <c r="R8" i="4"/>
  <c r="X8" i="4"/>
  <c r="P8" i="4"/>
  <c r="V8" i="4"/>
  <c r="S8" i="4"/>
  <c r="Y8" i="4"/>
  <c r="T8" i="4"/>
  <c r="R10" i="4"/>
  <c r="N8" i="4"/>
  <c r="C8" i="4"/>
  <c r="H8" i="4"/>
  <c r="I8" i="4"/>
  <c r="L8" i="4"/>
  <c r="H10" i="4"/>
  <c r="N10" i="4"/>
  <c r="I10" i="4"/>
  <c r="N5" i="4"/>
  <c r="D8" i="4"/>
  <c r="J8" i="4"/>
  <c r="D10" i="4"/>
  <c r="J10" i="4"/>
  <c r="C10" i="4"/>
  <c r="E8" i="4"/>
  <c r="E10" i="4"/>
  <c r="K10" i="4"/>
  <c r="F10" i="4"/>
  <c r="L10" i="4"/>
  <c r="G10" i="4"/>
  <c r="O5" i="4"/>
  <c r="D39" i="34" l="1"/>
  <c r="D12" i="34"/>
  <c r="E46" i="32"/>
  <c r="F45" i="32"/>
  <c r="AQ23" i="35"/>
  <c r="D37" i="35"/>
  <c r="F37" i="35"/>
  <c r="R42" i="32"/>
  <c r="S42" i="32" s="1"/>
  <c r="T42" i="32" s="1"/>
  <c r="U42" i="32" s="1"/>
  <c r="V42" i="32" s="1"/>
  <c r="W42" i="32" s="1"/>
  <c r="X42" i="32" s="1"/>
  <c r="Y42" i="32" s="1"/>
  <c r="Z42" i="32" s="1"/>
  <c r="AA42" i="32" s="1"/>
  <c r="AB42" i="32" s="1"/>
  <c r="Q43" i="32"/>
  <c r="R45" i="32"/>
  <c r="Q46" i="32"/>
  <c r="AQ114" i="27"/>
  <c r="AR114" i="27" s="1"/>
  <c r="AS114" i="27" s="1"/>
  <c r="AT114" i="27" s="1"/>
  <c r="AU114" i="27" s="1"/>
  <c r="AV114" i="27" s="1"/>
  <c r="AW114" i="27" s="1"/>
  <c r="AX114" i="27" s="1"/>
  <c r="AY114" i="27" s="1"/>
  <c r="AZ114" i="27" s="1"/>
  <c r="BA114" i="27" s="1"/>
  <c r="BB114" i="27" s="1"/>
  <c r="BC84" i="31"/>
  <c r="BP114" i="27"/>
  <c r="L31" i="35"/>
  <c r="L37" i="35"/>
  <c r="AP48" i="35"/>
  <c r="AC39" i="35"/>
  <c r="BC48" i="35"/>
  <c r="P39" i="35"/>
  <c r="BC39" i="35"/>
  <c r="AP21" i="31"/>
  <c r="AD21" i="31" s="1"/>
  <c r="AE21" i="31" s="1"/>
  <c r="AF21" i="31" s="1"/>
  <c r="AG21" i="31" s="1"/>
  <c r="AH21" i="31" s="1"/>
  <c r="AI21" i="31" s="1"/>
  <c r="AJ21" i="31" s="1"/>
  <c r="AK21" i="31" s="1"/>
  <c r="AL21" i="31" s="1"/>
  <c r="AM21" i="31" s="1"/>
  <c r="AN21" i="31" s="1"/>
  <c r="AO21" i="31" s="1"/>
  <c r="H92" i="26"/>
  <c r="BD23" i="35"/>
  <c r="AC48" i="35"/>
  <c r="E37" i="35"/>
  <c r="AE75" i="35"/>
  <c r="AE23" i="35" s="1"/>
  <c r="AP39" i="35"/>
  <c r="N37" i="35"/>
  <c r="P48" i="35"/>
  <c r="G37" i="35"/>
  <c r="AR75" i="35"/>
  <c r="AR23" i="35" s="1"/>
  <c r="BP39" i="35"/>
  <c r="M37" i="35"/>
  <c r="I37" i="35"/>
  <c r="R75" i="35"/>
  <c r="R23" i="35" s="1"/>
  <c r="H37" i="35"/>
  <c r="BE75" i="35"/>
  <c r="BE23" i="35" s="1"/>
  <c r="BP48" i="35"/>
  <c r="N29" i="35"/>
  <c r="L29" i="35"/>
  <c r="O29" i="35"/>
  <c r="O37" i="35"/>
  <c r="O31" i="35"/>
  <c r="J37" i="35"/>
  <c r="E75" i="35"/>
  <c r="E24" i="35" s="1"/>
  <c r="M31" i="35"/>
  <c r="K37" i="35"/>
  <c r="BP77" i="28"/>
  <c r="BD77" i="28" s="1"/>
  <c r="BE77" i="28" s="1"/>
  <c r="BF77" i="28" s="1"/>
  <c r="BG77" i="28" s="1"/>
  <c r="BH77" i="28" s="1"/>
  <c r="BI77" i="28" s="1"/>
  <c r="BJ77" i="28" s="1"/>
  <c r="BK77" i="28" s="1"/>
  <c r="BL77" i="28" s="1"/>
  <c r="BM77" i="28" s="1"/>
  <c r="BN77" i="28" s="1"/>
  <c r="BO77" i="28" s="1"/>
  <c r="AQ77" i="28"/>
  <c r="AR77" i="28" s="1"/>
  <c r="AS77" i="28" s="1"/>
  <c r="AT77" i="28" s="1"/>
  <c r="AU77" i="28" s="1"/>
  <c r="AV77" i="28" s="1"/>
  <c r="AW77" i="28" s="1"/>
  <c r="AX77" i="28" s="1"/>
  <c r="AY77" i="28" s="1"/>
  <c r="AZ77" i="28" s="1"/>
  <c r="BA77" i="28" s="1"/>
  <c r="BB77" i="28" s="1"/>
  <c r="AP80" i="28"/>
  <c r="Q80" i="28"/>
  <c r="BC53" i="32"/>
  <c r="AD53" i="32"/>
  <c r="AE53" i="32" s="1"/>
  <c r="AF53" i="32" s="1"/>
  <c r="AG53" i="32" s="1"/>
  <c r="AH53" i="32" s="1"/>
  <c r="AI53" i="32" s="1"/>
  <c r="AJ53" i="32" s="1"/>
  <c r="AK53" i="32" s="1"/>
  <c r="AL53" i="32" s="1"/>
  <c r="AM53" i="32" s="1"/>
  <c r="AN53" i="32" s="1"/>
  <c r="AO53" i="32" s="1"/>
  <c r="BP69" i="31"/>
  <c r="BD69" i="31" s="1"/>
  <c r="BE69" i="31" s="1"/>
  <c r="BF69" i="31" s="1"/>
  <c r="BG69" i="31" s="1"/>
  <c r="BH69" i="31" s="1"/>
  <c r="BI69" i="31" s="1"/>
  <c r="BJ69" i="31" s="1"/>
  <c r="BK69" i="31" s="1"/>
  <c r="BL69" i="31" s="1"/>
  <c r="BM69" i="31" s="1"/>
  <c r="BN69" i="31" s="1"/>
  <c r="BO69" i="31" s="1"/>
  <c r="AQ69" i="31"/>
  <c r="AR69" i="31" s="1"/>
  <c r="AS69" i="31" s="1"/>
  <c r="AT69" i="31" s="1"/>
  <c r="AU69" i="31" s="1"/>
  <c r="AV69" i="31" s="1"/>
  <c r="AW69" i="31" s="1"/>
  <c r="AX69" i="31" s="1"/>
  <c r="AY69" i="31" s="1"/>
  <c r="AZ69" i="31" s="1"/>
  <c r="BA69" i="31" s="1"/>
  <c r="BB69" i="31" s="1"/>
  <c r="BC75" i="31"/>
  <c r="AD75" i="31"/>
  <c r="AE75" i="31" s="1"/>
  <c r="AF75" i="31" s="1"/>
  <c r="BC76" i="31"/>
  <c r="AD76" i="31"/>
  <c r="AE76" i="31" s="1"/>
  <c r="AF76" i="31" s="1"/>
  <c r="AG76" i="31" s="1"/>
  <c r="AH76" i="31" s="1"/>
  <c r="AI76" i="31" s="1"/>
  <c r="AJ76" i="31" s="1"/>
  <c r="AK76" i="31" s="1"/>
  <c r="AL76" i="31" s="1"/>
  <c r="AM76" i="31" s="1"/>
  <c r="AN76" i="31" s="1"/>
  <c r="AO76" i="31" s="1"/>
  <c r="BC63" i="27"/>
  <c r="AP72" i="27"/>
  <c r="BC92" i="35"/>
  <c r="AD92" i="35"/>
  <c r="L30" i="35"/>
  <c r="M30" i="35"/>
  <c r="J30" i="35"/>
  <c r="O30" i="35"/>
  <c r="K30" i="35"/>
  <c r="N30" i="35"/>
  <c r="N25" i="35" s="1"/>
  <c r="AC7" i="27"/>
  <c r="Q8" i="29"/>
  <c r="F67" i="26"/>
  <c r="AC19" i="30" s="1"/>
  <c r="Q19" i="30" s="1"/>
  <c r="R19" i="30" s="1"/>
  <c r="S19" i="30" s="1"/>
  <c r="T19" i="30" s="1"/>
  <c r="U19" i="30" s="1"/>
  <c r="V19" i="30" s="1"/>
  <c r="W19" i="30" s="1"/>
  <c r="X19" i="30" s="1"/>
  <c r="Y19" i="30" s="1"/>
  <c r="Z19" i="30" s="1"/>
  <c r="AA19" i="30" s="1"/>
  <c r="AB19" i="30" s="1"/>
  <c r="G44" i="26"/>
  <c r="AP19" i="29" s="1"/>
  <c r="J30" i="21"/>
  <c r="F29" i="26"/>
  <c r="F31" i="26" s="1"/>
  <c r="G5" i="26"/>
  <c r="G89" i="26" s="1"/>
  <c r="AP19" i="31" s="1"/>
  <c r="AD19" i="31" s="1"/>
  <c r="AE19" i="31" s="1"/>
  <c r="AF19" i="31" s="1"/>
  <c r="AG19" i="31" s="1"/>
  <c r="AH19" i="31" s="1"/>
  <c r="AI19" i="31" s="1"/>
  <c r="AJ19" i="31" s="1"/>
  <c r="AK19" i="31" s="1"/>
  <c r="AL19" i="31" s="1"/>
  <c r="AM19" i="31" s="1"/>
  <c r="AN19" i="31" s="1"/>
  <c r="AO19" i="31" s="1"/>
  <c r="F12" i="26"/>
  <c r="E9" i="26"/>
  <c r="J16" i="21"/>
  <c r="G13" i="26"/>
  <c r="G85" i="26"/>
  <c r="AP8" i="31" s="1"/>
  <c r="AD8" i="31" s="1"/>
  <c r="AE8" i="31" s="1"/>
  <c r="AF8" i="31" s="1"/>
  <c r="AG8" i="31" s="1"/>
  <c r="AH8" i="31" s="1"/>
  <c r="AI8" i="31" s="1"/>
  <c r="AJ8" i="31" s="1"/>
  <c r="AK8" i="31" s="1"/>
  <c r="AL8" i="31" s="1"/>
  <c r="AM8" i="31" s="1"/>
  <c r="AN8" i="31" s="1"/>
  <c r="AO8" i="31" s="1"/>
  <c r="G63" i="26"/>
  <c r="AP8" i="30" s="1"/>
  <c r="AD8" i="30" s="1"/>
  <c r="AE8" i="30" s="1"/>
  <c r="AF8" i="30" s="1"/>
  <c r="AG8" i="30" s="1"/>
  <c r="AH8" i="30" s="1"/>
  <c r="AI8" i="30" s="1"/>
  <c r="AJ8" i="30" s="1"/>
  <c r="AK8" i="30" s="1"/>
  <c r="AL8" i="30" s="1"/>
  <c r="AM8" i="30" s="1"/>
  <c r="AN8" i="30" s="1"/>
  <c r="AO8" i="30" s="1"/>
  <c r="I68" i="26"/>
  <c r="E12" i="21"/>
  <c r="H17" i="21"/>
  <c r="F16" i="21"/>
  <c r="F19" i="21" s="1"/>
  <c r="F20" i="21" s="1"/>
  <c r="E16" i="21"/>
  <c r="E19" i="21" s="1"/>
  <c r="E20" i="21" s="1"/>
  <c r="H19" i="21"/>
  <c r="G16" i="21"/>
  <c r="G19" i="21" s="1"/>
  <c r="G20" i="21" s="1"/>
  <c r="I16" i="21"/>
  <c r="I19" i="21" s="1"/>
  <c r="I20" i="21" s="1"/>
  <c r="S16" i="21"/>
  <c r="S17" i="21" s="1"/>
  <c r="AP8" i="29"/>
  <c r="BC125" i="27"/>
  <c r="AD125" i="27"/>
  <c r="AE125" i="27" s="1"/>
  <c r="AF125" i="27" s="1"/>
  <c r="AG125" i="27" s="1"/>
  <c r="AH125" i="27" s="1"/>
  <c r="AI125" i="27" s="1"/>
  <c r="AJ125" i="27" s="1"/>
  <c r="AK125" i="27" s="1"/>
  <c r="AL125" i="27" s="1"/>
  <c r="AM125" i="27" s="1"/>
  <c r="AN125" i="27" s="1"/>
  <c r="AO125" i="27" s="1"/>
  <c r="AC81" i="31"/>
  <c r="P82" i="31"/>
  <c r="D81" i="31"/>
  <c r="E81" i="31" s="1"/>
  <c r="F81" i="31" s="1"/>
  <c r="G81" i="31" s="1"/>
  <c r="H81" i="31" s="1"/>
  <c r="I81" i="31" s="1"/>
  <c r="J81" i="31" s="1"/>
  <c r="K81" i="31" s="1"/>
  <c r="L81" i="31" s="1"/>
  <c r="M81" i="31" s="1"/>
  <c r="N81" i="31" s="1"/>
  <c r="O81" i="31" s="1"/>
  <c r="AP80" i="31"/>
  <c r="Q80" i="31"/>
  <c r="R80" i="31" s="1"/>
  <c r="R6" i="29"/>
  <c r="Q5" i="27"/>
  <c r="AE6" i="29"/>
  <c r="AD5" i="27"/>
  <c r="AR6" i="29"/>
  <c r="AQ5" i="27"/>
  <c r="BE6" i="29"/>
  <c r="BD5" i="27"/>
  <c r="D7" i="27"/>
  <c r="D8" i="27" s="1"/>
  <c r="E8" i="29"/>
  <c r="F16" i="29"/>
  <c r="E11" i="32"/>
  <c r="E15" i="27"/>
  <c r="BC87" i="31"/>
  <c r="AD87" i="31"/>
  <c r="AE87" i="31" s="1"/>
  <c r="AF87" i="31" s="1"/>
  <c r="AG87" i="31" s="1"/>
  <c r="AH87" i="31" s="1"/>
  <c r="AI87" i="31" s="1"/>
  <c r="AJ87" i="31" s="1"/>
  <c r="AK87" i="31" s="1"/>
  <c r="AL87" i="31" s="1"/>
  <c r="AM87" i="31" s="1"/>
  <c r="AN87" i="31" s="1"/>
  <c r="AO87" i="31" s="1"/>
  <c r="BC89" i="31"/>
  <c r="AD89" i="31"/>
  <c r="AE89" i="31" s="1"/>
  <c r="AF89" i="31" s="1"/>
  <c r="AG89" i="31" s="1"/>
  <c r="AH89" i="31" s="1"/>
  <c r="AI89" i="31" s="1"/>
  <c r="AJ89" i="31" s="1"/>
  <c r="AK89" i="31" s="1"/>
  <c r="AL89" i="31" s="1"/>
  <c r="AM89" i="31" s="1"/>
  <c r="AN89" i="31" s="1"/>
  <c r="AO89" i="31" s="1"/>
  <c r="P25" i="35"/>
  <c r="E26" i="35"/>
  <c r="G26" i="35"/>
  <c r="I26" i="35"/>
  <c r="K26" i="35"/>
  <c r="L26" i="35"/>
  <c r="M26" i="35"/>
  <c r="D26" i="35"/>
  <c r="F26" i="35"/>
  <c r="H26" i="35"/>
  <c r="J26" i="35"/>
  <c r="D27" i="35"/>
  <c r="F27" i="35"/>
  <c r="H27" i="35"/>
  <c r="J27" i="35"/>
  <c r="K27" i="35"/>
  <c r="L27" i="35"/>
  <c r="E27" i="35"/>
  <c r="G27" i="35"/>
  <c r="I27" i="35"/>
  <c r="E30" i="35"/>
  <c r="G30" i="35"/>
  <c r="H30" i="35"/>
  <c r="I30" i="35"/>
  <c r="D30" i="35"/>
  <c r="F30" i="35"/>
  <c r="E29" i="35"/>
  <c r="G29" i="35"/>
  <c r="I29" i="35"/>
  <c r="K29" i="35"/>
  <c r="D29" i="35"/>
  <c r="F29" i="35"/>
  <c r="H29" i="35"/>
  <c r="J29" i="35"/>
  <c r="E31" i="35"/>
  <c r="G31" i="35"/>
  <c r="I31" i="35"/>
  <c r="K31" i="35"/>
  <c r="J31" i="35"/>
  <c r="D31" i="35"/>
  <c r="F31" i="35"/>
  <c r="H31" i="35"/>
  <c r="D32" i="35"/>
  <c r="F32" i="35"/>
  <c r="G32" i="35"/>
  <c r="I32" i="35"/>
  <c r="H32" i="35"/>
  <c r="E32" i="35"/>
  <c r="E28" i="35"/>
  <c r="G28" i="35"/>
  <c r="I28" i="35"/>
  <c r="K28" i="35"/>
  <c r="L28" i="35"/>
  <c r="M28" i="35"/>
  <c r="D28" i="35"/>
  <c r="F28" i="35"/>
  <c r="H28" i="35"/>
  <c r="J28" i="35"/>
  <c r="D21" i="35"/>
  <c r="E21" i="35"/>
  <c r="G21" i="35"/>
  <c r="F21" i="35"/>
  <c r="H21" i="35"/>
  <c r="I21" i="35"/>
  <c r="J21" i="35"/>
  <c r="K21" i="35"/>
  <c r="L21" i="35"/>
  <c r="M21" i="35"/>
  <c r="N21" i="35"/>
  <c r="O21" i="35"/>
  <c r="BC21" i="32"/>
  <c r="AD21" i="32"/>
  <c r="AE21" i="32" s="1"/>
  <c r="AF21" i="32" s="1"/>
  <c r="AG21" i="32" s="1"/>
  <c r="AH21" i="32" s="1"/>
  <c r="AI21" i="32" s="1"/>
  <c r="AJ21" i="32" s="1"/>
  <c r="AK21" i="32" s="1"/>
  <c r="AL21" i="32" s="1"/>
  <c r="AM21" i="32" s="1"/>
  <c r="AN21" i="32" s="1"/>
  <c r="AO21" i="32" s="1"/>
  <c r="BD41" i="32"/>
  <c r="AP43" i="32"/>
  <c r="BC42" i="32"/>
  <c r="AD42" i="32"/>
  <c r="BC45" i="32"/>
  <c r="AP46" i="32"/>
  <c r="AD45" i="32"/>
  <c r="BC47" i="32"/>
  <c r="AD47" i="32"/>
  <c r="BP50" i="32"/>
  <c r="BD50" i="32" s="1"/>
  <c r="BE50" i="32" s="1"/>
  <c r="BF50" i="32" s="1"/>
  <c r="AQ50" i="32"/>
  <c r="AR50" i="32" s="1"/>
  <c r="AS50" i="32" s="1"/>
  <c r="BC51" i="32"/>
  <c r="AD51" i="32"/>
  <c r="AE51" i="32" s="1"/>
  <c r="AF51" i="32" s="1"/>
  <c r="AG51" i="32" s="1"/>
  <c r="AH51" i="32" s="1"/>
  <c r="AI51" i="32" s="1"/>
  <c r="AJ51" i="32" s="1"/>
  <c r="AK51" i="32" s="1"/>
  <c r="AL51" i="32" s="1"/>
  <c r="AM51" i="32" s="1"/>
  <c r="AN51" i="32" s="1"/>
  <c r="AO51" i="32" s="1"/>
  <c r="BC52" i="32"/>
  <c r="AD52" i="32"/>
  <c r="AE52" i="32" s="1"/>
  <c r="AF52" i="32" s="1"/>
  <c r="AP21" i="30"/>
  <c r="AD21" i="30" s="1"/>
  <c r="AE21" i="30" s="1"/>
  <c r="AF21" i="30" s="1"/>
  <c r="AG21" i="30" s="1"/>
  <c r="AH21" i="30" s="1"/>
  <c r="AI21" i="30" s="1"/>
  <c r="AJ21" i="30" s="1"/>
  <c r="AK21" i="30" s="1"/>
  <c r="AL21" i="30" s="1"/>
  <c r="AM21" i="30" s="1"/>
  <c r="AN21" i="30" s="1"/>
  <c r="AO21" i="30" s="1"/>
  <c r="H70" i="26"/>
  <c r="H90" i="26"/>
  <c r="AC10" i="28"/>
  <c r="G112" i="26"/>
  <c r="G113" i="26" s="1"/>
  <c r="H27" i="22"/>
  <c r="H29" i="22" s="1"/>
  <c r="H109" i="22"/>
  <c r="H111" i="22" s="1"/>
  <c r="H86" i="22"/>
  <c r="H64" i="22"/>
  <c r="H66" i="22" s="1"/>
  <c r="I42" i="22"/>
  <c r="I44" i="22" s="1"/>
  <c r="I5" i="22"/>
  <c r="G85" i="22"/>
  <c r="G83" i="22"/>
  <c r="H77" i="22"/>
  <c r="H81" i="22" s="1"/>
  <c r="I7" i="22"/>
  <c r="I77" i="22" s="1"/>
  <c r="I81" i="22" s="1"/>
  <c r="G12" i="22"/>
  <c r="F9" i="22"/>
  <c r="H68" i="22"/>
  <c r="I67" i="22"/>
  <c r="I68" i="22" s="1"/>
  <c r="BR95" i="28"/>
  <c r="BS94" i="28"/>
  <c r="F110" i="34" s="1"/>
  <c r="F109" i="34" s="1"/>
  <c r="BR94" i="28"/>
  <c r="E110" i="34" s="1"/>
  <c r="E109" i="34" s="1"/>
  <c r="BS95" i="28"/>
  <c r="L10" i="28"/>
  <c r="J10" i="28"/>
  <c r="K10" i="28"/>
  <c r="O10" i="28"/>
  <c r="N10" i="28"/>
  <c r="M10" i="28"/>
  <c r="L73" i="22"/>
  <c r="L95" i="22"/>
  <c r="D84" i="28"/>
  <c r="D34" i="28"/>
  <c r="D91" i="28" s="1"/>
  <c r="D54" i="28"/>
  <c r="D111" i="28" s="1"/>
  <c r="E64" i="28"/>
  <c r="D48" i="28"/>
  <c r="E68" i="28"/>
  <c r="AD69" i="29"/>
  <c r="AD108" i="29" s="1"/>
  <c r="AP108" i="29" s="1"/>
  <c r="AP59" i="29"/>
  <c r="AD98" i="29"/>
  <c r="AP98" i="29" s="1"/>
  <c r="AC59" i="29"/>
  <c r="Q69" i="29"/>
  <c r="Q98" i="29"/>
  <c r="AC98" i="29" s="1"/>
  <c r="AQ69" i="29"/>
  <c r="BC59" i="29"/>
  <c r="AQ98" i="29"/>
  <c r="BC98" i="29" s="1"/>
  <c r="BP59" i="29"/>
  <c r="BD69" i="29"/>
  <c r="BD98" i="29"/>
  <c r="BP98" i="29" s="1"/>
  <c r="Q129" i="30"/>
  <c r="AC129" i="30" s="1"/>
  <c r="AC119" i="30"/>
  <c r="AQ129" i="30"/>
  <c r="BC129" i="30" s="1"/>
  <c r="BC119" i="30"/>
  <c r="AP119" i="30"/>
  <c r="AD129" i="30"/>
  <c r="AP129" i="30" s="1"/>
  <c r="BD129" i="30"/>
  <c r="BP129" i="30" s="1"/>
  <c r="BP119" i="30"/>
  <c r="X5" i="30"/>
  <c r="Y5" i="30" s="1"/>
  <c r="Z5" i="30" s="1"/>
  <c r="AA5" i="30" s="1"/>
  <c r="AB5" i="30"/>
  <c r="AC5" i="30" s="1"/>
  <c r="AK5" i="30"/>
  <c r="AL5" i="30" s="1"/>
  <c r="AM5" i="30" s="1"/>
  <c r="T13" i="9"/>
  <c r="J11" i="9"/>
  <c r="T11" i="9" s="1"/>
  <c r="D38" i="25"/>
  <c r="BC119" i="27"/>
  <c r="AD119" i="27"/>
  <c r="AE119" i="27" s="1"/>
  <c r="AF119" i="27" s="1"/>
  <c r="AG119" i="27" s="1"/>
  <c r="AH119" i="27" s="1"/>
  <c r="AI119" i="27" s="1"/>
  <c r="AJ119" i="27" s="1"/>
  <c r="AK119" i="27" s="1"/>
  <c r="AL119" i="27" s="1"/>
  <c r="AM119" i="27" s="1"/>
  <c r="AN119" i="27" s="1"/>
  <c r="AO119" i="27" s="1"/>
  <c r="Q24" i="35"/>
  <c r="Q23" i="35"/>
  <c r="AD23" i="35"/>
  <c r="D24" i="35"/>
  <c r="D23" i="35"/>
  <c r="BG76" i="35"/>
  <c r="BF75" i="35"/>
  <c r="AT76" i="35"/>
  <c r="AS75" i="35"/>
  <c r="AG76" i="35"/>
  <c r="AF75" i="35"/>
  <c r="S75" i="35"/>
  <c r="T76" i="35"/>
  <c r="G76" i="35"/>
  <c r="F75" i="35"/>
  <c r="D62" i="35"/>
  <c r="D61" i="35" s="1"/>
  <c r="P61" i="35"/>
  <c r="D17" i="35"/>
  <c r="E17" i="35"/>
  <c r="F17" i="35"/>
  <c r="G17" i="35"/>
  <c r="H17" i="35"/>
  <c r="I17" i="35"/>
  <c r="J17" i="35"/>
  <c r="K17" i="35"/>
  <c r="L17" i="35"/>
  <c r="M17" i="35"/>
  <c r="N17" i="35"/>
  <c r="O17" i="35"/>
  <c r="D18" i="35"/>
  <c r="E18" i="35"/>
  <c r="F18" i="35"/>
  <c r="G18" i="35"/>
  <c r="H18" i="35"/>
  <c r="I18" i="35"/>
  <c r="J18" i="35"/>
  <c r="K18" i="35"/>
  <c r="L18" i="35"/>
  <c r="M18" i="35"/>
  <c r="N18" i="35"/>
  <c r="O18" i="35"/>
  <c r="D20" i="35"/>
  <c r="E20" i="35"/>
  <c r="F20" i="35"/>
  <c r="G20" i="35"/>
  <c r="H20" i="35"/>
  <c r="I20" i="35"/>
  <c r="J20" i="35"/>
  <c r="K20" i="35"/>
  <c r="L20" i="35"/>
  <c r="M20" i="35"/>
  <c r="N20" i="35"/>
  <c r="O20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D13" i="35"/>
  <c r="E13" i="35"/>
  <c r="F13" i="35"/>
  <c r="G13" i="35"/>
  <c r="H13" i="35"/>
  <c r="I13" i="35"/>
  <c r="J13" i="35"/>
  <c r="K13" i="35"/>
  <c r="L13" i="35"/>
  <c r="M13" i="35"/>
  <c r="N13" i="35"/>
  <c r="O13" i="35"/>
  <c r="D7" i="35"/>
  <c r="E7" i="35"/>
  <c r="F7" i="35"/>
  <c r="G7" i="35"/>
  <c r="H7" i="35"/>
  <c r="I7" i="35"/>
  <c r="J7" i="35"/>
  <c r="K7" i="35"/>
  <c r="L7" i="35"/>
  <c r="M7" i="35"/>
  <c r="N7" i="35"/>
  <c r="O7" i="35"/>
  <c r="D6" i="35"/>
  <c r="E6" i="35"/>
  <c r="F6" i="35"/>
  <c r="G6" i="35"/>
  <c r="H6" i="35"/>
  <c r="I6" i="35"/>
  <c r="J6" i="35"/>
  <c r="K6" i="35"/>
  <c r="L6" i="35"/>
  <c r="M6" i="35"/>
  <c r="N6" i="35"/>
  <c r="O6" i="35"/>
  <c r="AC30" i="35"/>
  <c r="AC26" i="35"/>
  <c r="AC28" i="35"/>
  <c r="AC29" i="35"/>
  <c r="AC31" i="35"/>
  <c r="AC32" i="35"/>
  <c r="AC20" i="35"/>
  <c r="AC21" i="35"/>
  <c r="AC27" i="35"/>
  <c r="AC37" i="35"/>
  <c r="AP1" i="35"/>
  <c r="AC6" i="35"/>
  <c r="AC7" i="35"/>
  <c r="AC8" i="35"/>
  <c r="AC9" i="35"/>
  <c r="AC10" i="35"/>
  <c r="AC11" i="35"/>
  <c r="AC12" i="35"/>
  <c r="AC13" i="35"/>
  <c r="AC14" i="35"/>
  <c r="AC15" i="35"/>
  <c r="AC16" i="35"/>
  <c r="AC17" i="35"/>
  <c r="AC18" i="35"/>
  <c r="AC19" i="35"/>
  <c r="AC62" i="35"/>
  <c r="AC65" i="35"/>
  <c r="Q65" i="35" s="1"/>
  <c r="AC64" i="35"/>
  <c r="Q64" i="35" s="1"/>
  <c r="AC69" i="35"/>
  <c r="Q69" i="35" s="1"/>
  <c r="AC63" i="35"/>
  <c r="Q63" i="35" s="1"/>
  <c r="AC66" i="35"/>
  <c r="Q66" i="35" s="1"/>
  <c r="AC67" i="35"/>
  <c r="Q67" i="35" s="1"/>
  <c r="Q1" i="35"/>
  <c r="R1" i="35" s="1"/>
  <c r="S1" i="35" s="1"/>
  <c r="T1" i="35" s="1"/>
  <c r="U1" i="35" s="1"/>
  <c r="V1" i="35" s="1"/>
  <c r="W1" i="35" s="1"/>
  <c r="X1" i="35" s="1"/>
  <c r="Y1" i="35" s="1"/>
  <c r="Z1" i="35" s="1"/>
  <c r="AA1" i="35" s="1"/>
  <c r="AB1" i="35" s="1"/>
  <c r="D16" i="35"/>
  <c r="E16" i="35"/>
  <c r="F16" i="35"/>
  <c r="G16" i="35"/>
  <c r="H16" i="35"/>
  <c r="I16" i="35"/>
  <c r="J16" i="35"/>
  <c r="K16" i="35"/>
  <c r="L16" i="35"/>
  <c r="M16" i="35"/>
  <c r="N16" i="35"/>
  <c r="O16" i="35"/>
  <c r="D11" i="35"/>
  <c r="E11" i="35"/>
  <c r="F11" i="35"/>
  <c r="G11" i="35"/>
  <c r="H11" i="35"/>
  <c r="I11" i="35"/>
  <c r="J11" i="35"/>
  <c r="K11" i="35"/>
  <c r="L11" i="35"/>
  <c r="M11" i="35"/>
  <c r="N11" i="35"/>
  <c r="O11" i="35"/>
  <c r="D10" i="35"/>
  <c r="E10" i="35"/>
  <c r="F10" i="35"/>
  <c r="G10" i="35"/>
  <c r="H10" i="35"/>
  <c r="I10" i="35"/>
  <c r="J10" i="35"/>
  <c r="K10" i="35"/>
  <c r="L10" i="35"/>
  <c r="M10" i="35"/>
  <c r="N10" i="35"/>
  <c r="O10" i="35"/>
  <c r="D9" i="35"/>
  <c r="E9" i="35"/>
  <c r="F9" i="35"/>
  <c r="G9" i="35"/>
  <c r="H9" i="35"/>
  <c r="I9" i="35"/>
  <c r="J9" i="35"/>
  <c r="K9" i="35"/>
  <c r="L9" i="35"/>
  <c r="M9" i="35"/>
  <c r="N9" i="35"/>
  <c r="O9" i="35"/>
  <c r="D19" i="35"/>
  <c r="E19" i="35"/>
  <c r="F19" i="35"/>
  <c r="G19" i="35"/>
  <c r="H19" i="35"/>
  <c r="I19" i="35"/>
  <c r="J19" i="35"/>
  <c r="K19" i="35"/>
  <c r="L19" i="35"/>
  <c r="M19" i="35"/>
  <c r="N19" i="35"/>
  <c r="O19" i="35"/>
  <c r="D8" i="35"/>
  <c r="E8" i="35"/>
  <c r="F8" i="35"/>
  <c r="G8" i="35"/>
  <c r="H8" i="35"/>
  <c r="I8" i="35"/>
  <c r="J8" i="35"/>
  <c r="K8" i="35"/>
  <c r="L8" i="35"/>
  <c r="M8" i="35"/>
  <c r="N8" i="35"/>
  <c r="O8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C103" i="36"/>
  <c r="C57" i="36"/>
  <c r="C97" i="36"/>
  <c r="C52" i="36"/>
  <c r="D9" i="27"/>
  <c r="D5" i="32"/>
  <c r="E10" i="29"/>
  <c r="D11" i="27"/>
  <c r="E12" i="29"/>
  <c r="D7" i="32"/>
  <c r="V62" i="23"/>
  <c r="W62" i="23"/>
  <c r="I78" i="34"/>
  <c r="I21" i="34" s="1"/>
  <c r="AC9" i="27"/>
  <c r="Q10" i="29"/>
  <c r="AP10" i="29"/>
  <c r="AP10" i="30"/>
  <c r="AD10" i="30" s="1"/>
  <c r="AE10" i="30" s="1"/>
  <c r="AF10" i="30" s="1"/>
  <c r="AG10" i="30" s="1"/>
  <c r="AH10" i="30" s="1"/>
  <c r="AI10" i="30" s="1"/>
  <c r="AJ10" i="30" s="1"/>
  <c r="AK10" i="30" s="1"/>
  <c r="AL10" i="30" s="1"/>
  <c r="AM10" i="30" s="1"/>
  <c r="AN10" i="30" s="1"/>
  <c r="AO10" i="30" s="1"/>
  <c r="BC100" i="27"/>
  <c r="AP10" i="31"/>
  <c r="AD10" i="31" s="1"/>
  <c r="AE10" i="31" s="1"/>
  <c r="AF10" i="31" s="1"/>
  <c r="AG10" i="31" s="1"/>
  <c r="AH10" i="31" s="1"/>
  <c r="AI10" i="31" s="1"/>
  <c r="AJ10" i="31" s="1"/>
  <c r="AK10" i="31" s="1"/>
  <c r="AL10" i="31" s="1"/>
  <c r="AM10" i="31" s="1"/>
  <c r="AN10" i="31" s="1"/>
  <c r="AO10" i="31" s="1"/>
  <c r="AD100" i="27"/>
  <c r="AE100" i="27" s="1"/>
  <c r="AF100" i="27" s="1"/>
  <c r="AG100" i="27" s="1"/>
  <c r="AH100" i="27" s="1"/>
  <c r="AI100" i="27" s="1"/>
  <c r="AJ100" i="27" s="1"/>
  <c r="AK100" i="27" s="1"/>
  <c r="AL100" i="27" s="1"/>
  <c r="AM100" i="27" s="1"/>
  <c r="AN100" i="27" s="1"/>
  <c r="AO100" i="27" s="1"/>
  <c r="BC101" i="27"/>
  <c r="AP12" i="31"/>
  <c r="AD12" i="31" s="1"/>
  <c r="AE12" i="31" s="1"/>
  <c r="AF12" i="31" s="1"/>
  <c r="AG12" i="31" s="1"/>
  <c r="AH12" i="31" s="1"/>
  <c r="AI12" i="31" s="1"/>
  <c r="AJ12" i="31" s="1"/>
  <c r="AK12" i="31" s="1"/>
  <c r="AL12" i="31" s="1"/>
  <c r="AM12" i="31" s="1"/>
  <c r="AN12" i="31" s="1"/>
  <c r="AO12" i="31" s="1"/>
  <c r="AP12" i="29"/>
  <c r="AP12" i="30"/>
  <c r="AD12" i="30" s="1"/>
  <c r="AE12" i="30" s="1"/>
  <c r="AF12" i="30" s="1"/>
  <c r="AG12" i="30" s="1"/>
  <c r="AH12" i="30" s="1"/>
  <c r="AI12" i="30" s="1"/>
  <c r="AJ12" i="30" s="1"/>
  <c r="AK12" i="30" s="1"/>
  <c r="AL12" i="30" s="1"/>
  <c r="AM12" i="30" s="1"/>
  <c r="AN12" i="30" s="1"/>
  <c r="AO12" i="30" s="1"/>
  <c r="AD101" i="27"/>
  <c r="AE101" i="27" s="1"/>
  <c r="AF101" i="27" s="1"/>
  <c r="AG101" i="27" s="1"/>
  <c r="AH101" i="27" s="1"/>
  <c r="AI101" i="27" s="1"/>
  <c r="AJ101" i="27" s="1"/>
  <c r="AK101" i="27" s="1"/>
  <c r="AL101" i="27" s="1"/>
  <c r="AM101" i="27" s="1"/>
  <c r="AN101" i="27" s="1"/>
  <c r="AO101" i="27" s="1"/>
  <c r="AC11" i="27"/>
  <c r="Q12" i="29"/>
  <c r="E23" i="30"/>
  <c r="E39" i="30" s="1"/>
  <c r="E23" i="31"/>
  <c r="E39" i="31" s="1"/>
  <c r="E104" i="27"/>
  <c r="F103" i="27"/>
  <c r="AP104" i="27"/>
  <c r="BC103" i="27"/>
  <c r="AP23" i="30"/>
  <c r="AP39" i="30" s="1"/>
  <c r="AP23" i="31"/>
  <c r="AP39" i="31" s="1"/>
  <c r="BC106" i="27"/>
  <c r="AP26" i="30"/>
  <c r="AP42" i="30" s="1"/>
  <c r="AP26" i="31"/>
  <c r="AP42" i="31" s="1"/>
  <c r="AC27" i="30"/>
  <c r="AC43" i="30" s="1"/>
  <c r="AP107" i="27"/>
  <c r="AP105" i="27" s="1"/>
  <c r="AC27" i="31"/>
  <c r="AC43" i="31" s="1"/>
  <c r="AC28" i="31"/>
  <c r="AC44" i="31" s="1"/>
  <c r="AP108" i="27"/>
  <c r="AC28" i="30"/>
  <c r="AC44" i="30" s="1"/>
  <c r="AP54" i="32"/>
  <c r="AD54" i="32" s="1"/>
  <c r="AE54" i="32" s="1"/>
  <c r="AF54" i="32" s="1"/>
  <c r="AG54" i="32" s="1"/>
  <c r="AH54" i="32" s="1"/>
  <c r="AI54" i="32" s="1"/>
  <c r="AJ54" i="32" s="1"/>
  <c r="AK54" i="32" s="1"/>
  <c r="AL54" i="32" s="1"/>
  <c r="AM54" i="32" s="1"/>
  <c r="AN54" i="32" s="1"/>
  <c r="AO54" i="32" s="1"/>
  <c r="BC110" i="27"/>
  <c r="AD110" i="27"/>
  <c r="AE110" i="27" s="1"/>
  <c r="AF110" i="27" s="1"/>
  <c r="AG110" i="27" s="1"/>
  <c r="AH110" i="27" s="1"/>
  <c r="AI110" i="27" s="1"/>
  <c r="AJ110" i="27" s="1"/>
  <c r="AK110" i="27" s="1"/>
  <c r="AL110" i="27" s="1"/>
  <c r="AM110" i="27" s="1"/>
  <c r="AN110" i="27" s="1"/>
  <c r="AO110" i="27" s="1"/>
  <c r="AC32" i="29"/>
  <c r="AP112" i="27"/>
  <c r="AC84" i="30"/>
  <c r="AP113" i="27"/>
  <c r="BP74" i="30"/>
  <c r="BD74" i="30" s="1"/>
  <c r="BE74" i="30" s="1"/>
  <c r="BF74" i="30" s="1"/>
  <c r="BG74" i="30" s="1"/>
  <c r="BH74" i="30" s="1"/>
  <c r="BI74" i="30" s="1"/>
  <c r="BJ74" i="30" s="1"/>
  <c r="BK74" i="30" s="1"/>
  <c r="BL74" i="30" s="1"/>
  <c r="BM74" i="30" s="1"/>
  <c r="BN74" i="30" s="1"/>
  <c r="BO74" i="30" s="1"/>
  <c r="BP74" i="31"/>
  <c r="BD74" i="31" s="1"/>
  <c r="BE74" i="31" s="1"/>
  <c r="BF74" i="31" s="1"/>
  <c r="BG74" i="31" s="1"/>
  <c r="BH74" i="31" s="1"/>
  <c r="BI74" i="31" s="1"/>
  <c r="BJ74" i="31" s="1"/>
  <c r="BK74" i="31" s="1"/>
  <c r="BL74" i="31" s="1"/>
  <c r="BM74" i="31" s="1"/>
  <c r="BN74" i="31" s="1"/>
  <c r="BO74" i="31" s="1"/>
  <c r="BC118" i="27"/>
  <c r="AD118" i="27"/>
  <c r="AE118" i="27" s="1"/>
  <c r="AF118" i="27" s="1"/>
  <c r="AG118" i="27" s="1"/>
  <c r="AH118" i="27" s="1"/>
  <c r="AI118" i="27" s="1"/>
  <c r="AJ118" i="27" s="1"/>
  <c r="AK118" i="27" s="1"/>
  <c r="AL118" i="27" s="1"/>
  <c r="AM118" i="27" s="1"/>
  <c r="AN118" i="27" s="1"/>
  <c r="AO118" i="27" s="1"/>
  <c r="BC122" i="27"/>
  <c r="AD122" i="27"/>
  <c r="AE122" i="27" s="1"/>
  <c r="AF122" i="27" s="1"/>
  <c r="AG122" i="27" s="1"/>
  <c r="AH122" i="27" s="1"/>
  <c r="AI122" i="27" s="1"/>
  <c r="AJ122" i="27" s="1"/>
  <c r="AK122" i="27" s="1"/>
  <c r="AL122" i="27" s="1"/>
  <c r="AM122" i="27" s="1"/>
  <c r="AN122" i="27" s="1"/>
  <c r="AO122" i="27" s="1"/>
  <c r="BC123" i="27"/>
  <c r="AD123" i="27"/>
  <c r="AE123" i="27" s="1"/>
  <c r="AF123" i="27" s="1"/>
  <c r="AG123" i="27" s="1"/>
  <c r="AH123" i="27" s="1"/>
  <c r="AI123" i="27" s="1"/>
  <c r="AJ123" i="27" s="1"/>
  <c r="AK123" i="27" s="1"/>
  <c r="AL123" i="27" s="1"/>
  <c r="AM123" i="27" s="1"/>
  <c r="AN123" i="27" s="1"/>
  <c r="AO123" i="27" s="1"/>
  <c r="BC126" i="27"/>
  <c r="AD126" i="27"/>
  <c r="AE126" i="27" s="1"/>
  <c r="AF126" i="27" s="1"/>
  <c r="AG126" i="27" s="1"/>
  <c r="AH126" i="27" s="1"/>
  <c r="AI126" i="27" s="1"/>
  <c r="AJ126" i="27" s="1"/>
  <c r="AK126" i="27" s="1"/>
  <c r="AL126" i="27" s="1"/>
  <c r="AM126" i="27" s="1"/>
  <c r="AN126" i="27" s="1"/>
  <c r="AO126" i="27" s="1"/>
  <c r="BC127" i="27"/>
  <c r="AD127" i="27"/>
  <c r="AE127" i="27" s="1"/>
  <c r="AF127" i="27" s="1"/>
  <c r="AG127" i="27" s="1"/>
  <c r="AH127" i="27" s="1"/>
  <c r="AI127" i="27" s="1"/>
  <c r="AJ127" i="27" s="1"/>
  <c r="AK127" i="27" s="1"/>
  <c r="AL127" i="27" s="1"/>
  <c r="AM127" i="27" s="1"/>
  <c r="AN127" i="27" s="1"/>
  <c r="AO127" i="27" s="1"/>
  <c r="BC128" i="27"/>
  <c r="AD128" i="27"/>
  <c r="AE128" i="27" s="1"/>
  <c r="AF128" i="27" s="1"/>
  <c r="AG128" i="27" s="1"/>
  <c r="AH128" i="27" s="1"/>
  <c r="AI128" i="27" s="1"/>
  <c r="AJ128" i="27" s="1"/>
  <c r="AK128" i="27" s="1"/>
  <c r="AL128" i="27" s="1"/>
  <c r="AM128" i="27" s="1"/>
  <c r="AN128" i="27" s="1"/>
  <c r="AO128" i="27" s="1"/>
  <c r="BC129" i="27"/>
  <c r="AD129" i="27"/>
  <c r="AE129" i="27" s="1"/>
  <c r="AF129" i="27" s="1"/>
  <c r="AG129" i="27" s="1"/>
  <c r="AH129" i="27" s="1"/>
  <c r="AI129" i="27" s="1"/>
  <c r="AJ129" i="27" s="1"/>
  <c r="AK129" i="27" s="1"/>
  <c r="AL129" i="27" s="1"/>
  <c r="AM129" i="27" s="1"/>
  <c r="AN129" i="27" s="1"/>
  <c r="AO129" i="27" s="1"/>
  <c r="BC130" i="27"/>
  <c r="AD130" i="27"/>
  <c r="AE130" i="27" s="1"/>
  <c r="AF130" i="27" s="1"/>
  <c r="AG130" i="27" s="1"/>
  <c r="AH130" i="27" s="1"/>
  <c r="AI130" i="27" s="1"/>
  <c r="AJ130" i="27" s="1"/>
  <c r="AK130" i="27" s="1"/>
  <c r="AL130" i="27" s="1"/>
  <c r="AM130" i="27" s="1"/>
  <c r="AN130" i="27" s="1"/>
  <c r="AO130" i="27" s="1"/>
  <c r="BC131" i="27"/>
  <c r="AD131" i="27"/>
  <c r="AE131" i="27" s="1"/>
  <c r="AF131" i="27" s="1"/>
  <c r="AG131" i="27" s="1"/>
  <c r="AH131" i="27" s="1"/>
  <c r="AI131" i="27" s="1"/>
  <c r="AJ131" i="27" s="1"/>
  <c r="AK131" i="27" s="1"/>
  <c r="AL131" i="27" s="1"/>
  <c r="AM131" i="27" s="1"/>
  <c r="AN131" i="27" s="1"/>
  <c r="AO131" i="27" s="1"/>
  <c r="BC133" i="27"/>
  <c r="AD133" i="27"/>
  <c r="AE133" i="27" s="1"/>
  <c r="AF133" i="27" s="1"/>
  <c r="BC134" i="27"/>
  <c r="AD134" i="27"/>
  <c r="AE134" i="27" s="1"/>
  <c r="AF134" i="27" s="1"/>
  <c r="AG134" i="27" s="1"/>
  <c r="AH134" i="27" s="1"/>
  <c r="AI134" i="27" s="1"/>
  <c r="AJ134" i="27" s="1"/>
  <c r="AK134" i="27" s="1"/>
  <c r="AL134" i="27" s="1"/>
  <c r="AM134" i="27" s="1"/>
  <c r="AN134" i="27" s="1"/>
  <c r="AO134" i="27" s="1"/>
  <c r="BC135" i="27"/>
  <c r="AD135" i="27"/>
  <c r="AE135" i="27" s="1"/>
  <c r="AF135" i="27" s="1"/>
  <c r="AG135" i="27" s="1"/>
  <c r="AH135" i="27" s="1"/>
  <c r="AI135" i="27" s="1"/>
  <c r="AJ135" i="27" s="1"/>
  <c r="AK135" i="27" s="1"/>
  <c r="AL135" i="27" s="1"/>
  <c r="AM135" i="27" s="1"/>
  <c r="AN135" i="27" s="1"/>
  <c r="AO135" i="27" s="1"/>
  <c r="BC136" i="27"/>
  <c r="AD136" i="27"/>
  <c r="AE136" i="27" s="1"/>
  <c r="AF136" i="27" s="1"/>
  <c r="AG136" i="27" s="1"/>
  <c r="AH136" i="27" s="1"/>
  <c r="AI136" i="27" s="1"/>
  <c r="AJ136" i="27" s="1"/>
  <c r="AK136" i="27" s="1"/>
  <c r="AL136" i="27" s="1"/>
  <c r="AM136" i="27" s="1"/>
  <c r="AN136" i="27" s="1"/>
  <c r="AO136" i="27" s="1"/>
  <c r="BC137" i="27"/>
  <c r="AD137" i="27"/>
  <c r="AE137" i="27" s="1"/>
  <c r="AF137" i="27" s="1"/>
  <c r="AG137" i="27" s="1"/>
  <c r="AH137" i="27" s="1"/>
  <c r="AI137" i="27" s="1"/>
  <c r="AJ137" i="27" s="1"/>
  <c r="AK137" i="27" s="1"/>
  <c r="AL137" i="27" s="1"/>
  <c r="AM137" i="27" s="1"/>
  <c r="AN137" i="27" s="1"/>
  <c r="AO137" i="27" s="1"/>
  <c r="AD103" i="27"/>
  <c r="AE103" i="27" s="1"/>
  <c r="AD106" i="27"/>
  <c r="AE106" i="27"/>
  <c r="AC105" i="27"/>
  <c r="Q107" i="27"/>
  <c r="Q113" i="27"/>
  <c r="R113" i="27" s="1"/>
  <c r="S113" i="27" s="1"/>
  <c r="T113" i="27" s="1"/>
  <c r="U113" i="27" s="1"/>
  <c r="V113" i="27" s="1"/>
  <c r="W113" i="27" s="1"/>
  <c r="X113" i="27" s="1"/>
  <c r="Y113" i="27" s="1"/>
  <c r="Z113" i="27" s="1"/>
  <c r="AA113" i="27" s="1"/>
  <c r="AB113" i="27" s="1"/>
  <c r="AQ84" i="31"/>
  <c r="AR84" i="31" s="1"/>
  <c r="AS84" i="31" s="1"/>
  <c r="AT84" i="31" s="1"/>
  <c r="AU84" i="31" s="1"/>
  <c r="AV84" i="31" s="1"/>
  <c r="AW84" i="31" s="1"/>
  <c r="AX84" i="31" s="1"/>
  <c r="AY84" i="31" s="1"/>
  <c r="AZ84" i="31" s="1"/>
  <c r="BA84" i="31" s="1"/>
  <c r="BB84" i="31" s="1"/>
  <c r="BP84" i="31"/>
  <c r="BD84" i="31" s="1"/>
  <c r="BE84" i="31" s="1"/>
  <c r="BF84" i="31" s="1"/>
  <c r="BD114" i="27"/>
  <c r="BE114" i="27" s="1"/>
  <c r="BF114" i="27" s="1"/>
  <c r="BG114" i="27" s="1"/>
  <c r="BH114" i="27" s="1"/>
  <c r="BI114" i="27" s="1"/>
  <c r="BJ114" i="27" s="1"/>
  <c r="BK114" i="27" s="1"/>
  <c r="BL114" i="27" s="1"/>
  <c r="BM114" i="27" s="1"/>
  <c r="BN114" i="27" s="1"/>
  <c r="BO114" i="27" s="1"/>
  <c r="D74" i="31"/>
  <c r="E74" i="31" s="1"/>
  <c r="F74" i="31" s="1"/>
  <c r="G74" i="31" s="1"/>
  <c r="H74" i="31" s="1"/>
  <c r="I74" i="31" s="1"/>
  <c r="J74" i="31" s="1"/>
  <c r="K74" i="31" s="1"/>
  <c r="L74" i="31" s="1"/>
  <c r="M74" i="31" s="1"/>
  <c r="N74" i="31" s="1"/>
  <c r="O74" i="31" s="1"/>
  <c r="Q74" i="31"/>
  <c r="R74" i="31"/>
  <c r="S74" i="31" s="1"/>
  <c r="T74" i="31" s="1"/>
  <c r="U74" i="31" s="1"/>
  <c r="V74" i="31" s="1"/>
  <c r="W74" i="31" s="1"/>
  <c r="X74" i="31" s="1"/>
  <c r="Y74" i="31" s="1"/>
  <c r="Z74" i="31" s="1"/>
  <c r="AA74" i="31" s="1"/>
  <c r="AB74" i="31" s="1"/>
  <c r="AD74" i="31"/>
  <c r="AE74" i="31" s="1"/>
  <c r="AF74" i="31" s="1"/>
  <c r="AG74" i="31" s="1"/>
  <c r="AH74" i="31" s="1"/>
  <c r="AI74" i="31" s="1"/>
  <c r="AJ74" i="31" s="1"/>
  <c r="AK74" i="31" s="1"/>
  <c r="AL74" i="31" s="1"/>
  <c r="AM74" i="31" s="1"/>
  <c r="AN74" i="31" s="1"/>
  <c r="AO74" i="31" s="1"/>
  <c r="AQ74" i="30"/>
  <c r="AR74" i="30" s="1"/>
  <c r="AS74" i="30" s="1"/>
  <c r="AT74" i="30" s="1"/>
  <c r="AU74" i="30" s="1"/>
  <c r="AV74" i="30" s="1"/>
  <c r="AW74" i="30" s="1"/>
  <c r="AX74" i="30" s="1"/>
  <c r="AY74" i="30" s="1"/>
  <c r="AZ74" i="30" s="1"/>
  <c r="BA74" i="30" s="1"/>
  <c r="BB74" i="30" s="1"/>
  <c r="BD116" i="27"/>
  <c r="BE116" i="27" s="1"/>
  <c r="BF116" i="27" s="1"/>
  <c r="BG116" i="27" s="1"/>
  <c r="BH116" i="27" s="1"/>
  <c r="BI116" i="27" s="1"/>
  <c r="BJ116" i="27" s="1"/>
  <c r="BK116" i="27" s="1"/>
  <c r="BL116" i="27" s="1"/>
  <c r="BM116" i="27" s="1"/>
  <c r="BN116" i="27" s="1"/>
  <c r="BO116" i="27" s="1"/>
  <c r="W24" i="25"/>
  <c r="G84" i="36" s="1"/>
  <c r="V24" i="25"/>
  <c r="F84" i="36" s="1"/>
  <c r="E12" i="34"/>
  <c r="E14" i="34"/>
  <c r="S84" i="34"/>
  <c r="E9" i="34"/>
  <c r="F24" i="25"/>
  <c r="F93" i="25"/>
  <c r="BC82" i="30"/>
  <c r="AD82" i="30"/>
  <c r="AE82" i="30" s="1"/>
  <c r="AF82" i="30" s="1"/>
  <c r="AG82" i="30" s="1"/>
  <c r="AH82" i="30" s="1"/>
  <c r="AI82" i="30" s="1"/>
  <c r="AJ82" i="30" s="1"/>
  <c r="AK82" i="30" s="1"/>
  <c r="AL82" i="30" s="1"/>
  <c r="AM82" i="30" s="1"/>
  <c r="AN82" i="30" s="1"/>
  <c r="AO82" i="30" s="1"/>
  <c r="N108" i="29"/>
  <c r="P108" i="29" s="1"/>
  <c r="P69" i="29"/>
  <c r="AP69" i="29"/>
  <c r="BC71" i="28"/>
  <c r="AD71" i="28"/>
  <c r="AE71" i="28" s="1"/>
  <c r="AF71" i="28" s="1"/>
  <c r="E27" i="28"/>
  <c r="E86" i="28"/>
  <c r="BP20" i="28"/>
  <c r="BD20" i="28" s="1"/>
  <c r="BE20" i="28" s="1"/>
  <c r="BF20" i="28" s="1"/>
  <c r="BG20" i="28" s="1"/>
  <c r="BH20" i="28" s="1"/>
  <c r="BI20" i="28" s="1"/>
  <c r="BJ20" i="28" s="1"/>
  <c r="BK20" i="28" s="1"/>
  <c r="BL20" i="28" s="1"/>
  <c r="BM20" i="28" s="1"/>
  <c r="BN20" i="28" s="1"/>
  <c r="BO20" i="28" s="1"/>
  <c r="AQ20" i="28"/>
  <c r="AR20" i="28" s="1"/>
  <c r="AS20" i="28" s="1"/>
  <c r="AT20" i="28" s="1"/>
  <c r="AU20" i="28" s="1"/>
  <c r="AV20" i="28" s="1"/>
  <c r="AW20" i="28" s="1"/>
  <c r="AX20" i="28" s="1"/>
  <c r="AY20" i="28" s="1"/>
  <c r="AZ20" i="28" s="1"/>
  <c r="BA20" i="28" s="1"/>
  <c r="BB20" i="28" s="1"/>
  <c r="G24" i="28"/>
  <c r="F29" i="28"/>
  <c r="BC24" i="28"/>
  <c r="AD24" i="28"/>
  <c r="AE24" i="28" s="1"/>
  <c r="AF24" i="28" s="1"/>
  <c r="AG24" i="28" s="1"/>
  <c r="AH24" i="28" s="1"/>
  <c r="AI24" i="28" s="1"/>
  <c r="AJ24" i="28" s="1"/>
  <c r="AK24" i="28" s="1"/>
  <c r="AL24" i="28" s="1"/>
  <c r="AM24" i="28" s="1"/>
  <c r="AN24" i="28" s="1"/>
  <c r="AO24" i="28" s="1"/>
  <c r="AP64" i="28"/>
  <c r="Q64" i="28"/>
  <c r="R64" i="28" s="1"/>
  <c r="S64" i="28" s="1"/>
  <c r="BC65" i="28"/>
  <c r="AD65" i="28"/>
  <c r="AE65" i="28" s="1"/>
  <c r="AF65" i="28" s="1"/>
  <c r="AP67" i="28"/>
  <c r="Q67" i="28"/>
  <c r="R67" i="28" s="1"/>
  <c r="S67" i="28" s="1"/>
  <c r="T67" i="28" s="1"/>
  <c r="U67" i="28" s="1"/>
  <c r="V67" i="28" s="1"/>
  <c r="W67" i="28" s="1"/>
  <c r="X67" i="28" s="1"/>
  <c r="Y67" i="28" s="1"/>
  <c r="Z67" i="28" s="1"/>
  <c r="AA67" i="28" s="1"/>
  <c r="AB67" i="28" s="1"/>
  <c r="AP68" i="28"/>
  <c r="Q68" i="28"/>
  <c r="R68" i="28" s="1"/>
  <c r="S68" i="28" s="1"/>
  <c r="T68" i="28" s="1"/>
  <c r="U68" i="28" s="1"/>
  <c r="V68" i="28" s="1"/>
  <c r="W68" i="28" s="1"/>
  <c r="X68" i="28" s="1"/>
  <c r="Y68" i="28" s="1"/>
  <c r="Z68" i="28" s="1"/>
  <c r="AA68" i="28" s="1"/>
  <c r="AB68" i="28" s="1"/>
  <c r="AP69" i="28"/>
  <c r="Q69" i="28"/>
  <c r="R69" i="28" s="1"/>
  <c r="S69" i="28" s="1"/>
  <c r="T69" i="28" s="1"/>
  <c r="U69" i="28" s="1"/>
  <c r="V69" i="28" s="1"/>
  <c r="W69" i="28" s="1"/>
  <c r="X69" i="28" s="1"/>
  <c r="Y69" i="28" s="1"/>
  <c r="Z69" i="28" s="1"/>
  <c r="AA69" i="28" s="1"/>
  <c r="AB69" i="28" s="1"/>
  <c r="AP81" i="30"/>
  <c r="Q81" i="30"/>
  <c r="R81" i="30" s="1"/>
  <c r="S81" i="30" s="1"/>
  <c r="T81" i="30" s="1"/>
  <c r="U81" i="30" s="1"/>
  <c r="V81" i="30" s="1"/>
  <c r="W81" i="30" s="1"/>
  <c r="X81" i="30" s="1"/>
  <c r="Y81" i="30" s="1"/>
  <c r="Z81" i="30" s="1"/>
  <c r="AA81" i="30" s="1"/>
  <c r="AB81" i="30" s="1"/>
  <c r="K5" i="27"/>
  <c r="L6" i="29"/>
  <c r="BC30" i="29"/>
  <c r="AD30" i="29"/>
  <c r="AE30" i="29" s="1"/>
  <c r="AF30" i="29" s="1"/>
  <c r="AG30" i="29" s="1"/>
  <c r="AH30" i="29" s="1"/>
  <c r="AI30" i="29" s="1"/>
  <c r="AJ30" i="29" s="1"/>
  <c r="AK30" i="29" s="1"/>
  <c r="AL30" i="29" s="1"/>
  <c r="AM30" i="29" s="1"/>
  <c r="AN30" i="29" s="1"/>
  <c r="AO30" i="29" s="1"/>
  <c r="BC33" i="29"/>
  <c r="AD33" i="29"/>
  <c r="AE33" i="29" s="1"/>
  <c r="H5" i="29"/>
  <c r="I5" i="29" s="1"/>
  <c r="J5" i="29" s="1"/>
  <c r="K5" i="29" s="1"/>
  <c r="L5" i="29" s="1"/>
  <c r="M5" i="29" s="1"/>
  <c r="N5" i="29" s="1"/>
  <c r="O5" i="29" s="1"/>
  <c r="P5" i="29" s="1"/>
  <c r="U5" i="29"/>
  <c r="V5" i="29" s="1"/>
  <c r="W5" i="29" s="1"/>
  <c r="AH5" i="29"/>
  <c r="AI5" i="29" s="1"/>
  <c r="AJ5" i="29" s="1"/>
  <c r="AK5" i="29" s="1"/>
  <c r="AL5" i="29" s="1"/>
  <c r="AM5" i="29" s="1"/>
  <c r="AN5" i="29" s="1"/>
  <c r="AO5" i="29" s="1"/>
  <c r="AP5" i="29" s="1"/>
  <c r="AU5" i="29"/>
  <c r="AV5" i="29" s="1"/>
  <c r="AW5" i="29" s="1"/>
  <c r="AX5" i="29" s="1"/>
  <c r="BL5" i="29"/>
  <c r="BM5" i="29" s="1"/>
  <c r="BN5" i="29" s="1"/>
  <c r="BO5" i="29" s="1"/>
  <c r="BP5" i="29" s="1"/>
  <c r="BC67" i="31"/>
  <c r="AD67" i="31"/>
  <c r="AE67" i="31" s="1"/>
  <c r="AF67" i="31" s="1"/>
  <c r="AG67" i="31" s="1"/>
  <c r="AH67" i="31" s="1"/>
  <c r="AI67" i="31" s="1"/>
  <c r="AJ67" i="31" s="1"/>
  <c r="AK67" i="31" s="1"/>
  <c r="AL67" i="31" s="1"/>
  <c r="AM67" i="31" s="1"/>
  <c r="AN67" i="31" s="1"/>
  <c r="AO67" i="31" s="1"/>
  <c r="BP72" i="31"/>
  <c r="BD72" i="31" s="1"/>
  <c r="BE72" i="31" s="1"/>
  <c r="BF72" i="31" s="1"/>
  <c r="BG72" i="31" s="1"/>
  <c r="BH72" i="31" s="1"/>
  <c r="BI72" i="31" s="1"/>
  <c r="BJ72" i="31" s="1"/>
  <c r="BK72" i="31" s="1"/>
  <c r="BL72" i="31" s="1"/>
  <c r="BM72" i="31" s="1"/>
  <c r="BN72" i="31" s="1"/>
  <c r="BO72" i="31" s="1"/>
  <c r="AQ72" i="31"/>
  <c r="AR72" i="31" s="1"/>
  <c r="AS72" i="31" s="1"/>
  <c r="AT72" i="31" s="1"/>
  <c r="AU72" i="31" s="1"/>
  <c r="AV72" i="31" s="1"/>
  <c r="AW72" i="31" s="1"/>
  <c r="AX72" i="31" s="1"/>
  <c r="AY72" i="31" s="1"/>
  <c r="AZ72" i="31" s="1"/>
  <c r="BA72" i="31" s="1"/>
  <c r="BB72" i="31" s="1"/>
  <c r="BP83" i="31"/>
  <c r="BD83" i="31" s="1"/>
  <c r="BE83" i="31" s="1"/>
  <c r="BF83" i="31" s="1"/>
  <c r="BG83" i="31" s="1"/>
  <c r="BH83" i="31" s="1"/>
  <c r="BI83" i="31" s="1"/>
  <c r="BJ83" i="31" s="1"/>
  <c r="BK83" i="31" s="1"/>
  <c r="BL83" i="31" s="1"/>
  <c r="BM83" i="31" s="1"/>
  <c r="BN83" i="31" s="1"/>
  <c r="BO83" i="31" s="1"/>
  <c r="AQ83" i="31"/>
  <c r="AR83" i="31" s="1"/>
  <c r="AS83" i="31" s="1"/>
  <c r="AT83" i="31" s="1"/>
  <c r="AU83" i="31" s="1"/>
  <c r="AV83" i="31" s="1"/>
  <c r="AW83" i="31" s="1"/>
  <c r="AX83" i="31" s="1"/>
  <c r="AY83" i="31" s="1"/>
  <c r="AZ83" i="31" s="1"/>
  <c r="BA83" i="31" s="1"/>
  <c r="BB83" i="31" s="1"/>
  <c r="BP85" i="31"/>
  <c r="BD85" i="31" s="1"/>
  <c r="BE85" i="31" s="1"/>
  <c r="BF85" i="31" s="1"/>
  <c r="BG85" i="31" s="1"/>
  <c r="BH85" i="31" s="1"/>
  <c r="BI85" i="31" s="1"/>
  <c r="BJ85" i="31" s="1"/>
  <c r="BK85" i="31" s="1"/>
  <c r="BL85" i="31" s="1"/>
  <c r="BM85" i="31" s="1"/>
  <c r="BN85" i="31" s="1"/>
  <c r="BO85" i="31" s="1"/>
  <c r="AQ85" i="31"/>
  <c r="AR85" i="31" s="1"/>
  <c r="AS85" i="31" s="1"/>
  <c r="AT85" i="31" s="1"/>
  <c r="AU85" i="31" s="1"/>
  <c r="AV85" i="31" s="1"/>
  <c r="AW85" i="31" s="1"/>
  <c r="AX85" i="31" s="1"/>
  <c r="AY85" i="31" s="1"/>
  <c r="AZ85" i="31" s="1"/>
  <c r="BA85" i="31" s="1"/>
  <c r="BB85" i="31" s="1"/>
  <c r="Z5" i="31"/>
  <c r="AI5" i="31"/>
  <c r="AJ5" i="31" s="1"/>
  <c r="AK5" i="31" s="1"/>
  <c r="AL5" i="31" s="1"/>
  <c r="AM5" i="31" s="1"/>
  <c r="AV5" i="31"/>
  <c r="AW5" i="31" s="1"/>
  <c r="BH5" i="31"/>
  <c r="BI5" i="31" s="1"/>
  <c r="BJ5" i="31" s="1"/>
  <c r="BK5" i="31" s="1"/>
  <c r="S9" i="21"/>
  <c r="G12" i="21"/>
  <c r="G8" i="20"/>
  <c r="F12" i="21"/>
  <c r="F8" i="20"/>
  <c r="E8" i="20"/>
  <c r="BP75" i="30"/>
  <c r="BD75" i="30" s="1"/>
  <c r="BE75" i="30" s="1"/>
  <c r="BF75" i="30" s="1"/>
  <c r="AQ75" i="30"/>
  <c r="AR75" i="30" s="1"/>
  <c r="AS75" i="30" s="1"/>
  <c r="BC76" i="30"/>
  <c r="AD76" i="30"/>
  <c r="AE76" i="30" s="1"/>
  <c r="AF76" i="30" s="1"/>
  <c r="AG76" i="30" s="1"/>
  <c r="AH76" i="30" s="1"/>
  <c r="AI76" i="30" s="1"/>
  <c r="AJ76" i="30" s="1"/>
  <c r="AK76" i="30" s="1"/>
  <c r="AL76" i="30" s="1"/>
  <c r="AM76" i="30" s="1"/>
  <c r="AN76" i="30" s="1"/>
  <c r="AO76" i="30" s="1"/>
  <c r="BC85" i="30"/>
  <c r="AD85" i="30"/>
  <c r="AE85" i="30" s="1"/>
  <c r="AF85" i="30" s="1"/>
  <c r="AG85" i="30" s="1"/>
  <c r="AH85" i="30" s="1"/>
  <c r="AI85" i="30" s="1"/>
  <c r="AJ85" i="30" s="1"/>
  <c r="AK85" i="30" s="1"/>
  <c r="AL85" i="30" s="1"/>
  <c r="AM85" i="30" s="1"/>
  <c r="AN85" i="30" s="1"/>
  <c r="AO85" i="30" s="1"/>
  <c r="BC87" i="30"/>
  <c r="AD87" i="30"/>
  <c r="AE87" i="30" s="1"/>
  <c r="AF87" i="30" s="1"/>
  <c r="AG87" i="30" s="1"/>
  <c r="AH87" i="30" s="1"/>
  <c r="AI87" i="30" s="1"/>
  <c r="AJ87" i="30" s="1"/>
  <c r="AK87" i="30" s="1"/>
  <c r="AL87" i="30" s="1"/>
  <c r="AM87" i="30" s="1"/>
  <c r="AN87" i="30" s="1"/>
  <c r="AO87" i="30" s="1"/>
  <c r="BP91" i="30"/>
  <c r="BD91" i="30" s="1"/>
  <c r="BE91" i="30" s="1"/>
  <c r="BF91" i="30" s="1"/>
  <c r="BG91" i="30" s="1"/>
  <c r="BH91" i="30" s="1"/>
  <c r="BI91" i="30" s="1"/>
  <c r="BJ91" i="30" s="1"/>
  <c r="BK91" i="30" s="1"/>
  <c r="BL91" i="30" s="1"/>
  <c r="BM91" i="30" s="1"/>
  <c r="BN91" i="30" s="1"/>
  <c r="BO91" i="30" s="1"/>
  <c r="AQ91" i="30"/>
  <c r="AR91" i="30" s="1"/>
  <c r="AS91" i="30" s="1"/>
  <c r="AT91" i="30" s="1"/>
  <c r="AU91" i="30" s="1"/>
  <c r="AV91" i="30" s="1"/>
  <c r="AW91" i="30" s="1"/>
  <c r="AX91" i="30" s="1"/>
  <c r="AY91" i="30" s="1"/>
  <c r="AZ91" i="30" s="1"/>
  <c r="BA91" i="30" s="1"/>
  <c r="BB91" i="30" s="1"/>
  <c r="BP92" i="30"/>
  <c r="BD92" i="30" s="1"/>
  <c r="BE92" i="30" s="1"/>
  <c r="BF92" i="30" s="1"/>
  <c r="BG92" i="30" s="1"/>
  <c r="BH92" i="30" s="1"/>
  <c r="BI92" i="30" s="1"/>
  <c r="BJ92" i="30" s="1"/>
  <c r="BK92" i="30" s="1"/>
  <c r="BL92" i="30" s="1"/>
  <c r="BM92" i="30" s="1"/>
  <c r="BN92" i="30" s="1"/>
  <c r="BO92" i="30" s="1"/>
  <c r="AQ92" i="30"/>
  <c r="AR92" i="30" s="1"/>
  <c r="AS92" i="30" s="1"/>
  <c r="AT92" i="30" s="1"/>
  <c r="AU92" i="30" s="1"/>
  <c r="AV92" i="30" s="1"/>
  <c r="AW92" i="30" s="1"/>
  <c r="AX92" i="30" s="1"/>
  <c r="AY92" i="30" s="1"/>
  <c r="AZ92" i="30" s="1"/>
  <c r="BA92" i="30" s="1"/>
  <c r="BB92" i="30" s="1"/>
  <c r="AV5" i="30"/>
  <c r="AW5" i="30" s="1"/>
  <c r="AX5" i="30" s="1"/>
  <c r="AY5" i="30" s="1"/>
  <c r="AZ5" i="30" s="1"/>
  <c r="BA5" i="30" s="1"/>
  <c r="BB5" i="30" s="1"/>
  <c r="BC5" i="30" s="1"/>
  <c r="BH5" i="30"/>
  <c r="BI5" i="30" s="1"/>
  <c r="I86" i="20"/>
  <c r="I65" i="24"/>
  <c r="G38" i="32"/>
  <c r="F39" i="32"/>
  <c r="T38" i="32"/>
  <c r="S39" i="32"/>
  <c r="AF39" i="32"/>
  <c r="AG38" i="32"/>
  <c r="AT38" i="32"/>
  <c r="AS39" i="32"/>
  <c r="BG38" i="32"/>
  <c r="BF39" i="32"/>
  <c r="F37" i="32"/>
  <c r="F36" i="32" s="1"/>
  <c r="G40" i="32"/>
  <c r="Q37" i="32"/>
  <c r="Q36" i="32" s="1"/>
  <c r="R40" i="32"/>
  <c r="AE40" i="32"/>
  <c r="AR40" i="32"/>
  <c r="BE40" i="32"/>
  <c r="K41" i="32"/>
  <c r="S41" i="32"/>
  <c r="R43" i="32"/>
  <c r="AF41" i="32"/>
  <c r="AS41" i="32"/>
  <c r="G42" i="32"/>
  <c r="F43" i="32"/>
  <c r="R46" i="32"/>
  <c r="S45" i="32"/>
  <c r="G50" i="32"/>
  <c r="S50" i="32"/>
  <c r="AF50" i="32"/>
  <c r="H52" i="32"/>
  <c r="S52" i="32"/>
  <c r="D61" i="31"/>
  <c r="D59" i="31" s="1"/>
  <c r="S75" i="31"/>
  <c r="F80" i="31"/>
  <c r="D61" i="30"/>
  <c r="D59" i="30" s="1"/>
  <c r="G75" i="30"/>
  <c r="S75" i="30"/>
  <c r="AF75" i="30"/>
  <c r="E80" i="30"/>
  <c r="R80" i="30"/>
  <c r="AE80" i="30"/>
  <c r="AR80" i="30"/>
  <c r="BE80" i="30"/>
  <c r="AC78" i="30"/>
  <c r="D78" i="30"/>
  <c r="D9" i="32"/>
  <c r="D13" i="27"/>
  <c r="E14" i="29"/>
  <c r="Q9" i="32"/>
  <c r="Q13" i="27"/>
  <c r="R14" i="29"/>
  <c r="AD9" i="32"/>
  <c r="AD13" i="27"/>
  <c r="AE14" i="29"/>
  <c r="AQ9" i="32"/>
  <c r="AQ13" i="27"/>
  <c r="AR14" i="29"/>
  <c r="BD9" i="32"/>
  <c r="BD13" i="27"/>
  <c r="BE14" i="29"/>
  <c r="S33" i="29"/>
  <c r="AF33" i="29"/>
  <c r="F65" i="28"/>
  <c r="E47" i="28"/>
  <c r="E104" i="28" s="1"/>
  <c r="S65" i="28"/>
  <c r="E49" i="28"/>
  <c r="E106" i="28" s="1"/>
  <c r="F71" i="28"/>
  <c r="S71" i="28"/>
  <c r="E41" i="28"/>
  <c r="E98" i="28" s="1"/>
  <c r="F74" i="28"/>
  <c r="E50" i="28"/>
  <c r="E107" i="28" s="1"/>
  <c r="F76" i="28"/>
  <c r="S76" i="28"/>
  <c r="AF76" i="28"/>
  <c r="AS76" i="28"/>
  <c r="BF76" i="28"/>
  <c r="E51" i="28"/>
  <c r="E108" i="28" s="1"/>
  <c r="F78" i="28"/>
  <c r="S78" i="28"/>
  <c r="AF78" i="28"/>
  <c r="AS78" i="28"/>
  <c r="BF78" i="28"/>
  <c r="E52" i="28"/>
  <c r="E109" i="28" s="1"/>
  <c r="F79" i="28"/>
  <c r="E53" i="28"/>
  <c r="E110" i="28" s="1"/>
  <c r="F80" i="28"/>
  <c r="X23" i="30"/>
  <c r="X39" i="30" s="1"/>
  <c r="X23" i="31"/>
  <c r="X39" i="31" s="1"/>
  <c r="X104" i="27"/>
  <c r="Y23" i="31"/>
  <c r="Y39" i="31" s="1"/>
  <c r="Y23" i="30"/>
  <c r="Y39" i="30" s="1"/>
  <c r="Y104" i="27"/>
  <c r="Z23" i="31"/>
  <c r="Z39" i="31" s="1"/>
  <c r="Z23" i="30"/>
  <c r="Z39" i="30" s="1"/>
  <c r="Z104" i="27"/>
  <c r="AA23" i="30"/>
  <c r="AA39" i="30" s="1"/>
  <c r="AA23" i="31"/>
  <c r="AA39" i="31" s="1"/>
  <c r="AA104" i="27"/>
  <c r="AB23" i="30"/>
  <c r="AB39" i="30" s="1"/>
  <c r="AB23" i="31"/>
  <c r="AB39" i="31" s="1"/>
  <c r="AB104" i="27"/>
  <c r="W23" i="31"/>
  <c r="W39" i="31" s="1"/>
  <c r="W23" i="30"/>
  <c r="W39" i="30" s="1"/>
  <c r="W104" i="27"/>
  <c r="Q23" i="31"/>
  <c r="Q39" i="31" s="1"/>
  <c r="Q23" i="30"/>
  <c r="Q39" i="30" s="1"/>
  <c r="Q104" i="27"/>
  <c r="R23" i="31"/>
  <c r="R39" i="31" s="1"/>
  <c r="R23" i="30"/>
  <c r="R39" i="30" s="1"/>
  <c r="R104" i="27"/>
  <c r="S23" i="30"/>
  <c r="S39" i="30" s="1"/>
  <c r="S23" i="31"/>
  <c r="S39" i="31" s="1"/>
  <c r="S104" i="27"/>
  <c r="T23" i="31"/>
  <c r="T39" i="31" s="1"/>
  <c r="T23" i="30"/>
  <c r="T39" i="30" s="1"/>
  <c r="T104" i="27"/>
  <c r="U23" i="30"/>
  <c r="U39" i="30" s="1"/>
  <c r="U23" i="31"/>
  <c r="U39" i="31" s="1"/>
  <c r="U104" i="27"/>
  <c r="V23" i="31"/>
  <c r="V39" i="31" s="1"/>
  <c r="V23" i="30"/>
  <c r="V39" i="30" s="1"/>
  <c r="V104" i="27"/>
  <c r="N105" i="27"/>
  <c r="N26" i="31"/>
  <c r="N42" i="31" s="1"/>
  <c r="N26" i="30"/>
  <c r="N42" i="30" s="1"/>
  <c r="M105" i="27"/>
  <c r="M26" i="30"/>
  <c r="M42" i="30" s="1"/>
  <c r="M26" i="31"/>
  <c r="M42" i="31" s="1"/>
  <c r="L105" i="27"/>
  <c r="L26" i="31"/>
  <c r="L42" i="31" s="1"/>
  <c r="L26" i="30"/>
  <c r="L42" i="30" s="1"/>
  <c r="K105" i="27"/>
  <c r="K26" i="30"/>
  <c r="K42" i="30" s="1"/>
  <c r="K26" i="31"/>
  <c r="K42" i="31" s="1"/>
  <c r="J105" i="27"/>
  <c r="J26" i="31"/>
  <c r="J42" i="31" s="1"/>
  <c r="J26" i="30"/>
  <c r="J42" i="30" s="1"/>
  <c r="I105" i="27"/>
  <c r="I26" i="31"/>
  <c r="I42" i="31" s="1"/>
  <c r="I26" i="30"/>
  <c r="I42" i="30" s="1"/>
  <c r="H105" i="27"/>
  <c r="H26" i="30"/>
  <c r="H42" i="30" s="1"/>
  <c r="H26" i="31"/>
  <c r="H42" i="31" s="1"/>
  <c r="G105" i="27"/>
  <c r="G26" i="30"/>
  <c r="G42" i="30" s="1"/>
  <c r="G26" i="31"/>
  <c r="G42" i="31" s="1"/>
  <c r="F105" i="27"/>
  <c r="F26" i="31"/>
  <c r="F42" i="31" s="1"/>
  <c r="F26" i="30"/>
  <c r="F42" i="30" s="1"/>
  <c r="P25" i="30"/>
  <c r="P41" i="30" s="1"/>
  <c r="P79" i="30" s="1"/>
  <c r="P25" i="31"/>
  <c r="P41" i="31" s="1"/>
  <c r="D105" i="27"/>
  <c r="D26" i="30"/>
  <c r="D42" i="30" s="1"/>
  <c r="D26" i="31"/>
  <c r="D42" i="31" s="1"/>
  <c r="E105" i="27"/>
  <c r="E26" i="31"/>
  <c r="E42" i="31" s="1"/>
  <c r="E26" i="30"/>
  <c r="E42" i="30" s="1"/>
  <c r="O105" i="27"/>
  <c r="O26" i="30"/>
  <c r="O42" i="30" s="1"/>
  <c r="O26" i="31"/>
  <c r="O42" i="31" s="1"/>
  <c r="AA26" i="30"/>
  <c r="AA42" i="30" s="1"/>
  <c r="AA26" i="31"/>
  <c r="AA42" i="31" s="1"/>
  <c r="Z26" i="30"/>
  <c r="Z42" i="30" s="1"/>
  <c r="Z26" i="31"/>
  <c r="Z42" i="31" s="1"/>
  <c r="Y26" i="30"/>
  <c r="Y42" i="30" s="1"/>
  <c r="Y26" i="31"/>
  <c r="Y42" i="31" s="1"/>
  <c r="X26" i="31"/>
  <c r="X42" i="31" s="1"/>
  <c r="X26" i="30"/>
  <c r="X42" i="30" s="1"/>
  <c r="W26" i="30"/>
  <c r="W42" i="30" s="1"/>
  <c r="W26" i="31"/>
  <c r="W42" i="31" s="1"/>
  <c r="V26" i="30"/>
  <c r="V42" i="30" s="1"/>
  <c r="V26" i="31"/>
  <c r="V42" i="31" s="1"/>
  <c r="U26" i="31"/>
  <c r="U42" i="31" s="1"/>
  <c r="U26" i="30"/>
  <c r="U42" i="30" s="1"/>
  <c r="T26" i="31"/>
  <c r="T42" i="31" s="1"/>
  <c r="T26" i="30"/>
  <c r="T42" i="30" s="1"/>
  <c r="S26" i="30"/>
  <c r="S42" i="30" s="1"/>
  <c r="S26" i="31"/>
  <c r="S42" i="31" s="1"/>
  <c r="R26" i="30"/>
  <c r="R42" i="30" s="1"/>
  <c r="R26" i="31"/>
  <c r="R42" i="31" s="1"/>
  <c r="Q26" i="31"/>
  <c r="Q42" i="31" s="1"/>
  <c r="Q26" i="30"/>
  <c r="Q42" i="30" s="1"/>
  <c r="AB26" i="30"/>
  <c r="AB42" i="30" s="1"/>
  <c r="AB26" i="31"/>
  <c r="AB42" i="31" s="1"/>
  <c r="D27" i="31"/>
  <c r="D43" i="31" s="1"/>
  <c r="D27" i="30"/>
  <c r="D43" i="30" s="1"/>
  <c r="E27" i="30"/>
  <c r="E43" i="30" s="1"/>
  <c r="E27" i="31"/>
  <c r="E43" i="31" s="1"/>
  <c r="F27" i="30"/>
  <c r="F43" i="30" s="1"/>
  <c r="F27" i="31"/>
  <c r="F43" i="31" s="1"/>
  <c r="G27" i="30"/>
  <c r="G43" i="30" s="1"/>
  <c r="G27" i="31"/>
  <c r="G43" i="31" s="1"/>
  <c r="H27" i="31"/>
  <c r="H43" i="31" s="1"/>
  <c r="H27" i="30"/>
  <c r="H43" i="30" s="1"/>
  <c r="I27" i="31"/>
  <c r="I43" i="31" s="1"/>
  <c r="I27" i="30"/>
  <c r="I43" i="30" s="1"/>
  <c r="J27" i="30"/>
  <c r="J43" i="30" s="1"/>
  <c r="J27" i="31"/>
  <c r="J43" i="31" s="1"/>
  <c r="K27" i="30"/>
  <c r="K43" i="30" s="1"/>
  <c r="K27" i="31"/>
  <c r="K43" i="31" s="1"/>
  <c r="L27" i="31"/>
  <c r="L43" i="31" s="1"/>
  <c r="L27" i="30"/>
  <c r="L43" i="30" s="1"/>
  <c r="N27" i="31"/>
  <c r="N43" i="31" s="1"/>
  <c r="N27" i="30"/>
  <c r="N43" i="30" s="1"/>
  <c r="O27" i="30"/>
  <c r="O43" i="30" s="1"/>
  <c r="O27" i="31"/>
  <c r="O43" i="31" s="1"/>
  <c r="M27" i="30"/>
  <c r="M43" i="30" s="1"/>
  <c r="M27" i="31"/>
  <c r="M43" i="31" s="1"/>
  <c r="G28" i="30"/>
  <c r="G44" i="30" s="1"/>
  <c r="G28" i="31"/>
  <c r="G44" i="31" s="1"/>
  <c r="D28" i="31"/>
  <c r="D44" i="31" s="1"/>
  <c r="D28" i="30"/>
  <c r="D44" i="30" s="1"/>
  <c r="O28" i="30"/>
  <c r="O44" i="30" s="1"/>
  <c r="O28" i="31"/>
  <c r="O44" i="31" s="1"/>
  <c r="N28" i="30"/>
  <c r="N44" i="30" s="1"/>
  <c r="N28" i="31"/>
  <c r="N44" i="31" s="1"/>
  <c r="M28" i="31"/>
  <c r="M44" i="31" s="1"/>
  <c r="M28" i="30"/>
  <c r="M44" i="30" s="1"/>
  <c r="L28" i="31"/>
  <c r="L44" i="31" s="1"/>
  <c r="L28" i="30"/>
  <c r="L44" i="30" s="1"/>
  <c r="J28" i="30"/>
  <c r="J44" i="30" s="1"/>
  <c r="J28" i="31"/>
  <c r="J44" i="31" s="1"/>
  <c r="I28" i="31"/>
  <c r="I44" i="31" s="1"/>
  <c r="I28" i="30"/>
  <c r="I44" i="30" s="1"/>
  <c r="H28" i="31"/>
  <c r="H44" i="31" s="1"/>
  <c r="H28" i="30"/>
  <c r="H44" i="30" s="1"/>
  <c r="K28" i="30"/>
  <c r="K44" i="30" s="1"/>
  <c r="K28" i="31"/>
  <c r="K44" i="31" s="1"/>
  <c r="F28" i="30"/>
  <c r="F44" i="30" s="1"/>
  <c r="F28" i="31"/>
  <c r="F44" i="31" s="1"/>
  <c r="E28" i="30"/>
  <c r="E44" i="30" s="1"/>
  <c r="E28" i="31"/>
  <c r="E44" i="31" s="1"/>
  <c r="X28" i="31"/>
  <c r="X44" i="31" s="1"/>
  <c r="X28" i="30"/>
  <c r="X44" i="30" s="1"/>
  <c r="AB28" i="31"/>
  <c r="AB44" i="31" s="1"/>
  <c r="AB28" i="30"/>
  <c r="AB44" i="30" s="1"/>
  <c r="W28" i="31"/>
  <c r="W44" i="31" s="1"/>
  <c r="W28" i="30"/>
  <c r="W44" i="30" s="1"/>
  <c r="V28" i="30"/>
  <c r="V44" i="30" s="1"/>
  <c r="V28" i="31"/>
  <c r="V44" i="31" s="1"/>
  <c r="U28" i="30"/>
  <c r="U44" i="30" s="1"/>
  <c r="U28" i="31"/>
  <c r="U44" i="31" s="1"/>
  <c r="T28" i="31"/>
  <c r="T44" i="31" s="1"/>
  <c r="T28" i="30"/>
  <c r="T44" i="30" s="1"/>
  <c r="S28" i="31"/>
  <c r="S44" i="31" s="1"/>
  <c r="S28" i="30"/>
  <c r="S44" i="30" s="1"/>
  <c r="R28" i="30"/>
  <c r="R44" i="30" s="1"/>
  <c r="R28" i="31"/>
  <c r="R44" i="31" s="1"/>
  <c r="Q28" i="30"/>
  <c r="Q44" i="30" s="1"/>
  <c r="Q28" i="31"/>
  <c r="Q44" i="31" s="1"/>
  <c r="AA28" i="31"/>
  <c r="AA44" i="31" s="1"/>
  <c r="AA28" i="30"/>
  <c r="AA44" i="30" s="1"/>
  <c r="Z28" i="30"/>
  <c r="Z44" i="30" s="1"/>
  <c r="Z28" i="31"/>
  <c r="Z44" i="31" s="1"/>
  <c r="Y28" i="30"/>
  <c r="Y44" i="30" s="1"/>
  <c r="Y28" i="31"/>
  <c r="Y44" i="31" s="1"/>
  <c r="S133" i="27"/>
  <c r="AB19" i="29"/>
  <c r="AA19" i="29"/>
  <c r="Z19" i="29"/>
  <c r="Y19" i="29"/>
  <c r="X19" i="29"/>
  <c r="W19" i="29"/>
  <c r="V19" i="29"/>
  <c r="U19" i="29"/>
  <c r="T19" i="29"/>
  <c r="S19" i="29"/>
  <c r="R19" i="29"/>
  <c r="Q19" i="29"/>
  <c r="F84" i="31"/>
  <c r="V84" i="31"/>
  <c r="AI84" i="31"/>
  <c r="F84" i="30"/>
  <c r="G32" i="29"/>
  <c r="D35" i="28"/>
  <c r="E23" i="28"/>
  <c r="J126" i="23"/>
  <c r="J125" i="23" s="1"/>
  <c r="J57" i="25" s="1"/>
  <c r="J28" i="25" s="1"/>
  <c r="J132" i="23"/>
  <c r="J133" i="23"/>
  <c r="J131" i="23"/>
  <c r="J130" i="23" s="1"/>
  <c r="D8" i="14"/>
  <c r="R8" i="14" s="1"/>
  <c r="R8" i="10"/>
  <c r="K224" i="23"/>
  <c r="L224" i="23"/>
  <c r="M224" i="23"/>
  <c r="N224" i="23"/>
  <c r="O224" i="23"/>
  <c r="P224" i="23"/>
  <c r="M200" i="23"/>
  <c r="L77" i="23"/>
  <c r="J14" i="24"/>
  <c r="J16" i="24" s="1"/>
  <c r="J18" i="24" s="1"/>
  <c r="J12" i="24"/>
  <c r="K10" i="24"/>
  <c r="L8" i="24"/>
  <c r="I39" i="24"/>
  <c r="I46" i="24" s="1"/>
  <c r="I55" i="34" s="1"/>
  <c r="I26" i="24"/>
  <c r="F71" i="22"/>
  <c r="F72" i="22" s="1"/>
  <c r="G71" i="22"/>
  <c r="G72" i="22" s="1"/>
  <c r="J22" i="14"/>
  <c r="K20" i="14"/>
  <c r="J9" i="14"/>
  <c r="L58" i="20"/>
  <c r="I116" i="10"/>
  <c r="I72" i="10"/>
  <c r="T22" i="20"/>
  <c r="L12" i="9"/>
  <c r="M12" i="9" s="1"/>
  <c r="N12" i="9" s="1"/>
  <c r="O12" i="9" s="1"/>
  <c r="P12" i="9" s="1"/>
  <c r="K11" i="9"/>
  <c r="U13" i="9"/>
  <c r="D10" i="20"/>
  <c r="R10" i="20" s="1"/>
  <c r="R24" i="21"/>
  <c r="I8" i="21"/>
  <c r="I12" i="21" s="1"/>
  <c r="J8" i="20"/>
  <c r="T8" i="20" s="1"/>
  <c r="U22" i="20"/>
  <c r="T30" i="20"/>
  <c r="S30" i="20"/>
  <c r="W22" i="20"/>
  <c r="V22" i="20"/>
  <c r="T8" i="21"/>
  <c r="T9" i="21" s="1"/>
  <c r="E60" i="6"/>
  <c r="F38" i="5"/>
  <c r="G2" i="5"/>
  <c r="D21" i="5"/>
  <c r="D23" i="5" s="1"/>
  <c r="F13" i="5"/>
  <c r="F15" i="5"/>
  <c r="G12" i="5"/>
  <c r="G4" i="5"/>
  <c r="BO5" i="4"/>
  <c r="D11" i="34" l="1"/>
  <c r="D53" i="34"/>
  <c r="F46" i="32"/>
  <c r="G45" i="32"/>
  <c r="BC72" i="27"/>
  <c r="BD72" i="27" s="1"/>
  <c r="AQ63" i="27"/>
  <c r="AR63" i="27" s="1"/>
  <c r="AS63" i="27" s="1"/>
  <c r="AT63" i="27" s="1"/>
  <c r="AU63" i="27" s="1"/>
  <c r="AV63" i="27" s="1"/>
  <c r="AW63" i="27" s="1"/>
  <c r="AX63" i="27" s="1"/>
  <c r="AY63" i="27" s="1"/>
  <c r="AZ63" i="27" s="1"/>
  <c r="BA63" i="27" s="1"/>
  <c r="BB63" i="27" s="1"/>
  <c r="BP92" i="35"/>
  <c r="BD92" i="35" s="1"/>
  <c r="AQ92" i="35"/>
  <c r="AE92" i="35"/>
  <c r="AD24" i="35"/>
  <c r="BC21" i="31"/>
  <c r="AQ21" i="31" s="1"/>
  <c r="AR21" i="31" s="1"/>
  <c r="AS21" i="31" s="1"/>
  <c r="AT21" i="31" s="1"/>
  <c r="AU21" i="31" s="1"/>
  <c r="AV21" i="31" s="1"/>
  <c r="AW21" i="31" s="1"/>
  <c r="AX21" i="31" s="1"/>
  <c r="AY21" i="31" s="1"/>
  <c r="AZ21" i="31" s="1"/>
  <c r="BA21" i="31" s="1"/>
  <c r="BB21" i="31" s="1"/>
  <c r="I92" i="26"/>
  <c r="BP21" i="31" s="1"/>
  <c r="BD21" i="31" s="1"/>
  <c r="BE21" i="31" s="1"/>
  <c r="BF21" i="31" s="1"/>
  <c r="BG21" i="31" s="1"/>
  <c r="BH21" i="31" s="1"/>
  <c r="BI21" i="31" s="1"/>
  <c r="BJ21" i="31" s="1"/>
  <c r="BK21" i="31" s="1"/>
  <c r="BL21" i="31" s="1"/>
  <c r="BM21" i="31" s="1"/>
  <c r="BN21" i="31" s="1"/>
  <c r="BO21" i="31" s="1"/>
  <c r="R24" i="35"/>
  <c r="E23" i="35"/>
  <c r="O25" i="35"/>
  <c r="BC80" i="28"/>
  <c r="AD80" i="28"/>
  <c r="Q53" i="28"/>
  <c r="Q110" i="28" s="1"/>
  <c r="R80" i="28"/>
  <c r="S80" i="28" s="1"/>
  <c r="T80" i="28" s="1"/>
  <c r="U80" i="28" s="1"/>
  <c r="V80" i="28" s="1"/>
  <c r="W80" i="28" s="1"/>
  <c r="X80" i="28" s="1"/>
  <c r="Y80" i="28" s="1"/>
  <c r="Z80" i="28" s="1"/>
  <c r="AA80" i="28" s="1"/>
  <c r="AB80" i="28" s="1"/>
  <c r="F64" i="28"/>
  <c r="E54" i="28"/>
  <c r="E111" i="28" s="1"/>
  <c r="D105" i="28"/>
  <c r="D46" i="28"/>
  <c r="F68" i="28"/>
  <c r="E48" i="28"/>
  <c r="E105" i="28" s="1"/>
  <c r="BP53" i="32"/>
  <c r="BD53" i="32" s="1"/>
  <c r="BE53" i="32" s="1"/>
  <c r="BF53" i="32" s="1"/>
  <c r="BG53" i="32" s="1"/>
  <c r="BH53" i="32" s="1"/>
  <c r="BI53" i="32" s="1"/>
  <c r="BJ53" i="32" s="1"/>
  <c r="BK53" i="32" s="1"/>
  <c r="BL53" i="32" s="1"/>
  <c r="BM53" i="32" s="1"/>
  <c r="BN53" i="32" s="1"/>
  <c r="BO53" i="32" s="1"/>
  <c r="AQ53" i="32"/>
  <c r="AR53" i="32" s="1"/>
  <c r="AS53" i="32" s="1"/>
  <c r="AT53" i="32" s="1"/>
  <c r="AU53" i="32" s="1"/>
  <c r="AV53" i="32" s="1"/>
  <c r="AW53" i="32" s="1"/>
  <c r="AX53" i="32" s="1"/>
  <c r="AY53" i="32" s="1"/>
  <c r="AZ53" i="32" s="1"/>
  <c r="BA53" i="32" s="1"/>
  <c r="BB53" i="32" s="1"/>
  <c r="AE47" i="32"/>
  <c r="AD37" i="32"/>
  <c r="AD36" i="32" s="1"/>
  <c r="BP75" i="31"/>
  <c r="BD75" i="31" s="1"/>
  <c r="BE75" i="31" s="1"/>
  <c r="BF75" i="31" s="1"/>
  <c r="BG75" i="31" s="1"/>
  <c r="AQ75" i="31"/>
  <c r="AR75" i="31" s="1"/>
  <c r="AS75" i="31" s="1"/>
  <c r="AT75" i="31" s="1"/>
  <c r="BP76" i="31"/>
  <c r="BD76" i="31" s="1"/>
  <c r="BE76" i="31" s="1"/>
  <c r="BF76" i="31" s="1"/>
  <c r="BG76" i="31" s="1"/>
  <c r="BH76" i="31" s="1"/>
  <c r="BI76" i="31" s="1"/>
  <c r="BJ76" i="31" s="1"/>
  <c r="BK76" i="31" s="1"/>
  <c r="BL76" i="31" s="1"/>
  <c r="BM76" i="31" s="1"/>
  <c r="BN76" i="31" s="1"/>
  <c r="BO76" i="31" s="1"/>
  <c r="AQ76" i="31"/>
  <c r="AR76" i="31" s="1"/>
  <c r="AS76" i="31" s="1"/>
  <c r="AT76" i="31" s="1"/>
  <c r="AU76" i="31" s="1"/>
  <c r="AV76" i="31" s="1"/>
  <c r="AW76" i="31" s="1"/>
  <c r="AX76" i="31" s="1"/>
  <c r="AY76" i="31" s="1"/>
  <c r="AZ76" i="31" s="1"/>
  <c r="BA76" i="31" s="1"/>
  <c r="BB76" i="31" s="1"/>
  <c r="BD63" i="27"/>
  <c r="BE63" i="27" s="1"/>
  <c r="BF63" i="27" s="1"/>
  <c r="BG63" i="27" s="1"/>
  <c r="BH63" i="27" s="1"/>
  <c r="BI63" i="27" s="1"/>
  <c r="BJ63" i="27" s="1"/>
  <c r="BK63" i="27" s="1"/>
  <c r="BL63" i="27" s="1"/>
  <c r="BM63" i="27" s="1"/>
  <c r="BN63" i="27" s="1"/>
  <c r="BO63" i="27" s="1"/>
  <c r="BP63" i="27"/>
  <c r="BP72" i="27" s="1"/>
  <c r="AP80" i="27"/>
  <c r="AD80" i="27" s="1"/>
  <c r="AE80" i="27" s="1"/>
  <c r="AF80" i="27" s="1"/>
  <c r="AG80" i="27" s="1"/>
  <c r="AH80" i="27" s="1"/>
  <c r="AI80" i="27" s="1"/>
  <c r="AJ80" i="27" s="1"/>
  <c r="AK80" i="27" s="1"/>
  <c r="AL80" i="27" s="1"/>
  <c r="AM80" i="27" s="1"/>
  <c r="AN80" i="27" s="1"/>
  <c r="AO80" i="27" s="1"/>
  <c r="AD72" i="27"/>
  <c r="AE72" i="27" s="1"/>
  <c r="AF72" i="27" s="1"/>
  <c r="AG72" i="27" s="1"/>
  <c r="AH72" i="27" s="1"/>
  <c r="AI72" i="27" s="1"/>
  <c r="AJ72" i="27" s="1"/>
  <c r="AK72" i="27" s="1"/>
  <c r="AL72" i="27" s="1"/>
  <c r="AM72" i="27" s="1"/>
  <c r="AN72" i="27" s="1"/>
  <c r="AO72" i="27" s="1"/>
  <c r="Q7" i="27"/>
  <c r="R8" i="29"/>
  <c r="S19" i="21"/>
  <c r="H20" i="21"/>
  <c r="S20" i="21" s="1"/>
  <c r="BC8" i="29"/>
  <c r="H85" i="26"/>
  <c r="BC8" i="31" s="1"/>
  <c r="AQ8" i="31" s="1"/>
  <c r="AR8" i="31" s="1"/>
  <c r="AS8" i="31" s="1"/>
  <c r="AT8" i="31" s="1"/>
  <c r="AU8" i="31" s="1"/>
  <c r="AV8" i="31" s="1"/>
  <c r="AW8" i="31" s="1"/>
  <c r="AX8" i="31" s="1"/>
  <c r="AY8" i="31" s="1"/>
  <c r="AZ8" i="31" s="1"/>
  <c r="BA8" i="31" s="1"/>
  <c r="BB8" i="31" s="1"/>
  <c r="H63" i="26"/>
  <c r="BC8" i="30" s="1"/>
  <c r="AQ8" i="30" s="1"/>
  <c r="AR8" i="30" s="1"/>
  <c r="AS8" i="30" s="1"/>
  <c r="AT8" i="30" s="1"/>
  <c r="AU8" i="30" s="1"/>
  <c r="AV8" i="30" s="1"/>
  <c r="AW8" i="30" s="1"/>
  <c r="AX8" i="30" s="1"/>
  <c r="AY8" i="30" s="1"/>
  <c r="AZ8" i="30" s="1"/>
  <c r="BA8" i="30" s="1"/>
  <c r="BB8" i="30" s="1"/>
  <c r="AP7" i="27"/>
  <c r="AD8" i="29"/>
  <c r="G67" i="26"/>
  <c r="AP19" i="30" s="1"/>
  <c r="AD19" i="30" s="1"/>
  <c r="AE19" i="30" s="1"/>
  <c r="AF19" i="30" s="1"/>
  <c r="AG19" i="30" s="1"/>
  <c r="AH19" i="30" s="1"/>
  <c r="AI19" i="30" s="1"/>
  <c r="AJ19" i="30" s="1"/>
  <c r="AK19" i="30" s="1"/>
  <c r="AL19" i="30" s="1"/>
  <c r="AM19" i="30" s="1"/>
  <c r="AN19" i="30" s="1"/>
  <c r="AO19" i="30" s="1"/>
  <c r="H44" i="26"/>
  <c r="BC19" i="29" s="1"/>
  <c r="L30" i="21"/>
  <c r="G29" i="26"/>
  <c r="G31" i="26" s="1"/>
  <c r="H5" i="26"/>
  <c r="H89" i="26" s="1"/>
  <c r="BC19" i="31" s="1"/>
  <c r="AQ19" i="31" s="1"/>
  <c r="AR19" i="31" s="1"/>
  <c r="AS19" i="31" s="1"/>
  <c r="AT19" i="31" s="1"/>
  <c r="AU19" i="31" s="1"/>
  <c r="AV19" i="31" s="1"/>
  <c r="AW19" i="31" s="1"/>
  <c r="AX19" i="31" s="1"/>
  <c r="AY19" i="31" s="1"/>
  <c r="AZ19" i="31" s="1"/>
  <c r="BA19" i="31" s="1"/>
  <c r="BB19" i="31" s="1"/>
  <c r="G12" i="26"/>
  <c r="F9" i="26"/>
  <c r="E8" i="26"/>
  <c r="H12" i="21"/>
  <c r="L16" i="21"/>
  <c r="H13" i="26"/>
  <c r="I11" i="21"/>
  <c r="AO19" i="29"/>
  <c r="AK19" i="29"/>
  <c r="AI19" i="29"/>
  <c r="AF19" i="29"/>
  <c r="AD19" i="29"/>
  <c r="AM19" i="29"/>
  <c r="AN19" i="29"/>
  <c r="AL19" i="29"/>
  <c r="AJ19" i="29"/>
  <c r="AH19" i="29"/>
  <c r="AG19" i="29"/>
  <c r="AE19" i="29"/>
  <c r="J17" i="21"/>
  <c r="K16" i="21"/>
  <c r="K19" i="21" s="1"/>
  <c r="K20" i="21" s="1"/>
  <c r="J19" i="21"/>
  <c r="T16" i="21"/>
  <c r="T17" i="21" s="1"/>
  <c r="BP125" i="27"/>
  <c r="BD125" i="27" s="1"/>
  <c r="BE125" i="27" s="1"/>
  <c r="BF125" i="27" s="1"/>
  <c r="BG125" i="27" s="1"/>
  <c r="BH125" i="27" s="1"/>
  <c r="BI125" i="27" s="1"/>
  <c r="BJ125" i="27" s="1"/>
  <c r="BK125" i="27" s="1"/>
  <c r="BL125" i="27" s="1"/>
  <c r="BM125" i="27" s="1"/>
  <c r="BN125" i="27" s="1"/>
  <c r="BO125" i="27" s="1"/>
  <c r="AQ125" i="27"/>
  <c r="AR125" i="27" s="1"/>
  <c r="AS125" i="27" s="1"/>
  <c r="AT125" i="27" s="1"/>
  <c r="AU125" i="27" s="1"/>
  <c r="AV125" i="27" s="1"/>
  <c r="AW125" i="27" s="1"/>
  <c r="AX125" i="27" s="1"/>
  <c r="AY125" i="27" s="1"/>
  <c r="AZ125" i="27" s="1"/>
  <c r="BA125" i="27" s="1"/>
  <c r="BB125" i="27" s="1"/>
  <c r="AP81" i="31"/>
  <c r="Q81" i="31"/>
  <c r="R81" i="31" s="1"/>
  <c r="S81" i="31" s="1"/>
  <c r="T81" i="31" s="1"/>
  <c r="U81" i="31" s="1"/>
  <c r="V81" i="31" s="1"/>
  <c r="W81" i="31" s="1"/>
  <c r="X81" i="31" s="1"/>
  <c r="Y81" i="31" s="1"/>
  <c r="Z81" i="31" s="1"/>
  <c r="AA81" i="31" s="1"/>
  <c r="AB81" i="31" s="1"/>
  <c r="D82" i="31"/>
  <c r="E82" i="31" s="1"/>
  <c r="F82" i="31" s="1"/>
  <c r="G82" i="31" s="1"/>
  <c r="H82" i="31" s="1"/>
  <c r="I82" i="31" s="1"/>
  <c r="J82" i="31" s="1"/>
  <c r="K82" i="31" s="1"/>
  <c r="L82" i="31" s="1"/>
  <c r="M82" i="31" s="1"/>
  <c r="N82" i="31" s="1"/>
  <c r="O82" i="31" s="1"/>
  <c r="P78" i="31"/>
  <c r="AC82" i="31"/>
  <c r="AD80" i="31"/>
  <c r="AE80" i="31" s="1"/>
  <c r="AF80" i="31" s="1"/>
  <c r="BC80" i="31"/>
  <c r="F15" i="27"/>
  <c r="F11" i="32"/>
  <c r="G16" i="29"/>
  <c r="D14" i="27"/>
  <c r="D10" i="27"/>
  <c r="P79" i="31"/>
  <c r="R5" i="27"/>
  <c r="S6" i="29"/>
  <c r="AE5" i="27"/>
  <c r="AF6" i="29"/>
  <c r="AR5" i="27"/>
  <c r="AS6" i="29"/>
  <c r="BE5" i="27"/>
  <c r="BF6" i="29"/>
  <c r="D86" i="27"/>
  <c r="D85" i="27"/>
  <c r="E7" i="27"/>
  <c r="E8" i="27" s="1"/>
  <c r="F8" i="29"/>
  <c r="Q108" i="29"/>
  <c r="AC108" i="29" s="1"/>
  <c r="AC69" i="29"/>
  <c r="AQ108" i="29"/>
  <c r="BC108" i="29" s="1"/>
  <c r="BC69" i="29"/>
  <c r="BD108" i="29"/>
  <c r="BP108" i="29" s="1"/>
  <c r="BP69" i="29"/>
  <c r="AN5" i="30"/>
  <c r="AO5" i="30"/>
  <c r="AP5" i="30" s="1"/>
  <c r="BP87" i="31"/>
  <c r="BD87" i="31" s="1"/>
  <c r="BE87" i="31" s="1"/>
  <c r="BF87" i="31" s="1"/>
  <c r="BG87" i="31" s="1"/>
  <c r="BH87" i="31" s="1"/>
  <c r="BI87" i="31" s="1"/>
  <c r="BJ87" i="31" s="1"/>
  <c r="BK87" i="31" s="1"/>
  <c r="BL87" i="31" s="1"/>
  <c r="BM87" i="31" s="1"/>
  <c r="BN87" i="31" s="1"/>
  <c r="BO87" i="31" s="1"/>
  <c r="AQ87" i="31"/>
  <c r="AR87" i="31" s="1"/>
  <c r="AS87" i="31" s="1"/>
  <c r="AT87" i="31" s="1"/>
  <c r="AU87" i="31" s="1"/>
  <c r="AV87" i="31" s="1"/>
  <c r="AW87" i="31" s="1"/>
  <c r="AX87" i="31" s="1"/>
  <c r="AY87" i="31" s="1"/>
  <c r="AZ87" i="31" s="1"/>
  <c r="BA87" i="31" s="1"/>
  <c r="BB87" i="31" s="1"/>
  <c r="BP89" i="31"/>
  <c r="BD89" i="31" s="1"/>
  <c r="BE89" i="31" s="1"/>
  <c r="BF89" i="31" s="1"/>
  <c r="BG89" i="31" s="1"/>
  <c r="BH89" i="31" s="1"/>
  <c r="BI89" i="31" s="1"/>
  <c r="BJ89" i="31" s="1"/>
  <c r="BK89" i="31" s="1"/>
  <c r="BL89" i="31" s="1"/>
  <c r="BM89" i="31" s="1"/>
  <c r="BN89" i="31" s="1"/>
  <c r="BO89" i="31" s="1"/>
  <c r="AQ89" i="31"/>
  <c r="AR89" i="31" s="1"/>
  <c r="AS89" i="31" s="1"/>
  <c r="AT89" i="31" s="1"/>
  <c r="AU89" i="31" s="1"/>
  <c r="AV89" i="31" s="1"/>
  <c r="AW89" i="31" s="1"/>
  <c r="AX89" i="31" s="1"/>
  <c r="AY89" i="31" s="1"/>
  <c r="AZ89" i="31" s="1"/>
  <c r="BA89" i="31" s="1"/>
  <c r="BB89" i="31" s="1"/>
  <c r="BP21" i="32"/>
  <c r="BD21" i="32" s="1"/>
  <c r="BE21" i="32" s="1"/>
  <c r="BF21" i="32" s="1"/>
  <c r="BG21" i="32" s="1"/>
  <c r="BH21" i="32" s="1"/>
  <c r="BI21" i="32" s="1"/>
  <c r="BJ21" i="32" s="1"/>
  <c r="BK21" i="32" s="1"/>
  <c r="BL21" i="32" s="1"/>
  <c r="BM21" i="32" s="1"/>
  <c r="BN21" i="32" s="1"/>
  <c r="BO21" i="32" s="1"/>
  <c r="AQ21" i="32"/>
  <c r="AR21" i="32" s="1"/>
  <c r="AS21" i="32" s="1"/>
  <c r="AT21" i="32" s="1"/>
  <c r="AU21" i="32" s="1"/>
  <c r="AV21" i="32" s="1"/>
  <c r="AW21" i="32" s="1"/>
  <c r="AX21" i="32" s="1"/>
  <c r="AY21" i="32" s="1"/>
  <c r="AZ21" i="32" s="1"/>
  <c r="BA21" i="32" s="1"/>
  <c r="BB21" i="32" s="1"/>
  <c r="BE41" i="32"/>
  <c r="BC43" i="32"/>
  <c r="BP42" i="32"/>
  <c r="AQ42" i="32"/>
  <c r="AD43" i="32"/>
  <c r="AE42" i="32"/>
  <c r="BC46" i="32"/>
  <c r="BP45" i="32"/>
  <c r="AQ45" i="32"/>
  <c r="AE45" i="32"/>
  <c r="AD46" i="32"/>
  <c r="BC37" i="32"/>
  <c r="BC36" i="32" s="1"/>
  <c r="BP47" i="32"/>
  <c r="AQ47" i="32"/>
  <c r="BP51" i="32"/>
  <c r="BD51" i="32" s="1"/>
  <c r="BE51" i="32" s="1"/>
  <c r="BF51" i="32" s="1"/>
  <c r="BG51" i="32" s="1"/>
  <c r="BH51" i="32" s="1"/>
  <c r="BI51" i="32" s="1"/>
  <c r="BJ51" i="32" s="1"/>
  <c r="BK51" i="32" s="1"/>
  <c r="BL51" i="32" s="1"/>
  <c r="BM51" i="32" s="1"/>
  <c r="BN51" i="32" s="1"/>
  <c r="BO51" i="32" s="1"/>
  <c r="AQ51" i="32"/>
  <c r="AR51" i="32" s="1"/>
  <c r="AS51" i="32" s="1"/>
  <c r="AT51" i="32" s="1"/>
  <c r="AU51" i="32" s="1"/>
  <c r="AV51" i="32" s="1"/>
  <c r="AW51" i="32" s="1"/>
  <c r="AX51" i="32" s="1"/>
  <c r="AY51" i="32" s="1"/>
  <c r="AZ51" i="32" s="1"/>
  <c r="BA51" i="32" s="1"/>
  <c r="BB51" i="32" s="1"/>
  <c r="BP52" i="32"/>
  <c r="BD52" i="32" s="1"/>
  <c r="BE52" i="32" s="1"/>
  <c r="BF52" i="32" s="1"/>
  <c r="BG52" i="32" s="1"/>
  <c r="AQ52" i="32"/>
  <c r="AR52" i="32" s="1"/>
  <c r="AS52" i="32" s="1"/>
  <c r="AT52" i="32" s="1"/>
  <c r="I70" i="26"/>
  <c r="BP21" i="30" s="1"/>
  <c r="BD21" i="30" s="1"/>
  <c r="BE21" i="30" s="1"/>
  <c r="BF21" i="30" s="1"/>
  <c r="BG21" i="30" s="1"/>
  <c r="BH21" i="30" s="1"/>
  <c r="BI21" i="30" s="1"/>
  <c r="BJ21" i="30" s="1"/>
  <c r="BK21" i="30" s="1"/>
  <c r="BL21" i="30" s="1"/>
  <c r="BM21" i="30" s="1"/>
  <c r="BN21" i="30" s="1"/>
  <c r="BO21" i="30" s="1"/>
  <c r="BC21" i="30"/>
  <c r="AQ21" i="30" s="1"/>
  <c r="AR21" i="30" s="1"/>
  <c r="AS21" i="30" s="1"/>
  <c r="AT21" i="30" s="1"/>
  <c r="AU21" i="30" s="1"/>
  <c r="AV21" i="30" s="1"/>
  <c r="AW21" i="30" s="1"/>
  <c r="AX21" i="30" s="1"/>
  <c r="AY21" i="30" s="1"/>
  <c r="AZ21" i="30" s="1"/>
  <c r="BA21" i="30" s="1"/>
  <c r="BB21" i="30" s="1"/>
  <c r="I90" i="26"/>
  <c r="R10" i="28"/>
  <c r="Q10" i="28"/>
  <c r="S10" i="28"/>
  <c r="T10" i="28"/>
  <c r="U10" i="28"/>
  <c r="V10" i="28"/>
  <c r="W10" i="28"/>
  <c r="X10" i="28"/>
  <c r="Y10" i="28"/>
  <c r="AB10" i="28"/>
  <c r="AA10" i="28"/>
  <c r="Z10" i="28"/>
  <c r="H112" i="26"/>
  <c r="H113" i="26" s="1"/>
  <c r="AP10" i="28"/>
  <c r="H70" i="22"/>
  <c r="H71" i="22" s="1"/>
  <c r="H72" i="22" s="1"/>
  <c r="I48" i="22"/>
  <c r="K48" i="22" s="1"/>
  <c r="L48" i="22" s="1"/>
  <c r="I109" i="22"/>
  <c r="I111" i="22" s="1"/>
  <c r="I86" i="22"/>
  <c r="I64" i="22"/>
  <c r="I66" i="22" s="1"/>
  <c r="I27" i="22"/>
  <c r="I29" i="22" s="1"/>
  <c r="G88" i="22"/>
  <c r="G90" i="22"/>
  <c r="G169" i="22" s="1"/>
  <c r="H85" i="22"/>
  <c r="H83" i="22"/>
  <c r="I83" i="22"/>
  <c r="I85" i="22"/>
  <c r="I90" i="22" s="1"/>
  <c r="I169" i="22" s="1"/>
  <c r="K169" i="22" s="1"/>
  <c r="H12" i="22"/>
  <c r="G9" i="22"/>
  <c r="E25" i="35"/>
  <c r="G25" i="35"/>
  <c r="I25" i="35"/>
  <c r="K25" i="35"/>
  <c r="L25" i="35"/>
  <c r="M25" i="35"/>
  <c r="D25" i="35"/>
  <c r="F25" i="35"/>
  <c r="H25" i="35"/>
  <c r="J25" i="35"/>
  <c r="L29" i="22"/>
  <c r="K29" i="22"/>
  <c r="K111" i="22"/>
  <c r="L111" i="22"/>
  <c r="D73" i="35"/>
  <c r="I38" i="35" s="1"/>
  <c r="BR61" i="35"/>
  <c r="AY5" i="29"/>
  <c r="AN5" i="31"/>
  <c r="AO5" i="31" s="1"/>
  <c r="AP5" i="31" s="1"/>
  <c r="AX5" i="31"/>
  <c r="AY5" i="31" s="1"/>
  <c r="AZ5" i="31" s="1"/>
  <c r="BL5" i="31"/>
  <c r="BM5" i="31" s="1"/>
  <c r="BN5" i="31" s="1"/>
  <c r="BO5" i="31"/>
  <c r="BP5" i="31" s="1"/>
  <c r="BP119" i="27"/>
  <c r="BD119" i="27" s="1"/>
  <c r="BE119" i="27" s="1"/>
  <c r="BF119" i="27" s="1"/>
  <c r="BG119" i="27" s="1"/>
  <c r="BH119" i="27" s="1"/>
  <c r="BI119" i="27" s="1"/>
  <c r="BJ119" i="27" s="1"/>
  <c r="BK119" i="27" s="1"/>
  <c r="BL119" i="27" s="1"/>
  <c r="BM119" i="27" s="1"/>
  <c r="BN119" i="27" s="1"/>
  <c r="BO119" i="27" s="1"/>
  <c r="AQ119" i="27"/>
  <c r="AR119" i="27" s="1"/>
  <c r="AS119" i="27" s="1"/>
  <c r="AT119" i="27" s="1"/>
  <c r="AU119" i="27" s="1"/>
  <c r="AV119" i="27" s="1"/>
  <c r="AW119" i="27" s="1"/>
  <c r="AX119" i="27" s="1"/>
  <c r="AY119" i="27" s="1"/>
  <c r="AZ119" i="27" s="1"/>
  <c r="BA119" i="27" s="1"/>
  <c r="BB119" i="27" s="1"/>
  <c r="E9" i="27"/>
  <c r="E5" i="32"/>
  <c r="F10" i="29"/>
  <c r="E11" i="27"/>
  <c r="E7" i="32"/>
  <c r="F12" i="29"/>
  <c r="BD24" i="35"/>
  <c r="BE92" i="35"/>
  <c r="BH76" i="35"/>
  <c r="BG75" i="35"/>
  <c r="BF23" i="35"/>
  <c r="AU76" i="35"/>
  <c r="AT75" i="35"/>
  <c r="AS23" i="35"/>
  <c r="AG75" i="35"/>
  <c r="AH76" i="35"/>
  <c r="AF24" i="35"/>
  <c r="AF23" i="35"/>
  <c r="S24" i="35"/>
  <c r="S23" i="35"/>
  <c r="U76" i="35"/>
  <c r="T75" i="35"/>
  <c r="G75" i="35"/>
  <c r="H76" i="35"/>
  <c r="F24" i="35"/>
  <c r="F23" i="35"/>
  <c r="D22" i="35"/>
  <c r="D5" i="35" s="1"/>
  <c r="E22" i="35"/>
  <c r="E5" i="35" s="1"/>
  <c r="F22" i="35"/>
  <c r="F5" i="35" s="1"/>
  <c r="G22" i="35"/>
  <c r="G5" i="35" s="1"/>
  <c r="H22" i="35"/>
  <c r="H5" i="35" s="1"/>
  <c r="I22" i="35"/>
  <c r="I5" i="35" s="1"/>
  <c r="J22" i="35"/>
  <c r="J5" i="35" s="1"/>
  <c r="K22" i="35"/>
  <c r="K5" i="35" s="1"/>
  <c r="L22" i="35"/>
  <c r="L5" i="35" s="1"/>
  <c r="M22" i="35"/>
  <c r="M5" i="35" s="1"/>
  <c r="N22" i="35"/>
  <c r="N5" i="35" s="1"/>
  <c r="O22" i="35"/>
  <c r="O5" i="35" s="1"/>
  <c r="Q30" i="35"/>
  <c r="X30" i="35"/>
  <c r="Z30" i="35"/>
  <c r="W30" i="35"/>
  <c r="AA30" i="35"/>
  <c r="R30" i="35"/>
  <c r="V30" i="35"/>
  <c r="AB30" i="35"/>
  <c r="S30" i="35"/>
  <c r="U30" i="35"/>
  <c r="Y30" i="35"/>
  <c r="T30" i="35"/>
  <c r="U26" i="35"/>
  <c r="AA26" i="35"/>
  <c r="AC25" i="35"/>
  <c r="R26" i="35"/>
  <c r="V26" i="35"/>
  <c r="Z26" i="35"/>
  <c r="Q26" i="35"/>
  <c r="W26" i="35"/>
  <c r="X26" i="35"/>
  <c r="T26" i="35"/>
  <c r="AB26" i="35"/>
  <c r="S26" i="35"/>
  <c r="Y26" i="35"/>
  <c r="W28" i="35"/>
  <c r="Q28" i="35"/>
  <c r="T28" i="35"/>
  <c r="Y28" i="35"/>
  <c r="AB28" i="35"/>
  <c r="V28" i="35"/>
  <c r="AA28" i="35"/>
  <c r="X28" i="35"/>
  <c r="S28" i="35"/>
  <c r="Z28" i="35"/>
  <c r="R28" i="35"/>
  <c r="U28" i="35"/>
  <c r="Q29" i="35"/>
  <c r="T29" i="35"/>
  <c r="X29" i="35"/>
  <c r="S29" i="35"/>
  <c r="W29" i="35"/>
  <c r="Z29" i="35"/>
  <c r="AB29" i="35"/>
  <c r="U29" i="35"/>
  <c r="AA29" i="35"/>
  <c r="R29" i="35"/>
  <c r="V29" i="35"/>
  <c r="Y29" i="35"/>
  <c r="W31" i="35"/>
  <c r="Y31" i="35"/>
  <c r="R31" i="35"/>
  <c r="U31" i="35"/>
  <c r="Z31" i="35"/>
  <c r="Q31" i="35"/>
  <c r="X31" i="35"/>
  <c r="T31" i="35"/>
  <c r="AB31" i="35"/>
  <c r="AA31" i="35"/>
  <c r="S31" i="35"/>
  <c r="V31" i="35"/>
  <c r="T32" i="35"/>
  <c r="X32" i="35"/>
  <c r="U32" i="35"/>
  <c r="Z32" i="35"/>
  <c r="S32" i="35"/>
  <c r="V32" i="35"/>
  <c r="W32" i="35"/>
  <c r="AA32" i="35"/>
  <c r="Q32" i="35"/>
  <c r="AB32" i="35"/>
  <c r="R32" i="35"/>
  <c r="Y32" i="35"/>
  <c r="T20" i="35"/>
  <c r="S20" i="35"/>
  <c r="Y20" i="35"/>
  <c r="R20" i="35"/>
  <c r="Q20" i="35"/>
  <c r="X20" i="35"/>
  <c r="V20" i="35"/>
  <c r="U20" i="35"/>
  <c r="W20" i="35"/>
  <c r="Z20" i="35"/>
  <c r="AA20" i="35"/>
  <c r="AB20" i="35"/>
  <c r="Q21" i="35"/>
  <c r="R21" i="35"/>
  <c r="S21" i="35"/>
  <c r="T21" i="35"/>
  <c r="U21" i="35"/>
  <c r="V21" i="35"/>
  <c r="W21" i="35"/>
  <c r="X21" i="35"/>
  <c r="Y21" i="35"/>
  <c r="Z21" i="35"/>
  <c r="AA21" i="35"/>
  <c r="AB21" i="35"/>
  <c r="Z27" i="35"/>
  <c r="U27" i="35"/>
  <c r="X27" i="35"/>
  <c r="AA27" i="35"/>
  <c r="T27" i="35"/>
  <c r="AB27" i="35"/>
  <c r="Q27" i="35"/>
  <c r="W27" i="35"/>
  <c r="S27" i="35"/>
  <c r="V27" i="35"/>
  <c r="Y27" i="35"/>
  <c r="R27" i="35"/>
  <c r="X37" i="35"/>
  <c r="Z37" i="35"/>
  <c r="AB37" i="35"/>
  <c r="S37" i="35"/>
  <c r="Y37" i="35"/>
  <c r="AA37" i="35"/>
  <c r="T37" i="35"/>
  <c r="R37" i="35"/>
  <c r="V37" i="35"/>
  <c r="W37" i="35"/>
  <c r="Q37" i="35"/>
  <c r="U37" i="35"/>
  <c r="AP30" i="35"/>
  <c r="AP27" i="35"/>
  <c r="AP29" i="35"/>
  <c r="AP21" i="35"/>
  <c r="AP26" i="35"/>
  <c r="AP32" i="35"/>
  <c r="AP37" i="35"/>
  <c r="AP20" i="35"/>
  <c r="AP28" i="35"/>
  <c r="AP31" i="35"/>
  <c r="BC1" i="35"/>
  <c r="AP6" i="35"/>
  <c r="AP7" i="35"/>
  <c r="AP8" i="35"/>
  <c r="AP9" i="35"/>
  <c r="AP10" i="35"/>
  <c r="AP11" i="35"/>
  <c r="AP12" i="35"/>
  <c r="AP13" i="35"/>
  <c r="AP14" i="35"/>
  <c r="AP15" i="35"/>
  <c r="AP16" i="35"/>
  <c r="AP17" i="35"/>
  <c r="AP18" i="35"/>
  <c r="AP19" i="35"/>
  <c r="AP66" i="35"/>
  <c r="AD66" i="35" s="1"/>
  <c r="AP64" i="35"/>
  <c r="AD64" i="35" s="1"/>
  <c r="AP67" i="35"/>
  <c r="AD67" i="35" s="1"/>
  <c r="AP69" i="35"/>
  <c r="AD69" i="35" s="1"/>
  <c r="AP62" i="35"/>
  <c r="AP63" i="35"/>
  <c r="AD63" i="35" s="1"/>
  <c r="AP65" i="35"/>
  <c r="AD65" i="35" s="1"/>
  <c r="AD1" i="35"/>
  <c r="AE1" i="35" s="1"/>
  <c r="AF1" i="35" s="1"/>
  <c r="AG1" i="35" s="1"/>
  <c r="AH1" i="35" s="1"/>
  <c r="AI1" i="35" s="1"/>
  <c r="AJ1" i="35" s="1"/>
  <c r="AK1" i="35" s="1"/>
  <c r="AL1" i="35" s="1"/>
  <c r="AM1" i="35" s="1"/>
  <c r="AN1" i="35" s="1"/>
  <c r="AO1" i="35" s="1"/>
  <c r="Q6" i="35"/>
  <c r="R6" i="35"/>
  <c r="S6" i="35"/>
  <c r="T6" i="35"/>
  <c r="U6" i="35"/>
  <c r="V6" i="35"/>
  <c r="W6" i="35"/>
  <c r="X6" i="35"/>
  <c r="Y6" i="35"/>
  <c r="Z6" i="35"/>
  <c r="AA6" i="35"/>
  <c r="AB6" i="35"/>
  <c r="Q7" i="35"/>
  <c r="R7" i="35"/>
  <c r="S7" i="35"/>
  <c r="T7" i="35"/>
  <c r="U7" i="35"/>
  <c r="V7" i="35"/>
  <c r="W7" i="35"/>
  <c r="X7" i="35"/>
  <c r="Y7" i="35"/>
  <c r="Z7" i="35"/>
  <c r="AA7" i="35"/>
  <c r="AB7" i="35"/>
  <c r="Q8" i="35"/>
  <c r="R8" i="35"/>
  <c r="S8" i="35"/>
  <c r="T8" i="35"/>
  <c r="U8" i="35"/>
  <c r="V8" i="35"/>
  <c r="W8" i="35"/>
  <c r="X8" i="35"/>
  <c r="Y8" i="35"/>
  <c r="Z8" i="35"/>
  <c r="AA8" i="35"/>
  <c r="AB8" i="35"/>
  <c r="Q9" i="35"/>
  <c r="R9" i="35"/>
  <c r="S9" i="35"/>
  <c r="T9" i="35"/>
  <c r="U9" i="35"/>
  <c r="V9" i="35"/>
  <c r="W9" i="35"/>
  <c r="X9" i="35"/>
  <c r="Y9" i="35"/>
  <c r="Z9" i="35"/>
  <c r="AA9" i="35"/>
  <c r="AB9" i="35"/>
  <c r="Q10" i="35"/>
  <c r="R10" i="35"/>
  <c r="S10" i="35"/>
  <c r="T10" i="35"/>
  <c r="U10" i="35"/>
  <c r="V10" i="35"/>
  <c r="W10" i="35"/>
  <c r="X10" i="35"/>
  <c r="Y10" i="35"/>
  <c r="Z10" i="35"/>
  <c r="AA10" i="35"/>
  <c r="AB10" i="35"/>
  <c r="Q11" i="35"/>
  <c r="R11" i="35"/>
  <c r="S11" i="35"/>
  <c r="T11" i="35"/>
  <c r="U11" i="35"/>
  <c r="V11" i="35"/>
  <c r="W11" i="35"/>
  <c r="X11" i="35"/>
  <c r="Y11" i="35"/>
  <c r="Z11" i="35"/>
  <c r="AA11" i="35"/>
  <c r="AB11" i="35"/>
  <c r="Q12" i="35"/>
  <c r="R12" i="35"/>
  <c r="S12" i="35"/>
  <c r="T12" i="35"/>
  <c r="U12" i="35"/>
  <c r="V12" i="35"/>
  <c r="W12" i="35"/>
  <c r="X12" i="35"/>
  <c r="Y12" i="35"/>
  <c r="Z12" i="35"/>
  <c r="AA12" i="35"/>
  <c r="AB12" i="35"/>
  <c r="Q13" i="35"/>
  <c r="R13" i="35"/>
  <c r="S13" i="35"/>
  <c r="T13" i="35"/>
  <c r="U13" i="35"/>
  <c r="V13" i="35"/>
  <c r="W13" i="35"/>
  <c r="X13" i="35"/>
  <c r="Y13" i="35"/>
  <c r="Z13" i="35"/>
  <c r="AA13" i="35"/>
  <c r="AB13" i="35"/>
  <c r="Q14" i="35"/>
  <c r="R14" i="35"/>
  <c r="S14" i="35"/>
  <c r="T14" i="35"/>
  <c r="U14" i="35"/>
  <c r="V14" i="35"/>
  <c r="W14" i="35"/>
  <c r="X14" i="35"/>
  <c r="Y14" i="35"/>
  <c r="Z14" i="35"/>
  <c r="AA14" i="35"/>
  <c r="AB14" i="35"/>
  <c r="Q15" i="35"/>
  <c r="R15" i="35"/>
  <c r="S15" i="35"/>
  <c r="T15" i="35"/>
  <c r="U15" i="35"/>
  <c r="V15" i="35"/>
  <c r="W15" i="35"/>
  <c r="X15" i="35"/>
  <c r="Y15" i="35"/>
  <c r="Z15" i="35"/>
  <c r="AA15" i="35"/>
  <c r="AB15" i="35"/>
  <c r="Q16" i="35"/>
  <c r="R16" i="35"/>
  <c r="S16" i="35"/>
  <c r="T16" i="35"/>
  <c r="U16" i="35"/>
  <c r="V16" i="35"/>
  <c r="W16" i="35"/>
  <c r="X16" i="35"/>
  <c r="Y16" i="35"/>
  <c r="Z16" i="35"/>
  <c r="AA16" i="35"/>
  <c r="AB16" i="35"/>
  <c r="Q17" i="35"/>
  <c r="R17" i="35"/>
  <c r="S17" i="35"/>
  <c r="T17" i="35"/>
  <c r="U17" i="35"/>
  <c r="V17" i="35"/>
  <c r="W17" i="35"/>
  <c r="X17" i="35"/>
  <c r="Y17" i="35"/>
  <c r="Z17" i="35"/>
  <c r="AA17" i="35"/>
  <c r="AB17" i="35"/>
  <c r="Q18" i="35"/>
  <c r="R18" i="35"/>
  <c r="S18" i="35"/>
  <c r="T18" i="35"/>
  <c r="U18" i="35"/>
  <c r="V18" i="35"/>
  <c r="W18" i="35"/>
  <c r="X18" i="35"/>
  <c r="Y18" i="35"/>
  <c r="Z18" i="35"/>
  <c r="AA18" i="35"/>
  <c r="AB18" i="35"/>
  <c r="Q19" i="35"/>
  <c r="R19" i="35"/>
  <c r="S19" i="35"/>
  <c r="T19" i="35"/>
  <c r="U19" i="35"/>
  <c r="V19" i="35"/>
  <c r="W19" i="35"/>
  <c r="X19" i="35"/>
  <c r="Y19" i="35"/>
  <c r="Z19" i="35"/>
  <c r="AA19" i="35"/>
  <c r="AB19" i="35"/>
  <c r="AC61" i="35"/>
  <c r="Q62" i="35"/>
  <c r="Q61" i="35" s="1"/>
  <c r="AA5" i="31"/>
  <c r="AB5" i="31"/>
  <c r="I87" i="20"/>
  <c r="I69" i="34"/>
  <c r="I54" i="34"/>
  <c r="BC80" i="27"/>
  <c r="AQ72" i="27"/>
  <c r="AR72" i="27" s="1"/>
  <c r="AS72" i="27" s="1"/>
  <c r="AT72" i="27" s="1"/>
  <c r="AU72" i="27" s="1"/>
  <c r="AV72" i="27" s="1"/>
  <c r="AW72" i="27" s="1"/>
  <c r="AX72" i="27" s="1"/>
  <c r="AY72" i="27" s="1"/>
  <c r="AZ72" i="27" s="1"/>
  <c r="BA72" i="27" s="1"/>
  <c r="BB72" i="27" s="1"/>
  <c r="AC25" i="30"/>
  <c r="AC41" i="30" s="1"/>
  <c r="AC79" i="30" s="1"/>
  <c r="AC25" i="31"/>
  <c r="AC41" i="31" s="1"/>
  <c r="R107" i="27"/>
  <c r="Q27" i="31"/>
  <c r="Q43" i="31" s="1"/>
  <c r="Q105" i="27"/>
  <c r="Q27" i="30"/>
  <c r="Q43" i="30" s="1"/>
  <c r="Q5" i="32"/>
  <c r="R10" i="29"/>
  <c r="Q9" i="27"/>
  <c r="AP9" i="27"/>
  <c r="AD10" i="29"/>
  <c r="BC10" i="31"/>
  <c r="AQ10" i="31" s="1"/>
  <c r="AR10" i="31" s="1"/>
  <c r="AS10" i="31" s="1"/>
  <c r="AT10" i="31" s="1"/>
  <c r="AU10" i="31" s="1"/>
  <c r="AV10" i="31" s="1"/>
  <c r="AW10" i="31" s="1"/>
  <c r="AX10" i="31" s="1"/>
  <c r="AY10" i="31" s="1"/>
  <c r="AZ10" i="31" s="1"/>
  <c r="BA10" i="31" s="1"/>
  <c r="BB10" i="31" s="1"/>
  <c r="BC10" i="29"/>
  <c r="BC10" i="30"/>
  <c r="AQ10" i="30" s="1"/>
  <c r="AR10" i="30" s="1"/>
  <c r="AS10" i="30" s="1"/>
  <c r="AT10" i="30" s="1"/>
  <c r="AU10" i="30" s="1"/>
  <c r="AV10" i="30" s="1"/>
  <c r="AW10" i="30" s="1"/>
  <c r="AX10" i="30" s="1"/>
  <c r="AY10" i="30" s="1"/>
  <c r="AZ10" i="30" s="1"/>
  <c r="BA10" i="30" s="1"/>
  <c r="BB10" i="30" s="1"/>
  <c r="BP100" i="27"/>
  <c r="AQ100" i="27"/>
  <c r="AR100" i="27" s="1"/>
  <c r="AS100" i="27" s="1"/>
  <c r="AT100" i="27" s="1"/>
  <c r="AU100" i="27" s="1"/>
  <c r="AV100" i="27" s="1"/>
  <c r="AW100" i="27" s="1"/>
  <c r="AX100" i="27" s="1"/>
  <c r="AY100" i="27" s="1"/>
  <c r="AZ100" i="27" s="1"/>
  <c r="BA100" i="27" s="1"/>
  <c r="BB100" i="27" s="1"/>
  <c r="BC12" i="31"/>
  <c r="AQ12" i="31" s="1"/>
  <c r="AR12" i="31" s="1"/>
  <c r="AS12" i="31" s="1"/>
  <c r="AT12" i="31" s="1"/>
  <c r="AU12" i="31" s="1"/>
  <c r="AV12" i="31" s="1"/>
  <c r="AW12" i="31" s="1"/>
  <c r="AX12" i="31" s="1"/>
  <c r="AY12" i="31" s="1"/>
  <c r="AZ12" i="31" s="1"/>
  <c r="BA12" i="31" s="1"/>
  <c r="BB12" i="31" s="1"/>
  <c r="BC12" i="29"/>
  <c r="BC12" i="30"/>
  <c r="AQ12" i="30" s="1"/>
  <c r="AR12" i="30" s="1"/>
  <c r="AS12" i="30" s="1"/>
  <c r="AT12" i="30" s="1"/>
  <c r="AU12" i="30" s="1"/>
  <c r="AV12" i="30" s="1"/>
  <c r="AW12" i="30" s="1"/>
  <c r="AX12" i="30" s="1"/>
  <c r="AY12" i="30" s="1"/>
  <c r="AZ12" i="30" s="1"/>
  <c r="BA12" i="30" s="1"/>
  <c r="BB12" i="30" s="1"/>
  <c r="BP101" i="27"/>
  <c r="AQ101" i="27"/>
  <c r="AR101" i="27" s="1"/>
  <c r="AS101" i="27" s="1"/>
  <c r="AT101" i="27" s="1"/>
  <c r="AU101" i="27" s="1"/>
  <c r="AV101" i="27" s="1"/>
  <c r="AW101" i="27" s="1"/>
  <c r="AX101" i="27" s="1"/>
  <c r="AY101" i="27" s="1"/>
  <c r="AZ101" i="27" s="1"/>
  <c r="BA101" i="27" s="1"/>
  <c r="BB101" i="27" s="1"/>
  <c r="AP11" i="27"/>
  <c r="AD12" i="29"/>
  <c r="R12" i="29"/>
  <c r="Q11" i="27"/>
  <c r="Q7" i="32"/>
  <c r="E24" i="30"/>
  <c r="E40" i="30" s="1"/>
  <c r="E24" i="31"/>
  <c r="E40" i="31" s="1"/>
  <c r="F23" i="31"/>
  <c r="F39" i="31" s="1"/>
  <c r="F23" i="30"/>
  <c r="F39" i="30" s="1"/>
  <c r="F104" i="27"/>
  <c r="G103" i="27"/>
  <c r="AP24" i="31"/>
  <c r="AP40" i="31" s="1"/>
  <c r="AP24" i="30"/>
  <c r="AP40" i="30" s="1"/>
  <c r="AQ103" i="27"/>
  <c r="AR103" i="27" s="1"/>
  <c r="AS103" i="27" s="1"/>
  <c r="AT103" i="27" s="1"/>
  <c r="AU103" i="27" s="1"/>
  <c r="AV103" i="27" s="1"/>
  <c r="BC23" i="30"/>
  <c r="BC39" i="30" s="1"/>
  <c r="BC23" i="31"/>
  <c r="BC39" i="31" s="1"/>
  <c r="BP103" i="27"/>
  <c r="BC104" i="27"/>
  <c r="AQ106" i="27"/>
  <c r="AR106" i="27" s="1"/>
  <c r="BC26" i="31"/>
  <c r="BC42" i="31" s="1"/>
  <c r="BP106" i="27"/>
  <c r="BC26" i="30"/>
  <c r="BC42" i="30" s="1"/>
  <c r="AD107" i="27"/>
  <c r="AP27" i="31"/>
  <c r="AP43" i="31" s="1"/>
  <c r="BC107" i="27"/>
  <c r="AP27" i="30"/>
  <c r="AP43" i="30" s="1"/>
  <c r="AD108" i="27"/>
  <c r="AP28" i="30"/>
  <c r="AP44" i="30" s="1"/>
  <c r="BC108" i="27"/>
  <c r="AP28" i="31"/>
  <c r="AP44" i="31" s="1"/>
  <c r="BP110" i="27"/>
  <c r="BC54" i="32"/>
  <c r="AQ54" i="32" s="1"/>
  <c r="AR54" i="32" s="1"/>
  <c r="AS54" i="32" s="1"/>
  <c r="AT54" i="32" s="1"/>
  <c r="AU54" i="32" s="1"/>
  <c r="AV54" i="32" s="1"/>
  <c r="AW54" i="32" s="1"/>
  <c r="AX54" i="32" s="1"/>
  <c r="AY54" i="32" s="1"/>
  <c r="AZ54" i="32" s="1"/>
  <c r="BA54" i="32" s="1"/>
  <c r="BB54" i="32" s="1"/>
  <c r="AQ110" i="27"/>
  <c r="AR110" i="27" s="1"/>
  <c r="AS110" i="27" s="1"/>
  <c r="AT110" i="27" s="1"/>
  <c r="AU110" i="27" s="1"/>
  <c r="AV110" i="27" s="1"/>
  <c r="AW110" i="27" s="1"/>
  <c r="AX110" i="27" s="1"/>
  <c r="AY110" i="27" s="1"/>
  <c r="AZ110" i="27" s="1"/>
  <c r="BA110" i="27" s="1"/>
  <c r="BB110" i="27" s="1"/>
  <c r="AD112" i="27"/>
  <c r="AE112" i="27" s="1"/>
  <c r="AF112" i="27" s="1"/>
  <c r="AG112" i="27" s="1"/>
  <c r="AH112" i="27" s="1"/>
  <c r="AI112" i="27" s="1"/>
  <c r="AJ112" i="27" s="1"/>
  <c r="AK112" i="27" s="1"/>
  <c r="AL112" i="27" s="1"/>
  <c r="AM112" i="27" s="1"/>
  <c r="AN112" i="27" s="1"/>
  <c r="AO112" i="27" s="1"/>
  <c r="AP32" i="29"/>
  <c r="BC112" i="27"/>
  <c r="AD113" i="27"/>
  <c r="AE113" i="27" s="1"/>
  <c r="AF113" i="27" s="1"/>
  <c r="AG113" i="27" s="1"/>
  <c r="AH113" i="27" s="1"/>
  <c r="AI113" i="27" s="1"/>
  <c r="AJ113" i="27" s="1"/>
  <c r="AK113" i="27" s="1"/>
  <c r="AL113" i="27" s="1"/>
  <c r="AM113" i="27" s="1"/>
  <c r="AN113" i="27" s="1"/>
  <c r="AO113" i="27" s="1"/>
  <c r="BC113" i="27"/>
  <c r="AP84" i="30"/>
  <c r="BP118" i="27"/>
  <c r="BD118" i="27" s="1"/>
  <c r="BE118" i="27" s="1"/>
  <c r="BF118" i="27" s="1"/>
  <c r="BG118" i="27" s="1"/>
  <c r="BH118" i="27" s="1"/>
  <c r="BI118" i="27" s="1"/>
  <c r="BJ118" i="27" s="1"/>
  <c r="BK118" i="27" s="1"/>
  <c r="BL118" i="27" s="1"/>
  <c r="BM118" i="27" s="1"/>
  <c r="BN118" i="27" s="1"/>
  <c r="BO118" i="27" s="1"/>
  <c r="AQ118" i="27"/>
  <c r="AR118" i="27" s="1"/>
  <c r="AS118" i="27" s="1"/>
  <c r="AT118" i="27" s="1"/>
  <c r="AU118" i="27" s="1"/>
  <c r="AV118" i="27" s="1"/>
  <c r="AW118" i="27" s="1"/>
  <c r="AX118" i="27" s="1"/>
  <c r="AY118" i="27" s="1"/>
  <c r="AZ118" i="27" s="1"/>
  <c r="BA118" i="27" s="1"/>
  <c r="BB118" i="27" s="1"/>
  <c r="BP122" i="27"/>
  <c r="BD122" i="27" s="1"/>
  <c r="BE122" i="27" s="1"/>
  <c r="BF122" i="27" s="1"/>
  <c r="BG122" i="27" s="1"/>
  <c r="BH122" i="27" s="1"/>
  <c r="BI122" i="27" s="1"/>
  <c r="BJ122" i="27" s="1"/>
  <c r="BK122" i="27" s="1"/>
  <c r="BL122" i="27" s="1"/>
  <c r="BM122" i="27" s="1"/>
  <c r="BN122" i="27" s="1"/>
  <c r="BO122" i="27" s="1"/>
  <c r="AQ122" i="27"/>
  <c r="AR122" i="27" s="1"/>
  <c r="AS122" i="27" s="1"/>
  <c r="AT122" i="27" s="1"/>
  <c r="AU122" i="27" s="1"/>
  <c r="AV122" i="27" s="1"/>
  <c r="AW122" i="27" s="1"/>
  <c r="AX122" i="27" s="1"/>
  <c r="AY122" i="27" s="1"/>
  <c r="AZ122" i="27" s="1"/>
  <c r="BA122" i="27" s="1"/>
  <c r="BB122" i="27" s="1"/>
  <c r="BP123" i="27"/>
  <c r="BD123" i="27" s="1"/>
  <c r="BE123" i="27" s="1"/>
  <c r="BF123" i="27" s="1"/>
  <c r="BG123" i="27" s="1"/>
  <c r="BH123" i="27" s="1"/>
  <c r="BI123" i="27" s="1"/>
  <c r="BJ123" i="27" s="1"/>
  <c r="BK123" i="27" s="1"/>
  <c r="BL123" i="27" s="1"/>
  <c r="BM123" i="27" s="1"/>
  <c r="BN123" i="27" s="1"/>
  <c r="BO123" i="27" s="1"/>
  <c r="AQ123" i="27"/>
  <c r="AR123" i="27" s="1"/>
  <c r="AS123" i="27" s="1"/>
  <c r="AT123" i="27" s="1"/>
  <c r="AU123" i="27" s="1"/>
  <c r="AV123" i="27" s="1"/>
  <c r="AW123" i="27" s="1"/>
  <c r="AX123" i="27" s="1"/>
  <c r="AY123" i="27" s="1"/>
  <c r="AZ123" i="27" s="1"/>
  <c r="BA123" i="27" s="1"/>
  <c r="BB123" i="27" s="1"/>
  <c r="BP126" i="27"/>
  <c r="BD126" i="27" s="1"/>
  <c r="BE126" i="27" s="1"/>
  <c r="BF126" i="27" s="1"/>
  <c r="BG126" i="27" s="1"/>
  <c r="BH126" i="27" s="1"/>
  <c r="BI126" i="27" s="1"/>
  <c r="BJ126" i="27" s="1"/>
  <c r="BK126" i="27" s="1"/>
  <c r="BL126" i="27" s="1"/>
  <c r="BM126" i="27" s="1"/>
  <c r="BN126" i="27" s="1"/>
  <c r="BO126" i="27" s="1"/>
  <c r="AQ126" i="27"/>
  <c r="AR126" i="27" s="1"/>
  <c r="AS126" i="27" s="1"/>
  <c r="AT126" i="27" s="1"/>
  <c r="AU126" i="27" s="1"/>
  <c r="AV126" i="27" s="1"/>
  <c r="AW126" i="27" s="1"/>
  <c r="AX126" i="27" s="1"/>
  <c r="AY126" i="27" s="1"/>
  <c r="AZ126" i="27" s="1"/>
  <c r="BA126" i="27" s="1"/>
  <c r="BB126" i="27" s="1"/>
  <c r="BP127" i="27"/>
  <c r="BD127" i="27" s="1"/>
  <c r="BE127" i="27" s="1"/>
  <c r="BF127" i="27" s="1"/>
  <c r="BG127" i="27" s="1"/>
  <c r="BH127" i="27" s="1"/>
  <c r="BI127" i="27" s="1"/>
  <c r="BJ127" i="27" s="1"/>
  <c r="BK127" i="27" s="1"/>
  <c r="BL127" i="27" s="1"/>
  <c r="BM127" i="27" s="1"/>
  <c r="BN127" i="27" s="1"/>
  <c r="BO127" i="27" s="1"/>
  <c r="AQ127" i="27"/>
  <c r="AR127" i="27" s="1"/>
  <c r="AS127" i="27" s="1"/>
  <c r="AT127" i="27" s="1"/>
  <c r="AU127" i="27" s="1"/>
  <c r="AV127" i="27" s="1"/>
  <c r="AW127" i="27" s="1"/>
  <c r="AX127" i="27" s="1"/>
  <c r="AY127" i="27" s="1"/>
  <c r="AZ127" i="27" s="1"/>
  <c r="BA127" i="27" s="1"/>
  <c r="BB127" i="27" s="1"/>
  <c r="BP128" i="27"/>
  <c r="BD128" i="27" s="1"/>
  <c r="BE128" i="27" s="1"/>
  <c r="BF128" i="27" s="1"/>
  <c r="BG128" i="27" s="1"/>
  <c r="BH128" i="27" s="1"/>
  <c r="BI128" i="27" s="1"/>
  <c r="BJ128" i="27" s="1"/>
  <c r="BK128" i="27" s="1"/>
  <c r="BL128" i="27" s="1"/>
  <c r="BM128" i="27" s="1"/>
  <c r="BN128" i="27" s="1"/>
  <c r="BO128" i="27" s="1"/>
  <c r="AQ128" i="27"/>
  <c r="AR128" i="27" s="1"/>
  <c r="AS128" i="27" s="1"/>
  <c r="AT128" i="27" s="1"/>
  <c r="AU128" i="27" s="1"/>
  <c r="AV128" i="27" s="1"/>
  <c r="AW128" i="27" s="1"/>
  <c r="AX128" i="27" s="1"/>
  <c r="AY128" i="27" s="1"/>
  <c r="AZ128" i="27" s="1"/>
  <c r="BA128" i="27" s="1"/>
  <c r="BB128" i="27" s="1"/>
  <c r="BP129" i="27"/>
  <c r="BD129" i="27" s="1"/>
  <c r="BE129" i="27" s="1"/>
  <c r="BF129" i="27" s="1"/>
  <c r="BG129" i="27" s="1"/>
  <c r="BH129" i="27" s="1"/>
  <c r="BI129" i="27" s="1"/>
  <c r="BJ129" i="27" s="1"/>
  <c r="BK129" i="27" s="1"/>
  <c r="BL129" i="27" s="1"/>
  <c r="BM129" i="27" s="1"/>
  <c r="BN129" i="27" s="1"/>
  <c r="BO129" i="27" s="1"/>
  <c r="AQ129" i="27"/>
  <c r="AR129" i="27" s="1"/>
  <c r="AS129" i="27" s="1"/>
  <c r="AT129" i="27" s="1"/>
  <c r="AU129" i="27" s="1"/>
  <c r="AV129" i="27" s="1"/>
  <c r="AW129" i="27" s="1"/>
  <c r="AX129" i="27" s="1"/>
  <c r="AY129" i="27" s="1"/>
  <c r="AZ129" i="27" s="1"/>
  <c r="BA129" i="27" s="1"/>
  <c r="BB129" i="27" s="1"/>
  <c r="BP130" i="27"/>
  <c r="BD130" i="27" s="1"/>
  <c r="BE130" i="27" s="1"/>
  <c r="BF130" i="27" s="1"/>
  <c r="BG130" i="27" s="1"/>
  <c r="BH130" i="27" s="1"/>
  <c r="BI130" i="27" s="1"/>
  <c r="BJ130" i="27" s="1"/>
  <c r="BK130" i="27" s="1"/>
  <c r="BL130" i="27" s="1"/>
  <c r="BM130" i="27" s="1"/>
  <c r="BN130" i="27" s="1"/>
  <c r="BO130" i="27" s="1"/>
  <c r="AQ130" i="27"/>
  <c r="AR130" i="27" s="1"/>
  <c r="AS130" i="27" s="1"/>
  <c r="AT130" i="27" s="1"/>
  <c r="AU130" i="27" s="1"/>
  <c r="AV130" i="27" s="1"/>
  <c r="AW130" i="27" s="1"/>
  <c r="AX130" i="27" s="1"/>
  <c r="AY130" i="27" s="1"/>
  <c r="AZ130" i="27" s="1"/>
  <c r="BA130" i="27" s="1"/>
  <c r="BB130" i="27" s="1"/>
  <c r="BP131" i="27"/>
  <c r="BD131" i="27" s="1"/>
  <c r="BE131" i="27" s="1"/>
  <c r="BF131" i="27" s="1"/>
  <c r="BG131" i="27" s="1"/>
  <c r="BH131" i="27" s="1"/>
  <c r="BI131" i="27" s="1"/>
  <c r="BJ131" i="27" s="1"/>
  <c r="BK131" i="27" s="1"/>
  <c r="BL131" i="27" s="1"/>
  <c r="BM131" i="27" s="1"/>
  <c r="BN131" i="27" s="1"/>
  <c r="BO131" i="27" s="1"/>
  <c r="AQ131" i="27"/>
  <c r="AR131" i="27" s="1"/>
  <c r="AS131" i="27" s="1"/>
  <c r="AT131" i="27" s="1"/>
  <c r="AU131" i="27" s="1"/>
  <c r="AV131" i="27" s="1"/>
  <c r="AW131" i="27" s="1"/>
  <c r="AX131" i="27" s="1"/>
  <c r="AY131" i="27" s="1"/>
  <c r="AZ131" i="27" s="1"/>
  <c r="BA131" i="27" s="1"/>
  <c r="BB131" i="27" s="1"/>
  <c r="BP133" i="27"/>
  <c r="BD133" i="27" s="1"/>
  <c r="BE133" i="27" s="1"/>
  <c r="BF133" i="27" s="1"/>
  <c r="BG133" i="27" s="1"/>
  <c r="AQ133" i="27"/>
  <c r="AR133" i="27" s="1"/>
  <c r="AS133" i="27" s="1"/>
  <c r="AT133" i="27" s="1"/>
  <c r="BP134" i="27"/>
  <c r="BD134" i="27" s="1"/>
  <c r="BE134" i="27" s="1"/>
  <c r="BF134" i="27" s="1"/>
  <c r="BG134" i="27" s="1"/>
  <c r="BH134" i="27" s="1"/>
  <c r="BI134" i="27" s="1"/>
  <c r="BJ134" i="27" s="1"/>
  <c r="BK134" i="27" s="1"/>
  <c r="BL134" i="27" s="1"/>
  <c r="BM134" i="27" s="1"/>
  <c r="BN134" i="27" s="1"/>
  <c r="BO134" i="27" s="1"/>
  <c r="AQ134" i="27"/>
  <c r="AR134" i="27" s="1"/>
  <c r="AS134" i="27" s="1"/>
  <c r="AT134" i="27" s="1"/>
  <c r="AU134" i="27" s="1"/>
  <c r="AV134" i="27" s="1"/>
  <c r="AW134" i="27" s="1"/>
  <c r="AX134" i="27" s="1"/>
  <c r="AY134" i="27" s="1"/>
  <c r="AZ134" i="27" s="1"/>
  <c r="BA134" i="27" s="1"/>
  <c r="BB134" i="27" s="1"/>
  <c r="BP135" i="27"/>
  <c r="BD135" i="27" s="1"/>
  <c r="BE135" i="27" s="1"/>
  <c r="BF135" i="27" s="1"/>
  <c r="BG135" i="27" s="1"/>
  <c r="BH135" i="27" s="1"/>
  <c r="BI135" i="27" s="1"/>
  <c r="BJ135" i="27" s="1"/>
  <c r="BK135" i="27" s="1"/>
  <c r="BL135" i="27" s="1"/>
  <c r="BM135" i="27" s="1"/>
  <c r="BN135" i="27" s="1"/>
  <c r="BO135" i="27" s="1"/>
  <c r="AQ135" i="27"/>
  <c r="AR135" i="27" s="1"/>
  <c r="AS135" i="27" s="1"/>
  <c r="AT135" i="27" s="1"/>
  <c r="AU135" i="27" s="1"/>
  <c r="AV135" i="27" s="1"/>
  <c r="AW135" i="27" s="1"/>
  <c r="AX135" i="27" s="1"/>
  <c r="AY135" i="27" s="1"/>
  <c r="AZ135" i="27" s="1"/>
  <c r="BA135" i="27" s="1"/>
  <c r="BB135" i="27" s="1"/>
  <c r="BP136" i="27"/>
  <c r="BD136" i="27" s="1"/>
  <c r="BE136" i="27" s="1"/>
  <c r="BF136" i="27" s="1"/>
  <c r="BG136" i="27" s="1"/>
  <c r="BH136" i="27" s="1"/>
  <c r="BI136" i="27" s="1"/>
  <c r="BJ136" i="27" s="1"/>
  <c r="BK136" i="27" s="1"/>
  <c r="BL136" i="27" s="1"/>
  <c r="BM136" i="27" s="1"/>
  <c r="BN136" i="27" s="1"/>
  <c r="BO136" i="27" s="1"/>
  <c r="AQ136" i="27"/>
  <c r="AR136" i="27" s="1"/>
  <c r="AS136" i="27" s="1"/>
  <c r="AT136" i="27" s="1"/>
  <c r="AU136" i="27" s="1"/>
  <c r="AV136" i="27" s="1"/>
  <c r="AW136" i="27" s="1"/>
  <c r="AX136" i="27" s="1"/>
  <c r="AY136" i="27" s="1"/>
  <c r="AZ136" i="27" s="1"/>
  <c r="BA136" i="27" s="1"/>
  <c r="BB136" i="27" s="1"/>
  <c r="BP137" i="27"/>
  <c r="BD137" i="27" s="1"/>
  <c r="BE137" i="27" s="1"/>
  <c r="BF137" i="27" s="1"/>
  <c r="BG137" i="27" s="1"/>
  <c r="BH137" i="27" s="1"/>
  <c r="BI137" i="27" s="1"/>
  <c r="BJ137" i="27" s="1"/>
  <c r="BK137" i="27" s="1"/>
  <c r="BL137" i="27" s="1"/>
  <c r="BM137" i="27" s="1"/>
  <c r="BN137" i="27" s="1"/>
  <c r="BO137" i="27" s="1"/>
  <c r="AQ137" i="27"/>
  <c r="AR137" i="27" s="1"/>
  <c r="AS137" i="27" s="1"/>
  <c r="AT137" i="27" s="1"/>
  <c r="AU137" i="27" s="1"/>
  <c r="AV137" i="27" s="1"/>
  <c r="AW137" i="27" s="1"/>
  <c r="AX137" i="27" s="1"/>
  <c r="AY137" i="27" s="1"/>
  <c r="AZ137" i="27" s="1"/>
  <c r="BA137" i="27" s="1"/>
  <c r="BB137" i="27" s="1"/>
  <c r="Q32" i="29"/>
  <c r="R32" i="29" s="1"/>
  <c r="S32" i="29" s="1"/>
  <c r="T32" i="29" s="1"/>
  <c r="Q84" i="30"/>
  <c r="R84" i="30" s="1"/>
  <c r="S84" i="30" s="1"/>
  <c r="T84" i="30" s="1"/>
  <c r="AD104" i="27"/>
  <c r="AD23" i="30"/>
  <c r="AD39" i="30" s="1"/>
  <c r="AD23" i="31"/>
  <c r="AD39" i="31" s="1"/>
  <c r="AF103" i="27"/>
  <c r="AE23" i="31"/>
  <c r="AE39" i="31" s="1"/>
  <c r="AE104" i="27"/>
  <c r="AE23" i="30"/>
  <c r="AE39" i="30" s="1"/>
  <c r="AD26" i="31"/>
  <c r="AD42" i="31" s="1"/>
  <c r="AD26" i="30"/>
  <c r="AD42" i="30" s="1"/>
  <c r="AP25" i="30"/>
  <c r="AP41" i="30" s="1"/>
  <c r="AP25" i="31"/>
  <c r="AP41" i="31" s="1"/>
  <c r="AF106" i="27"/>
  <c r="AE26" i="31"/>
  <c r="AE42" i="31" s="1"/>
  <c r="AE26" i="30"/>
  <c r="AE42" i="30" s="1"/>
  <c r="T28" i="25"/>
  <c r="D104" i="36" s="1"/>
  <c r="BP82" i="30"/>
  <c r="BD82" i="30" s="1"/>
  <c r="BE82" i="30" s="1"/>
  <c r="BF82" i="30" s="1"/>
  <c r="BG82" i="30" s="1"/>
  <c r="BH82" i="30" s="1"/>
  <c r="BI82" i="30" s="1"/>
  <c r="BJ82" i="30" s="1"/>
  <c r="BK82" i="30" s="1"/>
  <c r="BL82" i="30" s="1"/>
  <c r="BM82" i="30" s="1"/>
  <c r="BN82" i="30" s="1"/>
  <c r="BO82" i="30" s="1"/>
  <c r="AQ82" i="30"/>
  <c r="AR82" i="30" s="1"/>
  <c r="AS82" i="30" s="1"/>
  <c r="AT82" i="30" s="1"/>
  <c r="AU82" i="30" s="1"/>
  <c r="AV82" i="30" s="1"/>
  <c r="AW82" i="30" s="1"/>
  <c r="AX82" i="30" s="1"/>
  <c r="AY82" i="30" s="1"/>
  <c r="AZ82" i="30" s="1"/>
  <c r="BA82" i="30" s="1"/>
  <c r="BB82" i="30" s="1"/>
  <c r="X5" i="29"/>
  <c r="Y5" i="29" s="1"/>
  <c r="Z5" i="29" s="1"/>
  <c r="AA5" i="29" s="1"/>
  <c r="AB5" i="29" s="1"/>
  <c r="BP71" i="28"/>
  <c r="BD71" i="28" s="1"/>
  <c r="BE71" i="28" s="1"/>
  <c r="BF71" i="28" s="1"/>
  <c r="BG71" i="28" s="1"/>
  <c r="AQ71" i="28"/>
  <c r="AR71" i="28" s="1"/>
  <c r="AS71" i="28" s="1"/>
  <c r="AT71" i="28" s="1"/>
  <c r="E84" i="28"/>
  <c r="E34" i="28"/>
  <c r="E91" i="28" s="1"/>
  <c r="F27" i="28"/>
  <c r="F86" i="28"/>
  <c r="BR86" i="28" s="1"/>
  <c r="E96" i="34" s="1"/>
  <c r="D36" i="28"/>
  <c r="D92" i="28"/>
  <c r="H24" i="28"/>
  <c r="G29" i="28"/>
  <c r="BP24" i="28"/>
  <c r="BD24" i="28" s="1"/>
  <c r="BE24" i="28" s="1"/>
  <c r="BF24" i="28" s="1"/>
  <c r="BG24" i="28" s="1"/>
  <c r="BH24" i="28" s="1"/>
  <c r="BI24" i="28" s="1"/>
  <c r="BJ24" i="28" s="1"/>
  <c r="BK24" i="28" s="1"/>
  <c r="BL24" i="28" s="1"/>
  <c r="BM24" i="28" s="1"/>
  <c r="BN24" i="28" s="1"/>
  <c r="BO24" i="28" s="1"/>
  <c r="AQ24" i="28"/>
  <c r="AR24" i="28" s="1"/>
  <c r="AS24" i="28" s="1"/>
  <c r="AT24" i="28" s="1"/>
  <c r="AU24" i="28" s="1"/>
  <c r="AV24" i="28" s="1"/>
  <c r="AW24" i="28" s="1"/>
  <c r="AX24" i="28" s="1"/>
  <c r="AY24" i="28" s="1"/>
  <c r="AZ24" i="28" s="1"/>
  <c r="BA24" i="28" s="1"/>
  <c r="BB24" i="28" s="1"/>
  <c r="BC64" i="28"/>
  <c r="AD64" i="28"/>
  <c r="AE64" i="28" s="1"/>
  <c r="AF64" i="28" s="1"/>
  <c r="AG64" i="28" s="1"/>
  <c r="BP65" i="28"/>
  <c r="BD65" i="28" s="1"/>
  <c r="BE65" i="28" s="1"/>
  <c r="BF65" i="28" s="1"/>
  <c r="BG65" i="28" s="1"/>
  <c r="AQ65" i="28"/>
  <c r="AR65" i="28" s="1"/>
  <c r="AS65" i="28" s="1"/>
  <c r="AT65" i="28" s="1"/>
  <c r="BC67" i="28"/>
  <c r="AD67" i="28"/>
  <c r="AE67" i="28" s="1"/>
  <c r="AF67" i="28" s="1"/>
  <c r="AG67" i="28" s="1"/>
  <c r="AH67" i="28" s="1"/>
  <c r="AI67" i="28" s="1"/>
  <c r="AJ67" i="28" s="1"/>
  <c r="AK67" i="28" s="1"/>
  <c r="AL67" i="28" s="1"/>
  <c r="AM67" i="28" s="1"/>
  <c r="AN67" i="28" s="1"/>
  <c r="AO67" i="28" s="1"/>
  <c r="BC68" i="28"/>
  <c r="AD68" i="28"/>
  <c r="AE68" i="28" s="1"/>
  <c r="AF68" i="28" s="1"/>
  <c r="AG68" i="28" s="1"/>
  <c r="AH68" i="28" s="1"/>
  <c r="AI68" i="28" s="1"/>
  <c r="AJ68" i="28" s="1"/>
  <c r="AK68" i="28" s="1"/>
  <c r="AL68" i="28" s="1"/>
  <c r="AM68" i="28" s="1"/>
  <c r="AN68" i="28" s="1"/>
  <c r="AO68" i="28" s="1"/>
  <c r="BC69" i="28"/>
  <c r="AD69" i="28"/>
  <c r="AE69" i="28" s="1"/>
  <c r="AF69" i="28" s="1"/>
  <c r="AG69" i="28" s="1"/>
  <c r="AH69" i="28" s="1"/>
  <c r="AI69" i="28" s="1"/>
  <c r="AJ69" i="28" s="1"/>
  <c r="AK69" i="28" s="1"/>
  <c r="AL69" i="28" s="1"/>
  <c r="AM69" i="28" s="1"/>
  <c r="AN69" i="28" s="1"/>
  <c r="AO69" i="28" s="1"/>
  <c r="BC81" i="30"/>
  <c r="AD81" i="30"/>
  <c r="AE81" i="30" s="1"/>
  <c r="AF81" i="30" s="1"/>
  <c r="AG81" i="30" s="1"/>
  <c r="AH81" i="30" s="1"/>
  <c r="AI81" i="30" s="1"/>
  <c r="AJ81" i="30" s="1"/>
  <c r="AK81" i="30" s="1"/>
  <c r="AL81" i="30" s="1"/>
  <c r="AM81" i="30" s="1"/>
  <c r="AN81" i="30" s="1"/>
  <c r="AO81" i="30" s="1"/>
  <c r="M6" i="29"/>
  <c r="L5" i="27"/>
  <c r="BP30" i="29"/>
  <c r="BD30" i="29" s="1"/>
  <c r="BE30" i="29" s="1"/>
  <c r="BF30" i="29" s="1"/>
  <c r="BG30" i="29" s="1"/>
  <c r="BH30" i="29" s="1"/>
  <c r="BI30" i="29" s="1"/>
  <c r="BJ30" i="29" s="1"/>
  <c r="BK30" i="29" s="1"/>
  <c r="BL30" i="29" s="1"/>
  <c r="BM30" i="29" s="1"/>
  <c r="BN30" i="29" s="1"/>
  <c r="BO30" i="29" s="1"/>
  <c r="AQ30" i="29"/>
  <c r="AR30" i="29" s="1"/>
  <c r="AS30" i="29" s="1"/>
  <c r="AT30" i="29" s="1"/>
  <c r="AU30" i="29" s="1"/>
  <c r="AV30" i="29" s="1"/>
  <c r="AW30" i="29" s="1"/>
  <c r="AX30" i="29" s="1"/>
  <c r="AY30" i="29" s="1"/>
  <c r="AZ30" i="29" s="1"/>
  <c r="BA30" i="29" s="1"/>
  <c r="BB30" i="29" s="1"/>
  <c r="BP33" i="29"/>
  <c r="BD33" i="29" s="1"/>
  <c r="BE33" i="29" s="1"/>
  <c r="BF33" i="29" s="1"/>
  <c r="BG33" i="29" s="1"/>
  <c r="AQ33" i="29"/>
  <c r="AR33" i="29" s="1"/>
  <c r="AS33" i="29" s="1"/>
  <c r="AT33" i="29" s="1"/>
  <c r="BP67" i="31"/>
  <c r="BD67" i="31" s="1"/>
  <c r="BE67" i="31" s="1"/>
  <c r="BF67" i="31" s="1"/>
  <c r="BG67" i="31" s="1"/>
  <c r="BH67" i="31" s="1"/>
  <c r="BI67" i="31" s="1"/>
  <c r="BJ67" i="31" s="1"/>
  <c r="BK67" i="31" s="1"/>
  <c r="BL67" i="31" s="1"/>
  <c r="BM67" i="31" s="1"/>
  <c r="BN67" i="31" s="1"/>
  <c r="BO67" i="31" s="1"/>
  <c r="AQ67" i="31"/>
  <c r="AR67" i="31" s="1"/>
  <c r="AS67" i="31" s="1"/>
  <c r="AT67" i="31" s="1"/>
  <c r="AU67" i="31" s="1"/>
  <c r="AV67" i="31" s="1"/>
  <c r="AW67" i="31" s="1"/>
  <c r="AX67" i="31" s="1"/>
  <c r="AY67" i="31" s="1"/>
  <c r="AZ67" i="31" s="1"/>
  <c r="BA67" i="31" s="1"/>
  <c r="BB67" i="31" s="1"/>
  <c r="G11" i="21"/>
  <c r="G14" i="21"/>
  <c r="G15" i="21" s="1"/>
  <c r="F11" i="21"/>
  <c r="F14" i="21"/>
  <c r="F15" i="21" s="1"/>
  <c r="E11" i="21"/>
  <c r="E14" i="21"/>
  <c r="E15" i="21" s="1"/>
  <c r="BP76" i="30"/>
  <c r="BD76" i="30" s="1"/>
  <c r="BE76" i="30" s="1"/>
  <c r="BF76" i="30" s="1"/>
  <c r="BG76" i="30" s="1"/>
  <c r="BH76" i="30" s="1"/>
  <c r="BI76" i="30" s="1"/>
  <c r="BJ76" i="30" s="1"/>
  <c r="BK76" i="30" s="1"/>
  <c r="BL76" i="30" s="1"/>
  <c r="BM76" i="30" s="1"/>
  <c r="BN76" i="30" s="1"/>
  <c r="BO76" i="30" s="1"/>
  <c r="AQ76" i="30"/>
  <c r="AR76" i="30" s="1"/>
  <c r="AS76" i="30" s="1"/>
  <c r="AT76" i="30" s="1"/>
  <c r="AU76" i="30" s="1"/>
  <c r="AV76" i="30" s="1"/>
  <c r="AW76" i="30" s="1"/>
  <c r="AX76" i="30" s="1"/>
  <c r="AY76" i="30" s="1"/>
  <c r="AZ76" i="30" s="1"/>
  <c r="BA76" i="30" s="1"/>
  <c r="BB76" i="30" s="1"/>
  <c r="BP85" i="30"/>
  <c r="BD85" i="30" s="1"/>
  <c r="BE85" i="30" s="1"/>
  <c r="BF85" i="30" s="1"/>
  <c r="BG85" i="30" s="1"/>
  <c r="BH85" i="30" s="1"/>
  <c r="BI85" i="30" s="1"/>
  <c r="BJ85" i="30" s="1"/>
  <c r="BK85" i="30" s="1"/>
  <c r="BL85" i="30" s="1"/>
  <c r="BM85" i="30" s="1"/>
  <c r="BN85" i="30" s="1"/>
  <c r="BO85" i="30" s="1"/>
  <c r="AQ85" i="30"/>
  <c r="AR85" i="30" s="1"/>
  <c r="AS85" i="30" s="1"/>
  <c r="AT85" i="30" s="1"/>
  <c r="AU85" i="30" s="1"/>
  <c r="AV85" i="30" s="1"/>
  <c r="AW85" i="30" s="1"/>
  <c r="AX85" i="30" s="1"/>
  <c r="AY85" i="30" s="1"/>
  <c r="AZ85" i="30" s="1"/>
  <c r="BA85" i="30" s="1"/>
  <c r="BB85" i="30" s="1"/>
  <c r="BP87" i="30"/>
  <c r="BD87" i="30" s="1"/>
  <c r="BE87" i="30" s="1"/>
  <c r="BF87" i="30" s="1"/>
  <c r="BG87" i="30" s="1"/>
  <c r="BH87" i="30" s="1"/>
  <c r="BI87" i="30" s="1"/>
  <c r="BJ87" i="30" s="1"/>
  <c r="BK87" i="30" s="1"/>
  <c r="BL87" i="30" s="1"/>
  <c r="BM87" i="30" s="1"/>
  <c r="BN87" i="30" s="1"/>
  <c r="BO87" i="30" s="1"/>
  <c r="AQ87" i="30"/>
  <c r="AR87" i="30" s="1"/>
  <c r="AS87" i="30" s="1"/>
  <c r="AT87" i="30" s="1"/>
  <c r="AU87" i="30" s="1"/>
  <c r="AV87" i="30" s="1"/>
  <c r="AW87" i="30" s="1"/>
  <c r="AX87" i="30" s="1"/>
  <c r="AY87" i="30" s="1"/>
  <c r="AZ87" i="30" s="1"/>
  <c r="BA87" i="30" s="1"/>
  <c r="BB87" i="30" s="1"/>
  <c r="BJ5" i="30"/>
  <c r="H38" i="32"/>
  <c r="G39" i="32"/>
  <c r="T39" i="32"/>
  <c r="U38" i="32"/>
  <c r="AG39" i="32"/>
  <c r="AH38" i="32"/>
  <c r="AU38" i="32"/>
  <c r="AT39" i="32"/>
  <c r="BG39" i="32"/>
  <c r="BH38" i="32"/>
  <c r="H40" i="32"/>
  <c r="G37" i="32"/>
  <c r="G36" i="32" s="1"/>
  <c r="S40" i="32"/>
  <c r="R37" i="32"/>
  <c r="R36" i="32" s="1"/>
  <c r="AF40" i="32"/>
  <c r="AS40" i="32"/>
  <c r="BF40" i="32"/>
  <c r="L41" i="32"/>
  <c r="S43" i="32"/>
  <c r="T41" i="32"/>
  <c r="AG41" i="32"/>
  <c r="AT41" i="32"/>
  <c r="H42" i="32"/>
  <c r="G43" i="32"/>
  <c r="T45" i="32"/>
  <c r="S46" i="32"/>
  <c r="H50" i="32"/>
  <c r="T50" i="32"/>
  <c r="AG50" i="32"/>
  <c r="AT50" i="32"/>
  <c r="BG50" i="32"/>
  <c r="I52" i="32"/>
  <c r="T52" i="32"/>
  <c r="AG52" i="32"/>
  <c r="D40" i="27"/>
  <c r="T75" i="31"/>
  <c r="AG75" i="31"/>
  <c r="G80" i="31"/>
  <c r="S80" i="31"/>
  <c r="D39" i="27"/>
  <c r="H75" i="30"/>
  <c r="T75" i="30"/>
  <c r="AG75" i="30"/>
  <c r="AT75" i="30"/>
  <c r="BG75" i="30"/>
  <c r="F80" i="30"/>
  <c r="S80" i="30"/>
  <c r="AF80" i="30"/>
  <c r="AS80" i="30"/>
  <c r="BF80" i="30"/>
  <c r="AP78" i="30"/>
  <c r="Q78" i="30"/>
  <c r="E78" i="30"/>
  <c r="E9" i="32"/>
  <c r="E13" i="27"/>
  <c r="F14" i="29"/>
  <c r="R9" i="32"/>
  <c r="R13" i="27"/>
  <c r="S14" i="29"/>
  <c r="AE9" i="32"/>
  <c r="AE13" i="27"/>
  <c r="AF14" i="29"/>
  <c r="AR9" i="32"/>
  <c r="AR13" i="27"/>
  <c r="AS14" i="29"/>
  <c r="BE9" i="32"/>
  <c r="BE13" i="27"/>
  <c r="BF14" i="29"/>
  <c r="T33" i="29"/>
  <c r="AG33" i="29"/>
  <c r="T64" i="28"/>
  <c r="F47" i="28"/>
  <c r="F104" i="28" s="1"/>
  <c r="BR104" i="28" s="1"/>
  <c r="G65" i="28"/>
  <c r="T65" i="28"/>
  <c r="AG65" i="28"/>
  <c r="F49" i="28"/>
  <c r="F106" i="28" s="1"/>
  <c r="BR106" i="28" s="1"/>
  <c r="G71" i="28"/>
  <c r="T71" i="28"/>
  <c r="AG71" i="28"/>
  <c r="G74" i="28"/>
  <c r="F41" i="28"/>
  <c r="F98" i="28" s="1"/>
  <c r="BR98" i="28" s="1"/>
  <c r="E115" i="34" s="1"/>
  <c r="F50" i="28"/>
  <c r="F107" i="28" s="1"/>
  <c r="BR107" i="28" s="1"/>
  <c r="G76" i="28"/>
  <c r="T76" i="28"/>
  <c r="AG76" i="28"/>
  <c r="AT76" i="28"/>
  <c r="BG76" i="28"/>
  <c r="F51" i="28"/>
  <c r="F108" i="28" s="1"/>
  <c r="BR108" i="28" s="1"/>
  <c r="G78" i="28"/>
  <c r="T78" i="28"/>
  <c r="AG78" i="28"/>
  <c r="AT78" i="28"/>
  <c r="BG78" i="28"/>
  <c r="F52" i="28"/>
  <c r="F109" i="28" s="1"/>
  <c r="BR109" i="28" s="1"/>
  <c r="G79" i="28"/>
  <c r="F53" i="28"/>
  <c r="F110" i="28" s="1"/>
  <c r="BR110" i="28" s="1"/>
  <c r="G80" i="28"/>
  <c r="X24" i="30"/>
  <c r="X40" i="30" s="1"/>
  <c r="X24" i="31"/>
  <c r="X40" i="31" s="1"/>
  <c r="Y24" i="31"/>
  <c r="Y40" i="31" s="1"/>
  <c r="Y24" i="30"/>
  <c r="Y40" i="30" s="1"/>
  <c r="Z24" i="31"/>
  <c r="Z40" i="31" s="1"/>
  <c r="Z24" i="30"/>
  <c r="Z40" i="30" s="1"/>
  <c r="AA24" i="30"/>
  <c r="AA40" i="30" s="1"/>
  <c r="AA24" i="31"/>
  <c r="AA40" i="31" s="1"/>
  <c r="AB24" i="30"/>
  <c r="AB40" i="30" s="1"/>
  <c r="AB24" i="31"/>
  <c r="AB40" i="31" s="1"/>
  <c r="W24" i="30"/>
  <c r="W40" i="30" s="1"/>
  <c r="W24" i="31"/>
  <c r="W40" i="31" s="1"/>
  <c r="Q24" i="30"/>
  <c r="Q40" i="30" s="1"/>
  <c r="Q24" i="31"/>
  <c r="Q40" i="31" s="1"/>
  <c r="R24" i="31"/>
  <c r="R40" i="31" s="1"/>
  <c r="R24" i="30"/>
  <c r="R40" i="30" s="1"/>
  <c r="S24" i="31"/>
  <c r="S40" i="31" s="1"/>
  <c r="S24" i="30"/>
  <c r="S40" i="30" s="1"/>
  <c r="T24" i="30"/>
  <c r="T40" i="30" s="1"/>
  <c r="T24" i="31"/>
  <c r="T40" i="31" s="1"/>
  <c r="U24" i="30"/>
  <c r="U40" i="30" s="1"/>
  <c r="U24" i="31"/>
  <c r="U40" i="31" s="1"/>
  <c r="V24" i="31"/>
  <c r="V40" i="31" s="1"/>
  <c r="V24" i="30"/>
  <c r="V40" i="30" s="1"/>
  <c r="N25" i="30"/>
  <c r="N41" i="30" s="1"/>
  <c r="N25" i="31"/>
  <c r="N41" i="31" s="1"/>
  <c r="M25" i="31"/>
  <c r="M41" i="31" s="1"/>
  <c r="M25" i="30"/>
  <c r="M41" i="30" s="1"/>
  <c r="L25" i="31"/>
  <c r="L41" i="31" s="1"/>
  <c r="L25" i="30"/>
  <c r="L41" i="30" s="1"/>
  <c r="K25" i="30"/>
  <c r="K41" i="30" s="1"/>
  <c r="K25" i="31"/>
  <c r="K41" i="31" s="1"/>
  <c r="J25" i="30"/>
  <c r="J41" i="30" s="1"/>
  <c r="J25" i="31"/>
  <c r="J41" i="31" s="1"/>
  <c r="I25" i="30"/>
  <c r="I41" i="30" s="1"/>
  <c r="I25" i="31"/>
  <c r="I41" i="31" s="1"/>
  <c r="H25" i="31"/>
  <c r="H41" i="31" s="1"/>
  <c r="H25" i="30"/>
  <c r="H41" i="30" s="1"/>
  <c r="G25" i="30"/>
  <c r="G41" i="30" s="1"/>
  <c r="G25" i="31"/>
  <c r="G41" i="31" s="1"/>
  <c r="F25" i="30"/>
  <c r="F41" i="30" s="1"/>
  <c r="F25" i="31"/>
  <c r="F41" i="31" s="1"/>
  <c r="D25" i="31"/>
  <c r="D41" i="31" s="1"/>
  <c r="D25" i="30"/>
  <c r="D41" i="30" s="1"/>
  <c r="D79" i="30" s="1"/>
  <c r="D77" i="30" s="1"/>
  <c r="E25" i="31"/>
  <c r="E41" i="31" s="1"/>
  <c r="E25" i="30"/>
  <c r="E41" i="30" s="1"/>
  <c r="E79" i="30" s="1"/>
  <c r="O25" i="31"/>
  <c r="O41" i="31" s="1"/>
  <c r="O25" i="30"/>
  <c r="O41" i="30" s="1"/>
  <c r="Q25" i="30"/>
  <c r="Q41" i="30" s="1"/>
  <c r="Q79" i="30" s="1"/>
  <c r="Q25" i="31"/>
  <c r="Q41" i="31" s="1"/>
  <c r="T133" i="27"/>
  <c r="AG133" i="27"/>
  <c r="O7" i="31"/>
  <c r="O9" i="31" s="1"/>
  <c r="N7" i="31"/>
  <c r="N9" i="31" s="1"/>
  <c r="M7" i="31"/>
  <c r="M9" i="31" s="1"/>
  <c r="L7" i="31"/>
  <c r="L9" i="31" s="1"/>
  <c r="V7" i="31"/>
  <c r="V9" i="31" s="1"/>
  <c r="U7" i="31"/>
  <c r="U9" i="31" s="1"/>
  <c r="T7" i="31"/>
  <c r="T9" i="31" s="1"/>
  <c r="S7" i="31"/>
  <c r="S9" i="31" s="1"/>
  <c r="R7" i="31"/>
  <c r="R9" i="31" s="1"/>
  <c r="Q7" i="31"/>
  <c r="G84" i="31"/>
  <c r="W84" i="31"/>
  <c r="AJ84" i="31"/>
  <c r="BG84" i="31"/>
  <c r="G84" i="30"/>
  <c r="H32" i="29"/>
  <c r="F23" i="28"/>
  <c r="E35" i="28"/>
  <c r="E92" i="28" s="1"/>
  <c r="E46" i="28"/>
  <c r="E103" i="28" s="1"/>
  <c r="N200" i="23"/>
  <c r="J150" i="23"/>
  <c r="J51" i="24"/>
  <c r="J79" i="34" s="1"/>
  <c r="J52" i="24"/>
  <c r="J54" i="24" s="1"/>
  <c r="J20" i="24"/>
  <c r="J39" i="24" s="1"/>
  <c r="J80" i="20"/>
  <c r="T80" i="20" s="1"/>
  <c r="J64" i="24"/>
  <c r="J65" i="24" s="1"/>
  <c r="J86" i="20"/>
  <c r="T86" i="20" s="1"/>
  <c r="K14" i="24"/>
  <c r="K16" i="24" s="1"/>
  <c r="K18" i="24" s="1"/>
  <c r="K12" i="24"/>
  <c r="L10" i="24"/>
  <c r="M8" i="24"/>
  <c r="J37" i="24"/>
  <c r="I28" i="24"/>
  <c r="J22" i="24"/>
  <c r="J26" i="24" s="1"/>
  <c r="U8" i="24"/>
  <c r="T9" i="23"/>
  <c r="K22" i="14"/>
  <c r="L20" i="14"/>
  <c r="L22" i="14" s="1"/>
  <c r="T9" i="14"/>
  <c r="K9" i="14"/>
  <c r="M58" i="20"/>
  <c r="J116" i="10"/>
  <c r="J72" i="10"/>
  <c r="U12" i="9"/>
  <c r="L11" i="9"/>
  <c r="U11" i="9" s="1"/>
  <c r="W13" i="9"/>
  <c r="V13" i="9"/>
  <c r="I8" i="20"/>
  <c r="K8" i="21"/>
  <c r="L8" i="20"/>
  <c r="U8" i="20" s="1"/>
  <c r="N8" i="20"/>
  <c r="V8" i="20" s="1"/>
  <c r="U8" i="21"/>
  <c r="U9" i="21" s="1"/>
  <c r="M8" i="21"/>
  <c r="F21" i="6"/>
  <c r="G38" i="5"/>
  <c r="H2" i="5"/>
  <c r="G15" i="5"/>
  <c r="G13" i="5"/>
  <c r="H12" i="5"/>
  <c r="H4" i="5"/>
  <c r="BO7" i="3"/>
  <c r="BM7" i="3" s="1"/>
  <c r="BB7" i="3"/>
  <c r="AS7" i="3" s="1"/>
  <c r="AO7" i="3"/>
  <c r="AL7" i="3" s="1"/>
  <c r="AB7" i="3"/>
  <c r="Y7" i="3" s="1"/>
  <c r="BO5" i="3"/>
  <c r="BN5" i="3" s="1"/>
  <c r="BB5" i="3"/>
  <c r="BA5" i="3" s="1"/>
  <c r="AO5" i="3"/>
  <c r="AI5" i="3" s="1"/>
  <c r="AB5" i="3"/>
  <c r="Q5" i="3" s="1"/>
  <c r="BO13" i="3"/>
  <c r="BN11" i="3"/>
  <c r="BM11" i="3"/>
  <c r="BL11" i="3"/>
  <c r="BK11" i="3"/>
  <c r="BJ11" i="3"/>
  <c r="BI11" i="3"/>
  <c r="BH11" i="3"/>
  <c r="BG11" i="3"/>
  <c r="BF11" i="3"/>
  <c r="BE11" i="3"/>
  <c r="BD11" i="3"/>
  <c r="BC11" i="3"/>
  <c r="BM4" i="3"/>
  <c r="BL4" i="3"/>
  <c r="BK4" i="3"/>
  <c r="BJ4" i="3"/>
  <c r="BI4" i="3"/>
  <c r="BH4" i="3"/>
  <c r="BG4" i="3"/>
  <c r="BF4" i="3"/>
  <c r="BE4" i="3"/>
  <c r="BD4" i="3"/>
  <c r="BC4" i="3"/>
  <c r="BB13" i="3"/>
  <c r="BA11" i="3"/>
  <c r="AZ11" i="3"/>
  <c r="AY11" i="3"/>
  <c r="AX11" i="3"/>
  <c r="AW11" i="3"/>
  <c r="AV11" i="3"/>
  <c r="AU11" i="3"/>
  <c r="AT11" i="3"/>
  <c r="AS11" i="3"/>
  <c r="AR11" i="3"/>
  <c r="AQ11" i="3"/>
  <c r="AP11" i="3"/>
  <c r="AZ4" i="3"/>
  <c r="AY4" i="3"/>
  <c r="AX4" i="3"/>
  <c r="AW4" i="3"/>
  <c r="AV4" i="3"/>
  <c r="AU4" i="3"/>
  <c r="AT4" i="3"/>
  <c r="AS4" i="3"/>
  <c r="AR4" i="3"/>
  <c r="AQ4" i="3"/>
  <c r="AP4" i="3"/>
  <c r="AO13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M4" i="3"/>
  <c r="AL4" i="3"/>
  <c r="AK4" i="3"/>
  <c r="AJ4" i="3"/>
  <c r="AI4" i="3"/>
  <c r="AH4" i="3"/>
  <c r="AG4" i="3"/>
  <c r="AF4" i="3"/>
  <c r="AE4" i="3"/>
  <c r="AN4" i="3" s="1"/>
  <c r="AD4" i="3"/>
  <c r="AC4" i="3"/>
  <c r="AB13" i="3"/>
  <c r="AA11" i="3"/>
  <c r="Z11" i="3"/>
  <c r="Y11" i="3"/>
  <c r="X11" i="3"/>
  <c r="W11" i="3"/>
  <c r="V11" i="3"/>
  <c r="U11" i="3"/>
  <c r="T11" i="3"/>
  <c r="S11" i="3"/>
  <c r="R11" i="3"/>
  <c r="Q11" i="3"/>
  <c r="P11" i="3"/>
  <c r="Z4" i="3"/>
  <c r="Y4" i="3"/>
  <c r="X4" i="3"/>
  <c r="W4" i="3"/>
  <c r="V4" i="3"/>
  <c r="U4" i="3"/>
  <c r="T4" i="3"/>
  <c r="S4" i="3"/>
  <c r="R4" i="3"/>
  <c r="Q4" i="3"/>
  <c r="P4" i="3"/>
  <c r="O13" i="3"/>
  <c r="N11" i="3"/>
  <c r="M11" i="3"/>
  <c r="L11" i="3"/>
  <c r="K11" i="3"/>
  <c r="J11" i="3"/>
  <c r="I11" i="3"/>
  <c r="H11" i="3"/>
  <c r="G11" i="3"/>
  <c r="F11" i="3"/>
  <c r="E11" i="3"/>
  <c r="D11" i="3"/>
  <c r="C11" i="3"/>
  <c r="D58" i="34" l="1"/>
  <c r="D15" i="34"/>
  <c r="H45" i="32"/>
  <c r="G46" i="32"/>
  <c r="AE24" i="35"/>
  <c r="AF92" i="35"/>
  <c r="AG92" i="35" s="1"/>
  <c r="AH92" i="35" s="1"/>
  <c r="AI92" i="35" s="1"/>
  <c r="AJ92" i="35" s="1"/>
  <c r="AK92" i="35" s="1"/>
  <c r="AL92" i="35" s="1"/>
  <c r="AM92" i="35" s="1"/>
  <c r="AN92" i="35" s="1"/>
  <c r="AO92" i="35" s="1"/>
  <c r="AD105" i="27"/>
  <c r="AQ24" i="35"/>
  <c r="AR92" i="35"/>
  <c r="F54" i="28"/>
  <c r="F111" i="28" s="1"/>
  <c r="BR111" i="28" s="1"/>
  <c r="G64" i="28"/>
  <c r="D103" i="28"/>
  <c r="D57" i="28"/>
  <c r="D114" i="28" s="1"/>
  <c r="G68" i="28"/>
  <c r="F48" i="28"/>
  <c r="F105" i="28" s="1"/>
  <c r="BR105" i="28" s="1"/>
  <c r="AF47" i="32"/>
  <c r="AG47" i="32" s="1"/>
  <c r="AH47" i="32" s="1"/>
  <c r="AI47" i="32" s="1"/>
  <c r="AJ47" i="32" s="1"/>
  <c r="AK47" i="32" s="1"/>
  <c r="AL47" i="32" s="1"/>
  <c r="AM47" i="32" s="1"/>
  <c r="AN47" i="32" s="1"/>
  <c r="AO47" i="32" s="1"/>
  <c r="AE37" i="32"/>
  <c r="AE36" i="32" s="1"/>
  <c r="D93" i="28"/>
  <c r="D44" i="28"/>
  <c r="D101" i="28" s="1"/>
  <c r="J38" i="35"/>
  <c r="M38" i="35"/>
  <c r="D38" i="35"/>
  <c r="H38" i="35"/>
  <c r="L38" i="35"/>
  <c r="E38" i="35"/>
  <c r="E4" i="35" s="1"/>
  <c r="K38" i="35"/>
  <c r="F38" i="35"/>
  <c r="N38" i="35"/>
  <c r="G38" i="35"/>
  <c r="BS38" i="35" s="1"/>
  <c r="F4" i="35"/>
  <c r="O38" i="35"/>
  <c r="BP80" i="28"/>
  <c r="BD80" i="28" s="1"/>
  <c r="AQ80" i="28"/>
  <c r="AD53" i="28"/>
  <c r="AD110" i="28" s="1"/>
  <c r="AE80" i="28"/>
  <c r="AF80" i="28" s="1"/>
  <c r="AG80" i="28" s="1"/>
  <c r="AH80" i="28" s="1"/>
  <c r="AI80" i="28" s="1"/>
  <c r="AJ80" i="28" s="1"/>
  <c r="AK80" i="28" s="1"/>
  <c r="AL80" i="28" s="1"/>
  <c r="AM80" i="28" s="1"/>
  <c r="AN80" i="28" s="1"/>
  <c r="AO80" i="28" s="1"/>
  <c r="BA5" i="31"/>
  <c r="BB5" i="31"/>
  <c r="BC5" i="31" s="1"/>
  <c r="AP79" i="30"/>
  <c r="T19" i="21"/>
  <c r="J20" i="21"/>
  <c r="T20" i="21" s="1"/>
  <c r="BC7" i="27"/>
  <c r="AQ8" i="29"/>
  <c r="I85" i="26"/>
  <c r="BP8" i="31" s="1"/>
  <c r="BD8" i="31" s="1"/>
  <c r="BE8" i="31" s="1"/>
  <c r="I63" i="26"/>
  <c r="BP8" i="30" s="1"/>
  <c r="BD8" i="30" s="1"/>
  <c r="BE8" i="30" s="1"/>
  <c r="BP8" i="29"/>
  <c r="AE8" i="29"/>
  <c r="AD7" i="27"/>
  <c r="S8" i="29"/>
  <c r="R7" i="27"/>
  <c r="AR19" i="29"/>
  <c r="AU19" i="29"/>
  <c r="AX19" i="29"/>
  <c r="BB19" i="29"/>
  <c r="AS19" i="29"/>
  <c r="AV19" i="29"/>
  <c r="AY19" i="29"/>
  <c r="BA19" i="29"/>
  <c r="AQ19" i="29"/>
  <c r="AT19" i="29"/>
  <c r="AW19" i="29"/>
  <c r="AZ19" i="29"/>
  <c r="H67" i="26"/>
  <c r="BC19" i="30" s="1"/>
  <c r="AQ19" i="30" s="1"/>
  <c r="AR19" i="30" s="1"/>
  <c r="AS19" i="30" s="1"/>
  <c r="AT19" i="30" s="1"/>
  <c r="AU19" i="30" s="1"/>
  <c r="AV19" i="30" s="1"/>
  <c r="AW19" i="30" s="1"/>
  <c r="AX19" i="30" s="1"/>
  <c r="AY19" i="30" s="1"/>
  <c r="AZ19" i="30" s="1"/>
  <c r="BA19" i="30" s="1"/>
  <c r="BB19" i="30" s="1"/>
  <c r="I44" i="26"/>
  <c r="BP19" i="29" s="1"/>
  <c r="H29" i="26"/>
  <c r="H31" i="26" s="1"/>
  <c r="I5" i="26"/>
  <c r="N30" i="21"/>
  <c r="H12" i="26"/>
  <c r="G9" i="26"/>
  <c r="F8" i="26"/>
  <c r="J12" i="21"/>
  <c r="E16" i="26"/>
  <c r="E20" i="26"/>
  <c r="E23" i="26" s="1"/>
  <c r="E35" i="26"/>
  <c r="E37" i="26" s="1"/>
  <c r="E58" i="26"/>
  <c r="E60" i="26" s="1"/>
  <c r="E80" i="26"/>
  <c r="E82" i="26" s="1"/>
  <c r="E101" i="26"/>
  <c r="E103" i="26" s="1"/>
  <c r="E105" i="26" s="1"/>
  <c r="E107" i="26" s="1"/>
  <c r="H11" i="21"/>
  <c r="S12" i="21"/>
  <c r="H14" i="21"/>
  <c r="N16" i="21"/>
  <c r="M16" i="21" s="1"/>
  <c r="M19" i="21" s="1"/>
  <c r="M20" i="21" s="1"/>
  <c r="I13" i="26"/>
  <c r="P16" i="21" s="1"/>
  <c r="P17" i="21" s="1"/>
  <c r="L17" i="21"/>
  <c r="U16" i="21"/>
  <c r="U17" i="21" s="1"/>
  <c r="L19" i="21"/>
  <c r="F5" i="32"/>
  <c r="F9" i="27"/>
  <c r="G10" i="29"/>
  <c r="F7" i="32"/>
  <c r="F11" i="27"/>
  <c r="G12" i="29"/>
  <c r="BC81" i="31"/>
  <c r="AD81" i="31"/>
  <c r="AE81" i="31" s="1"/>
  <c r="AF81" i="31" s="1"/>
  <c r="AG81" i="31" s="1"/>
  <c r="AH81" i="31" s="1"/>
  <c r="AI81" i="31" s="1"/>
  <c r="AJ81" i="31" s="1"/>
  <c r="AK81" i="31" s="1"/>
  <c r="AL81" i="31" s="1"/>
  <c r="AM81" i="31" s="1"/>
  <c r="AN81" i="31" s="1"/>
  <c r="AO81" i="31" s="1"/>
  <c r="AC78" i="31"/>
  <c r="D78" i="31"/>
  <c r="E78" i="31" s="1"/>
  <c r="AP82" i="31"/>
  <c r="Q82" i="31"/>
  <c r="R82" i="31" s="1"/>
  <c r="S82" i="31" s="1"/>
  <c r="T82" i="31" s="1"/>
  <c r="U82" i="31" s="1"/>
  <c r="V82" i="31" s="1"/>
  <c r="W82" i="31" s="1"/>
  <c r="X82" i="31" s="1"/>
  <c r="Y82" i="31" s="1"/>
  <c r="Z82" i="31" s="1"/>
  <c r="AA82" i="31" s="1"/>
  <c r="AB82" i="31" s="1"/>
  <c r="AQ80" i="31"/>
  <c r="AR80" i="31" s="1"/>
  <c r="AS80" i="31" s="1"/>
  <c r="AT80" i="31" s="1"/>
  <c r="BP80" i="31"/>
  <c r="BD80" i="31" s="1"/>
  <c r="BE80" i="31" s="1"/>
  <c r="BF80" i="31" s="1"/>
  <c r="BG80" i="31" s="1"/>
  <c r="G11" i="32"/>
  <c r="G15" i="27"/>
  <c r="H16" i="29"/>
  <c r="D79" i="31"/>
  <c r="AC79" i="31"/>
  <c r="F79" i="31"/>
  <c r="E79" i="31"/>
  <c r="Q79" i="31"/>
  <c r="AP79" i="31"/>
  <c r="E14" i="27"/>
  <c r="D12" i="27"/>
  <c r="D93" i="27" s="1"/>
  <c r="D92" i="27"/>
  <c r="T6" i="29"/>
  <c r="S5" i="27"/>
  <c r="AF5" i="27"/>
  <c r="AG6" i="29"/>
  <c r="AS5" i="27"/>
  <c r="AT6" i="29"/>
  <c r="BG6" i="29"/>
  <c r="BF5" i="27"/>
  <c r="E85" i="27"/>
  <c r="E10" i="27"/>
  <c r="E86" i="27"/>
  <c r="G8" i="29"/>
  <c r="F7" i="27"/>
  <c r="F8" i="27" s="1"/>
  <c r="AZ5" i="29"/>
  <c r="Q73" i="35"/>
  <c r="AA38" i="35" s="1"/>
  <c r="BV61" i="35"/>
  <c r="BF41" i="32"/>
  <c r="BP43" i="32"/>
  <c r="BD42" i="32"/>
  <c r="AQ43" i="32"/>
  <c r="AR42" i="32"/>
  <c r="AE43" i="32"/>
  <c r="AF42" i="32"/>
  <c r="BP46" i="32"/>
  <c r="BD45" i="32"/>
  <c r="AR45" i="32"/>
  <c r="AQ46" i="32"/>
  <c r="AF45" i="32"/>
  <c r="AE46" i="32"/>
  <c r="BP37" i="32"/>
  <c r="BP36" i="32" s="1"/>
  <c r="BD47" i="32"/>
  <c r="AQ37" i="32"/>
  <c r="AQ36" i="32" s="1"/>
  <c r="AR47" i="32"/>
  <c r="BC10" i="28"/>
  <c r="I112" i="26"/>
  <c r="I113" i="26" s="1"/>
  <c r="AJ10" i="28"/>
  <c r="AI10" i="28"/>
  <c r="AG10" i="28"/>
  <c r="AF10" i="28"/>
  <c r="AE10" i="28"/>
  <c r="AD10" i="28"/>
  <c r="AH10" i="28"/>
  <c r="AO10" i="28"/>
  <c r="AN10" i="28"/>
  <c r="AM10" i="28"/>
  <c r="AL10" i="28"/>
  <c r="AK10" i="28"/>
  <c r="G170" i="22"/>
  <c r="G92" i="22"/>
  <c r="G93" i="22" s="1"/>
  <c r="G94" i="22" s="1"/>
  <c r="H88" i="22"/>
  <c r="H90" i="22"/>
  <c r="H169" i="22" s="1"/>
  <c r="I12" i="22"/>
  <c r="I9" i="22" s="1"/>
  <c r="H9" i="22"/>
  <c r="I88" i="22"/>
  <c r="I92" i="22" s="1"/>
  <c r="I70" i="22"/>
  <c r="I170" i="22"/>
  <c r="K170" i="22" s="1"/>
  <c r="L170" i="22" s="1"/>
  <c r="BK5" i="30"/>
  <c r="AQ80" i="27"/>
  <c r="AR80" i="27" s="1"/>
  <c r="AS80" i="27" s="1"/>
  <c r="AT80" i="27" s="1"/>
  <c r="AU80" i="27" s="1"/>
  <c r="AV80" i="27" s="1"/>
  <c r="AW80" i="27" s="1"/>
  <c r="AX80" i="27" s="1"/>
  <c r="AY80" i="27" s="1"/>
  <c r="AZ80" i="27" s="1"/>
  <c r="BA80" i="27" s="1"/>
  <c r="BB80" i="27" s="1"/>
  <c r="BD80" i="27"/>
  <c r="BE24" i="35"/>
  <c r="BF92" i="35"/>
  <c r="AR24" i="35"/>
  <c r="AS92" i="35"/>
  <c r="BH75" i="35"/>
  <c r="BI76" i="35"/>
  <c r="BG23" i="35"/>
  <c r="AV76" i="35"/>
  <c r="AU75" i="35"/>
  <c r="AT23" i="35"/>
  <c r="AG24" i="35"/>
  <c r="AG23" i="35"/>
  <c r="AH75" i="35"/>
  <c r="AI76" i="35"/>
  <c r="U75" i="35"/>
  <c r="V76" i="35"/>
  <c r="T24" i="35"/>
  <c r="T23" i="35"/>
  <c r="G24" i="35"/>
  <c r="G23" i="35"/>
  <c r="H75" i="35"/>
  <c r="I76" i="35"/>
  <c r="P5" i="35"/>
  <c r="P98" i="35" s="1"/>
  <c r="AG30" i="35"/>
  <c r="AH30" i="35"/>
  <c r="AM30" i="35"/>
  <c r="AL30" i="35"/>
  <c r="AO30" i="35"/>
  <c r="AF30" i="35"/>
  <c r="AK30" i="35"/>
  <c r="AN30" i="35"/>
  <c r="AD30" i="35"/>
  <c r="AI30" i="35"/>
  <c r="AE30" i="35"/>
  <c r="AJ30" i="35"/>
  <c r="AH27" i="35"/>
  <c r="AL27" i="35"/>
  <c r="AD27" i="35"/>
  <c r="AG27" i="35"/>
  <c r="AN27" i="35"/>
  <c r="AK27" i="35"/>
  <c r="AI27" i="35"/>
  <c r="AO27" i="35"/>
  <c r="AF27" i="35"/>
  <c r="AM27" i="35"/>
  <c r="AE27" i="35"/>
  <c r="AJ27" i="35"/>
  <c r="AD29" i="35"/>
  <c r="AF29" i="35"/>
  <c r="AN29" i="35"/>
  <c r="AM29" i="35"/>
  <c r="AI29" i="35"/>
  <c r="AL29" i="35"/>
  <c r="AO29" i="35"/>
  <c r="AE29" i="35"/>
  <c r="AH29" i="35"/>
  <c r="AJ29" i="35"/>
  <c r="AG29" i="35"/>
  <c r="AK29" i="35"/>
  <c r="AM21" i="35"/>
  <c r="AD21" i="35"/>
  <c r="AE21" i="35"/>
  <c r="AF21" i="35"/>
  <c r="AG21" i="35"/>
  <c r="AH21" i="35"/>
  <c r="AI21" i="35"/>
  <c r="AJ21" i="35"/>
  <c r="AL21" i="35"/>
  <c r="AO21" i="35"/>
  <c r="AK21" i="35"/>
  <c r="AN21" i="35"/>
  <c r="AG26" i="35"/>
  <c r="AK26" i="35"/>
  <c r="AN26" i="35"/>
  <c r="AP25" i="35"/>
  <c r="AE26" i="35"/>
  <c r="AH26" i="35"/>
  <c r="AM26" i="35"/>
  <c r="AF26" i="35"/>
  <c r="AI26" i="35"/>
  <c r="AL26" i="35"/>
  <c r="AD26" i="35"/>
  <c r="AJ26" i="35"/>
  <c r="AO26" i="35"/>
  <c r="AE32" i="35"/>
  <c r="AN32" i="35"/>
  <c r="AJ32" i="35"/>
  <c r="AD32" i="35"/>
  <c r="AL32" i="35"/>
  <c r="AH32" i="35"/>
  <c r="AK32" i="35"/>
  <c r="AF32" i="35"/>
  <c r="AM32" i="35"/>
  <c r="AO32" i="35"/>
  <c r="AG32" i="35"/>
  <c r="AI32" i="35"/>
  <c r="AE37" i="35"/>
  <c r="AK37" i="35"/>
  <c r="AI37" i="35"/>
  <c r="AN37" i="35"/>
  <c r="AG37" i="35"/>
  <c r="AJ37" i="35"/>
  <c r="AF37" i="35"/>
  <c r="AM37" i="35"/>
  <c r="AH37" i="35"/>
  <c r="AO37" i="35"/>
  <c r="AD37" i="35"/>
  <c r="AL37" i="35"/>
  <c r="AD20" i="35"/>
  <c r="AE20" i="35"/>
  <c r="AF20" i="35"/>
  <c r="AG20" i="35"/>
  <c r="AH20" i="35"/>
  <c r="AI20" i="35"/>
  <c r="AJ20" i="35"/>
  <c r="AK20" i="35"/>
  <c r="AL20" i="35"/>
  <c r="AM20" i="35"/>
  <c r="AN20" i="35"/>
  <c r="AO20" i="35"/>
  <c r="AL28" i="35"/>
  <c r="AO28" i="35"/>
  <c r="AE28" i="35"/>
  <c r="AI28" i="35"/>
  <c r="AM28" i="35"/>
  <c r="AH28" i="35"/>
  <c r="AF28" i="35"/>
  <c r="AK28" i="35"/>
  <c r="AN28" i="35"/>
  <c r="AJ28" i="35"/>
  <c r="AD28" i="35"/>
  <c r="AG28" i="35"/>
  <c r="AG31" i="35"/>
  <c r="AN31" i="35"/>
  <c r="AK31" i="35"/>
  <c r="AE31" i="35"/>
  <c r="AM31" i="35"/>
  <c r="AF31" i="35"/>
  <c r="AH31" i="35"/>
  <c r="AL31" i="35"/>
  <c r="AO31" i="35"/>
  <c r="AD31" i="35"/>
  <c r="AI31" i="35"/>
  <c r="AJ31" i="35"/>
  <c r="BC30" i="35"/>
  <c r="BC21" i="35"/>
  <c r="BC27" i="35"/>
  <c r="BC31" i="35"/>
  <c r="BC26" i="35"/>
  <c r="BC28" i="35"/>
  <c r="BC29" i="35"/>
  <c r="BC37" i="35"/>
  <c r="BC20" i="35"/>
  <c r="BC32" i="35"/>
  <c r="BP1" i="35"/>
  <c r="BC6" i="35"/>
  <c r="BC7" i="35"/>
  <c r="BC8" i="35"/>
  <c r="BC9" i="35"/>
  <c r="BC10" i="35"/>
  <c r="BC11" i="35"/>
  <c r="BC12" i="35"/>
  <c r="BC13" i="35"/>
  <c r="BC14" i="35"/>
  <c r="BC15" i="35"/>
  <c r="BC16" i="35"/>
  <c r="BC17" i="35"/>
  <c r="BC18" i="35"/>
  <c r="BC19" i="35"/>
  <c r="BC64" i="35"/>
  <c r="AQ64" i="35" s="1"/>
  <c r="BC69" i="35"/>
  <c r="AQ69" i="35" s="1"/>
  <c r="BC62" i="35"/>
  <c r="BC65" i="35"/>
  <c r="AQ65" i="35" s="1"/>
  <c r="BC63" i="35"/>
  <c r="AQ63" i="35" s="1"/>
  <c r="BC66" i="35"/>
  <c r="AQ66" i="35" s="1"/>
  <c r="BC67" i="35"/>
  <c r="AQ67" i="35" s="1"/>
  <c r="AQ1" i="35"/>
  <c r="AR1" i="35" s="1"/>
  <c r="AS1" i="35" s="1"/>
  <c r="AT1" i="35" s="1"/>
  <c r="AU1" i="35" s="1"/>
  <c r="AV1" i="35" s="1"/>
  <c r="AW1" i="35" s="1"/>
  <c r="AX1" i="35" s="1"/>
  <c r="AY1" i="35" s="1"/>
  <c r="AZ1" i="35" s="1"/>
  <c r="BA1" i="35" s="1"/>
  <c r="BB1" i="35" s="1"/>
  <c r="AD6" i="35"/>
  <c r="AE6" i="35"/>
  <c r="AF6" i="35"/>
  <c r="AG6" i="35"/>
  <c r="AH6" i="35"/>
  <c r="AI6" i="35"/>
  <c r="AJ6" i="35"/>
  <c r="AK6" i="35"/>
  <c r="AL6" i="35"/>
  <c r="AM6" i="35"/>
  <c r="AN6" i="35"/>
  <c r="AO6" i="35"/>
  <c r="AD7" i="35"/>
  <c r="AE7" i="35"/>
  <c r="AF7" i="35"/>
  <c r="AG7" i="35"/>
  <c r="AH7" i="35"/>
  <c r="AI7" i="35"/>
  <c r="AJ7" i="35"/>
  <c r="AK7" i="35"/>
  <c r="AL7" i="35"/>
  <c r="AM7" i="35"/>
  <c r="AN7" i="35"/>
  <c r="AO7" i="35"/>
  <c r="AD8" i="35"/>
  <c r="AE8" i="35"/>
  <c r="AF8" i="35"/>
  <c r="AG8" i="35"/>
  <c r="AH8" i="35"/>
  <c r="AI8" i="35"/>
  <c r="AJ8" i="35"/>
  <c r="AK8" i="35"/>
  <c r="AL8" i="35"/>
  <c r="AM8" i="35"/>
  <c r="AN8" i="35"/>
  <c r="AO8" i="35"/>
  <c r="AD9" i="35"/>
  <c r="AE9" i="35"/>
  <c r="AF9" i="35"/>
  <c r="AG9" i="35"/>
  <c r="AH9" i="35"/>
  <c r="AI9" i="35"/>
  <c r="AJ9" i="35"/>
  <c r="AK9" i="35"/>
  <c r="AL9" i="35"/>
  <c r="AM9" i="35"/>
  <c r="AN9" i="35"/>
  <c r="AO9" i="35"/>
  <c r="AD10" i="35"/>
  <c r="AE10" i="35"/>
  <c r="AF10" i="35"/>
  <c r="AG10" i="35"/>
  <c r="AH10" i="35"/>
  <c r="AI10" i="35"/>
  <c r="AJ10" i="35"/>
  <c r="AK10" i="35"/>
  <c r="AL10" i="35"/>
  <c r="AM10" i="35"/>
  <c r="AN10" i="35"/>
  <c r="AO10" i="35"/>
  <c r="AD11" i="35"/>
  <c r="AE11" i="35"/>
  <c r="AF11" i="35"/>
  <c r="AG11" i="35"/>
  <c r="AH11" i="35"/>
  <c r="AI11" i="35"/>
  <c r="AJ11" i="35"/>
  <c r="AK11" i="35"/>
  <c r="AL11" i="35"/>
  <c r="AM11" i="35"/>
  <c r="AN11" i="35"/>
  <c r="AO11" i="35"/>
  <c r="AD12" i="35"/>
  <c r="AE12" i="35"/>
  <c r="AF12" i="35"/>
  <c r="AG12" i="35"/>
  <c r="AH12" i="35"/>
  <c r="AI12" i="35"/>
  <c r="AJ12" i="35"/>
  <c r="AK12" i="35"/>
  <c r="AL12" i="35"/>
  <c r="AM12" i="35"/>
  <c r="AN12" i="35"/>
  <c r="AO12" i="35"/>
  <c r="AD13" i="35"/>
  <c r="AE13" i="35"/>
  <c r="AF13" i="35"/>
  <c r="AG13" i="35"/>
  <c r="AH13" i="35"/>
  <c r="AI13" i="35"/>
  <c r="AJ13" i="35"/>
  <c r="AK13" i="35"/>
  <c r="AL13" i="35"/>
  <c r="AM13" i="35"/>
  <c r="AN13" i="35"/>
  <c r="AO13" i="35"/>
  <c r="AD14" i="35"/>
  <c r="AE14" i="35"/>
  <c r="AF14" i="35"/>
  <c r="AG14" i="35"/>
  <c r="AH14" i="35"/>
  <c r="AI14" i="35"/>
  <c r="AJ14" i="35"/>
  <c r="AK14" i="35"/>
  <c r="AL14" i="35"/>
  <c r="AM14" i="35"/>
  <c r="AN14" i="35"/>
  <c r="AO14" i="35"/>
  <c r="AD15" i="35"/>
  <c r="AE15" i="35"/>
  <c r="AF15" i="35"/>
  <c r="AG15" i="35"/>
  <c r="AH15" i="35"/>
  <c r="AI15" i="35"/>
  <c r="AJ15" i="35"/>
  <c r="AK15" i="35"/>
  <c r="AL15" i="35"/>
  <c r="AM15" i="35"/>
  <c r="AN15" i="35"/>
  <c r="AO15" i="35"/>
  <c r="AD16" i="35"/>
  <c r="AE16" i="35"/>
  <c r="AF16" i="35"/>
  <c r="AG16" i="35"/>
  <c r="AH16" i="35"/>
  <c r="AI16" i="35"/>
  <c r="AJ16" i="35"/>
  <c r="AK16" i="35"/>
  <c r="AL16" i="35"/>
  <c r="AM16" i="35"/>
  <c r="AN16" i="35"/>
  <c r="AO16" i="35"/>
  <c r="AD17" i="35"/>
  <c r="AE17" i="35"/>
  <c r="AF17" i="35"/>
  <c r="AG17" i="35"/>
  <c r="AH17" i="35"/>
  <c r="AI17" i="35"/>
  <c r="AJ17" i="35"/>
  <c r="AK17" i="35"/>
  <c r="AL17" i="35"/>
  <c r="AM17" i="35"/>
  <c r="AN17" i="35"/>
  <c r="AO17" i="35"/>
  <c r="AD18" i="35"/>
  <c r="AE18" i="35"/>
  <c r="AF18" i="35"/>
  <c r="AG18" i="35"/>
  <c r="AH18" i="35"/>
  <c r="AI18" i="35"/>
  <c r="AJ18" i="35"/>
  <c r="AK18" i="35"/>
  <c r="AL18" i="35"/>
  <c r="AM18" i="35"/>
  <c r="AN18" i="35"/>
  <c r="AO18" i="35"/>
  <c r="AD19" i="35"/>
  <c r="AE19" i="35"/>
  <c r="AF19" i="35"/>
  <c r="AG19" i="35"/>
  <c r="AH19" i="35"/>
  <c r="AI19" i="35"/>
  <c r="AJ19" i="35"/>
  <c r="AK19" i="35"/>
  <c r="AL19" i="35"/>
  <c r="AM19" i="35"/>
  <c r="AN19" i="35"/>
  <c r="AO19" i="35"/>
  <c r="AD62" i="35"/>
  <c r="AD61" i="35" s="1"/>
  <c r="AD73" i="35" s="1"/>
  <c r="AP61" i="35"/>
  <c r="Q22" i="35"/>
  <c r="Q5" i="35" s="1"/>
  <c r="R22" i="35"/>
  <c r="R5" i="35" s="1"/>
  <c r="S22" i="35"/>
  <c r="S5" i="35" s="1"/>
  <c r="T22" i="35"/>
  <c r="T5" i="35" s="1"/>
  <c r="U22" i="35"/>
  <c r="U5" i="35" s="1"/>
  <c r="V22" i="35"/>
  <c r="V5" i="35" s="1"/>
  <c r="W22" i="35"/>
  <c r="W5" i="35" s="1"/>
  <c r="X22" i="35"/>
  <c r="X5" i="35" s="1"/>
  <c r="Y22" i="35"/>
  <c r="Y5" i="35" s="1"/>
  <c r="Z22" i="35"/>
  <c r="Z5" i="35" s="1"/>
  <c r="AA22" i="35"/>
  <c r="AA5" i="35" s="1"/>
  <c r="AB22" i="35"/>
  <c r="AB5" i="35" s="1"/>
  <c r="AA25" i="35"/>
  <c r="Y25" i="35"/>
  <c r="P22" i="35"/>
  <c r="Q25" i="35"/>
  <c r="R25" i="35"/>
  <c r="AB25" i="35"/>
  <c r="V25" i="35"/>
  <c r="T25" i="35"/>
  <c r="Z25" i="35"/>
  <c r="S25" i="35"/>
  <c r="W25" i="35"/>
  <c r="U25" i="35"/>
  <c r="X25" i="35"/>
  <c r="Q38" i="35"/>
  <c r="X38" i="35"/>
  <c r="AC5" i="31"/>
  <c r="BC105" i="27"/>
  <c r="T79" i="34"/>
  <c r="J87" i="20"/>
  <c r="T87" i="20" s="1"/>
  <c r="J69" i="34"/>
  <c r="T69" i="34" s="1"/>
  <c r="BP80" i="27"/>
  <c r="BE72" i="27"/>
  <c r="BF72" i="27" s="1"/>
  <c r="BG72" i="27" s="1"/>
  <c r="BH72" i="27" s="1"/>
  <c r="BI72" i="27" s="1"/>
  <c r="BJ72" i="27" s="1"/>
  <c r="BK72" i="27" s="1"/>
  <c r="BL72" i="27" s="1"/>
  <c r="BM72" i="27" s="1"/>
  <c r="BN72" i="27" s="1"/>
  <c r="BO72" i="27" s="1"/>
  <c r="R105" i="27"/>
  <c r="R27" i="31"/>
  <c r="R43" i="31" s="1"/>
  <c r="R27" i="30"/>
  <c r="R43" i="30" s="1"/>
  <c r="S107" i="27"/>
  <c r="AD24" i="31"/>
  <c r="AD40" i="31" s="1"/>
  <c r="AD24" i="30"/>
  <c r="AD40" i="30" s="1"/>
  <c r="AE24" i="30"/>
  <c r="AE40" i="30" s="1"/>
  <c r="AE24" i="31"/>
  <c r="AE40" i="31" s="1"/>
  <c r="S10" i="29"/>
  <c r="R9" i="27"/>
  <c r="R5" i="32"/>
  <c r="AD9" i="27"/>
  <c r="AE10" i="29"/>
  <c r="AD5" i="32"/>
  <c r="BC9" i="27"/>
  <c r="AQ10" i="29"/>
  <c r="BP10" i="31"/>
  <c r="BD10" i="31" s="1"/>
  <c r="BE10" i="31" s="1"/>
  <c r="BP10" i="29"/>
  <c r="BP10" i="30"/>
  <c r="BD10" i="30" s="1"/>
  <c r="BE10" i="30" s="1"/>
  <c r="BD100" i="27"/>
  <c r="BE100" i="27" s="1"/>
  <c r="BF100" i="27" s="1"/>
  <c r="BG100" i="27" s="1"/>
  <c r="BH100" i="27" s="1"/>
  <c r="BI100" i="27" s="1"/>
  <c r="BJ100" i="27" s="1"/>
  <c r="BK100" i="27" s="1"/>
  <c r="BL100" i="27" s="1"/>
  <c r="BM100" i="27" s="1"/>
  <c r="BN100" i="27" s="1"/>
  <c r="BO100" i="27" s="1"/>
  <c r="BC11" i="27"/>
  <c r="AQ12" i="29"/>
  <c r="BP12" i="31"/>
  <c r="BD12" i="31" s="1"/>
  <c r="BE12" i="31" s="1"/>
  <c r="BF12" i="31" s="1"/>
  <c r="BG12" i="31" s="1"/>
  <c r="BH12" i="31" s="1"/>
  <c r="BI12" i="31" s="1"/>
  <c r="BJ12" i="31" s="1"/>
  <c r="BK12" i="31" s="1"/>
  <c r="BL12" i="31" s="1"/>
  <c r="BM12" i="31" s="1"/>
  <c r="BN12" i="31" s="1"/>
  <c r="BO12" i="31" s="1"/>
  <c r="BP12" i="29"/>
  <c r="BP12" i="30"/>
  <c r="BD12" i="30" s="1"/>
  <c r="BE12" i="30" s="1"/>
  <c r="BF12" i="30" s="1"/>
  <c r="BG12" i="30" s="1"/>
  <c r="BH12" i="30" s="1"/>
  <c r="BI12" i="30" s="1"/>
  <c r="BJ12" i="30" s="1"/>
  <c r="BK12" i="30" s="1"/>
  <c r="BL12" i="30" s="1"/>
  <c r="BM12" i="30" s="1"/>
  <c r="BN12" i="30" s="1"/>
  <c r="BO12" i="30" s="1"/>
  <c r="BD101" i="27"/>
  <c r="BE101" i="27" s="1"/>
  <c r="BF101" i="27" s="1"/>
  <c r="BG101" i="27" s="1"/>
  <c r="BH101" i="27" s="1"/>
  <c r="BI101" i="27" s="1"/>
  <c r="BJ101" i="27" s="1"/>
  <c r="BK101" i="27" s="1"/>
  <c r="BL101" i="27" s="1"/>
  <c r="BM101" i="27" s="1"/>
  <c r="BN101" i="27" s="1"/>
  <c r="BO101" i="27" s="1"/>
  <c r="AE12" i="29"/>
  <c r="AD7" i="32"/>
  <c r="AD11" i="27"/>
  <c r="S12" i="29"/>
  <c r="R11" i="27"/>
  <c r="R7" i="32"/>
  <c r="F24" i="30"/>
  <c r="F40" i="30" s="1"/>
  <c r="F24" i="31"/>
  <c r="F40" i="31" s="1"/>
  <c r="G23" i="30"/>
  <c r="G39" i="30" s="1"/>
  <c r="G23" i="31"/>
  <c r="G39" i="31" s="1"/>
  <c r="G104" i="27"/>
  <c r="H103" i="27"/>
  <c r="AV23" i="30"/>
  <c r="AV39" i="30" s="1"/>
  <c r="AV23" i="31"/>
  <c r="AV39" i="31" s="1"/>
  <c r="AV104" i="27"/>
  <c r="AW103" i="27"/>
  <c r="AU23" i="30"/>
  <c r="AU39" i="30" s="1"/>
  <c r="AU23" i="31"/>
  <c r="AU39" i="31" s="1"/>
  <c r="AU104" i="27"/>
  <c r="AT23" i="30"/>
  <c r="AT39" i="30" s="1"/>
  <c r="AT23" i="31"/>
  <c r="AT39" i="31" s="1"/>
  <c r="AT104" i="27"/>
  <c r="AS23" i="30"/>
  <c r="AS39" i="30" s="1"/>
  <c r="AS104" i="27"/>
  <c r="AS23" i="31"/>
  <c r="AS39" i="31" s="1"/>
  <c r="AR104" i="27"/>
  <c r="AR23" i="30"/>
  <c r="AR39" i="30" s="1"/>
  <c r="AR23" i="31"/>
  <c r="AR39" i="31" s="1"/>
  <c r="AQ104" i="27"/>
  <c r="AQ23" i="31"/>
  <c r="AQ39" i="31" s="1"/>
  <c r="AQ23" i="30"/>
  <c r="AQ39" i="30" s="1"/>
  <c r="BD103" i="27"/>
  <c r="BE103" i="27" s="1"/>
  <c r="BP104" i="27"/>
  <c r="BP23" i="30"/>
  <c r="BP39" i="30" s="1"/>
  <c r="BP23" i="31"/>
  <c r="BP39" i="31" s="1"/>
  <c r="BC24" i="30"/>
  <c r="BC40" i="30" s="1"/>
  <c r="BC24" i="31"/>
  <c r="BC40" i="31" s="1"/>
  <c r="AR26" i="30"/>
  <c r="AR42" i="30" s="1"/>
  <c r="AR26" i="31"/>
  <c r="AR42" i="31" s="1"/>
  <c r="AS106" i="27"/>
  <c r="AQ26" i="31"/>
  <c r="AQ42" i="31" s="1"/>
  <c r="AQ26" i="30"/>
  <c r="AQ42" i="30" s="1"/>
  <c r="BC25" i="30"/>
  <c r="BC41" i="30" s="1"/>
  <c r="BC25" i="31"/>
  <c r="BC41" i="31" s="1"/>
  <c r="BD106" i="27"/>
  <c r="BP26" i="30"/>
  <c r="BP42" i="30" s="1"/>
  <c r="BP26" i="31"/>
  <c r="BP42" i="31" s="1"/>
  <c r="AD27" i="30"/>
  <c r="AD43" i="30" s="1"/>
  <c r="AD27" i="31"/>
  <c r="AD43" i="31" s="1"/>
  <c r="AE107" i="27"/>
  <c r="AQ107" i="27"/>
  <c r="BC27" i="30"/>
  <c r="BC43" i="30" s="1"/>
  <c r="BC27" i="31"/>
  <c r="BC43" i="31" s="1"/>
  <c r="BP107" i="27"/>
  <c r="AD28" i="31"/>
  <c r="AD44" i="31" s="1"/>
  <c r="AD28" i="30"/>
  <c r="AD44" i="30" s="1"/>
  <c r="AE108" i="27"/>
  <c r="AQ108" i="27"/>
  <c r="BC28" i="31"/>
  <c r="BC44" i="31" s="1"/>
  <c r="BP108" i="27"/>
  <c r="BC28" i="30"/>
  <c r="BC44" i="30" s="1"/>
  <c r="BP54" i="32"/>
  <c r="BD54" i="32" s="1"/>
  <c r="BE54" i="32" s="1"/>
  <c r="BF54" i="32" s="1"/>
  <c r="BG54" i="32" s="1"/>
  <c r="BH54" i="32" s="1"/>
  <c r="BI54" i="32" s="1"/>
  <c r="BJ54" i="32" s="1"/>
  <c r="BK54" i="32" s="1"/>
  <c r="BL54" i="32" s="1"/>
  <c r="BM54" i="32" s="1"/>
  <c r="BN54" i="32" s="1"/>
  <c r="BO54" i="32" s="1"/>
  <c r="BD110" i="27"/>
  <c r="BE110" i="27" s="1"/>
  <c r="BF110" i="27" s="1"/>
  <c r="BG110" i="27" s="1"/>
  <c r="BH110" i="27" s="1"/>
  <c r="BI110" i="27" s="1"/>
  <c r="BJ110" i="27" s="1"/>
  <c r="BK110" i="27" s="1"/>
  <c r="BL110" i="27" s="1"/>
  <c r="BM110" i="27" s="1"/>
  <c r="BN110" i="27" s="1"/>
  <c r="BO110" i="27" s="1"/>
  <c r="AD32" i="29"/>
  <c r="AE32" i="29" s="1"/>
  <c r="AF32" i="29" s="1"/>
  <c r="AG32" i="29" s="1"/>
  <c r="AH32" i="29" s="1"/>
  <c r="AI32" i="29" s="1"/>
  <c r="AJ32" i="29" s="1"/>
  <c r="AK32" i="29" s="1"/>
  <c r="AL32" i="29" s="1"/>
  <c r="AM32" i="29" s="1"/>
  <c r="AQ112" i="27"/>
  <c r="AR112" i="27" s="1"/>
  <c r="AS112" i="27" s="1"/>
  <c r="AT112" i="27" s="1"/>
  <c r="AU112" i="27" s="1"/>
  <c r="AV112" i="27" s="1"/>
  <c r="AW112" i="27" s="1"/>
  <c r="AX112" i="27" s="1"/>
  <c r="AY112" i="27" s="1"/>
  <c r="AZ112" i="27" s="1"/>
  <c r="BA112" i="27" s="1"/>
  <c r="BB112" i="27" s="1"/>
  <c r="BP112" i="27"/>
  <c r="BC32" i="29"/>
  <c r="AQ113" i="27"/>
  <c r="AR113" i="27" s="1"/>
  <c r="AS113" i="27" s="1"/>
  <c r="AT113" i="27" s="1"/>
  <c r="AU113" i="27" s="1"/>
  <c r="AV113" i="27" s="1"/>
  <c r="AW113" i="27" s="1"/>
  <c r="AX113" i="27" s="1"/>
  <c r="AY113" i="27" s="1"/>
  <c r="AZ113" i="27" s="1"/>
  <c r="BA113" i="27" s="1"/>
  <c r="BB113" i="27" s="1"/>
  <c r="BC84" i="30"/>
  <c r="BP113" i="27"/>
  <c r="AD84" i="30"/>
  <c r="AE84" i="30" s="1"/>
  <c r="AF84" i="30" s="1"/>
  <c r="AG84" i="30" s="1"/>
  <c r="AH84" i="30" s="1"/>
  <c r="AI84" i="30" s="1"/>
  <c r="AJ84" i="30" s="1"/>
  <c r="AF23" i="30"/>
  <c r="AF39" i="30" s="1"/>
  <c r="AF104" i="27"/>
  <c r="AF23" i="31"/>
  <c r="AF39" i="31" s="1"/>
  <c r="AG103" i="27"/>
  <c r="AF26" i="31"/>
  <c r="AF42" i="31" s="1"/>
  <c r="AF26" i="30"/>
  <c r="AF42" i="30" s="1"/>
  <c r="AG106" i="27"/>
  <c r="D83" i="34"/>
  <c r="D17" i="34"/>
  <c r="T84" i="34"/>
  <c r="E95" i="34"/>
  <c r="E114" i="34"/>
  <c r="AC5" i="29"/>
  <c r="F84" i="28"/>
  <c r="BR84" i="28" s="1"/>
  <c r="F34" i="28"/>
  <c r="F91" i="28" s="1"/>
  <c r="BR91" i="28" s="1"/>
  <c r="G27" i="28"/>
  <c r="G86" i="28"/>
  <c r="I24" i="28"/>
  <c r="H29" i="28"/>
  <c r="BP64" i="28"/>
  <c r="BD64" i="28" s="1"/>
  <c r="AQ64" i="28"/>
  <c r="BP67" i="28"/>
  <c r="BD67" i="28" s="1"/>
  <c r="BE67" i="28" s="1"/>
  <c r="BF67" i="28" s="1"/>
  <c r="BG67" i="28" s="1"/>
  <c r="BH67" i="28" s="1"/>
  <c r="BI67" i="28" s="1"/>
  <c r="BJ67" i="28" s="1"/>
  <c r="BK67" i="28" s="1"/>
  <c r="BL67" i="28" s="1"/>
  <c r="BM67" i="28" s="1"/>
  <c r="BN67" i="28" s="1"/>
  <c r="BO67" i="28" s="1"/>
  <c r="AQ67" i="28"/>
  <c r="AR67" i="28" s="1"/>
  <c r="AS67" i="28" s="1"/>
  <c r="AT67" i="28" s="1"/>
  <c r="AU67" i="28" s="1"/>
  <c r="AV67" i="28" s="1"/>
  <c r="AW67" i="28" s="1"/>
  <c r="AX67" i="28" s="1"/>
  <c r="AY67" i="28" s="1"/>
  <c r="AZ67" i="28" s="1"/>
  <c r="BA67" i="28" s="1"/>
  <c r="BB67" i="28" s="1"/>
  <c r="BP68" i="28"/>
  <c r="BD68" i="28" s="1"/>
  <c r="BE68" i="28" s="1"/>
  <c r="BF68" i="28" s="1"/>
  <c r="BG68" i="28" s="1"/>
  <c r="BH68" i="28" s="1"/>
  <c r="BI68" i="28" s="1"/>
  <c r="BJ68" i="28" s="1"/>
  <c r="BK68" i="28" s="1"/>
  <c r="BL68" i="28" s="1"/>
  <c r="BM68" i="28" s="1"/>
  <c r="BN68" i="28" s="1"/>
  <c r="BO68" i="28" s="1"/>
  <c r="AQ68" i="28"/>
  <c r="AR68" i="28" s="1"/>
  <c r="AS68" i="28" s="1"/>
  <c r="AT68" i="28" s="1"/>
  <c r="AU68" i="28" s="1"/>
  <c r="AV68" i="28" s="1"/>
  <c r="AW68" i="28" s="1"/>
  <c r="AX68" i="28" s="1"/>
  <c r="AY68" i="28" s="1"/>
  <c r="AZ68" i="28" s="1"/>
  <c r="BA68" i="28" s="1"/>
  <c r="BB68" i="28" s="1"/>
  <c r="BP69" i="28"/>
  <c r="BD69" i="28" s="1"/>
  <c r="BE69" i="28" s="1"/>
  <c r="BF69" i="28" s="1"/>
  <c r="BG69" i="28" s="1"/>
  <c r="BH69" i="28" s="1"/>
  <c r="BI69" i="28" s="1"/>
  <c r="BJ69" i="28" s="1"/>
  <c r="BK69" i="28" s="1"/>
  <c r="BL69" i="28" s="1"/>
  <c r="BM69" i="28" s="1"/>
  <c r="BN69" i="28" s="1"/>
  <c r="BO69" i="28" s="1"/>
  <c r="AQ69" i="28"/>
  <c r="AR69" i="28" s="1"/>
  <c r="AS69" i="28" s="1"/>
  <c r="AT69" i="28" s="1"/>
  <c r="AU69" i="28" s="1"/>
  <c r="AV69" i="28" s="1"/>
  <c r="AW69" i="28" s="1"/>
  <c r="AX69" i="28" s="1"/>
  <c r="AY69" i="28" s="1"/>
  <c r="AZ69" i="28" s="1"/>
  <c r="BA69" i="28" s="1"/>
  <c r="BB69" i="28" s="1"/>
  <c r="J46" i="24"/>
  <c r="J55" i="34" s="1"/>
  <c r="T55" i="34" s="1"/>
  <c r="BP81" i="30"/>
  <c r="AQ81" i="30"/>
  <c r="M5" i="27"/>
  <c r="N6" i="29"/>
  <c r="K52" i="24"/>
  <c r="K54" i="24" s="1"/>
  <c r="K51" i="24"/>
  <c r="K79" i="34" s="1"/>
  <c r="G10" i="9"/>
  <c r="G22" i="21"/>
  <c r="F22" i="21"/>
  <c r="F10" i="9"/>
  <c r="E22" i="21"/>
  <c r="E10" i="9"/>
  <c r="G24" i="21"/>
  <c r="G9" i="20"/>
  <c r="F24" i="21"/>
  <c r="F9" i="20"/>
  <c r="E24" i="21"/>
  <c r="E9" i="20"/>
  <c r="I38" i="32"/>
  <c r="H39" i="32"/>
  <c r="U39" i="32"/>
  <c r="V38" i="32"/>
  <c r="AI38" i="32"/>
  <c r="AH39" i="32"/>
  <c r="AV38" i="32"/>
  <c r="AU39" i="32"/>
  <c r="BH39" i="32"/>
  <c r="BI38" i="32"/>
  <c r="I40" i="32"/>
  <c r="H37" i="32"/>
  <c r="H36" i="32" s="1"/>
  <c r="S37" i="32"/>
  <c r="S36" i="32" s="1"/>
  <c r="T40" i="32"/>
  <c r="AG40" i="32"/>
  <c r="AF37" i="32"/>
  <c r="AF36" i="32" s="1"/>
  <c r="AT40" i="32"/>
  <c r="BG40" i="32"/>
  <c r="M41" i="32"/>
  <c r="T43" i="32"/>
  <c r="U41" i="32"/>
  <c r="AH41" i="32"/>
  <c r="AU41" i="32"/>
  <c r="H43" i="32"/>
  <c r="I42" i="32"/>
  <c r="U45" i="32"/>
  <c r="T46" i="32"/>
  <c r="I50" i="32"/>
  <c r="U50" i="32"/>
  <c r="AH50" i="32"/>
  <c r="AU50" i="32"/>
  <c r="BH50" i="32"/>
  <c r="J52" i="32"/>
  <c r="U52" i="32"/>
  <c r="AH52" i="32"/>
  <c r="AU52" i="32"/>
  <c r="BH52" i="32"/>
  <c r="U75" i="31"/>
  <c r="AH75" i="31"/>
  <c r="AU75" i="31"/>
  <c r="BH75" i="31"/>
  <c r="G79" i="31"/>
  <c r="H80" i="31"/>
  <c r="T80" i="31"/>
  <c r="AG80" i="31"/>
  <c r="I75" i="30"/>
  <c r="U75" i="30"/>
  <c r="AH75" i="30"/>
  <c r="AU75" i="30"/>
  <c r="BH75" i="30"/>
  <c r="F79" i="30"/>
  <c r="G80" i="30"/>
  <c r="T80" i="30"/>
  <c r="AG80" i="30"/>
  <c r="AT80" i="30"/>
  <c r="BG80" i="30"/>
  <c r="BC78" i="30"/>
  <c r="AD78" i="30"/>
  <c r="R78" i="30"/>
  <c r="Q77" i="30"/>
  <c r="F78" i="30"/>
  <c r="E77" i="30"/>
  <c r="F9" i="32"/>
  <c r="F13" i="27"/>
  <c r="G14" i="29"/>
  <c r="S9" i="32"/>
  <c r="S13" i="27"/>
  <c r="T14" i="29"/>
  <c r="AF9" i="32"/>
  <c r="AF13" i="27"/>
  <c r="AG14" i="29"/>
  <c r="AS9" i="32"/>
  <c r="AS13" i="27"/>
  <c r="AT14" i="29"/>
  <c r="BF9" i="32"/>
  <c r="BF13" i="27"/>
  <c r="BG14" i="29"/>
  <c r="U33" i="29"/>
  <c r="AH33" i="29"/>
  <c r="AU33" i="29"/>
  <c r="BH33" i="29"/>
  <c r="D58" i="28"/>
  <c r="D115" i="28" s="1"/>
  <c r="G54" i="28"/>
  <c r="G111" i="28" s="1"/>
  <c r="H64" i="28"/>
  <c r="U64" i="28"/>
  <c r="AH64" i="28"/>
  <c r="F46" i="28"/>
  <c r="H65" i="28"/>
  <c r="G47" i="28"/>
  <c r="G104" i="28" s="1"/>
  <c r="U65" i="28"/>
  <c r="AH65" i="28"/>
  <c r="AU65" i="28"/>
  <c r="BH65" i="28"/>
  <c r="H68" i="28"/>
  <c r="G48" i="28"/>
  <c r="G105" i="28" s="1"/>
  <c r="G49" i="28"/>
  <c r="G106" i="28" s="1"/>
  <c r="H71" i="28"/>
  <c r="U71" i="28"/>
  <c r="AH71" i="28"/>
  <c r="AU71" i="28"/>
  <c r="BH71" i="28"/>
  <c r="G41" i="28"/>
  <c r="G98" i="28" s="1"/>
  <c r="H74" i="28"/>
  <c r="H76" i="28"/>
  <c r="G50" i="28"/>
  <c r="G107" i="28" s="1"/>
  <c r="U76" i="28"/>
  <c r="AH76" i="28"/>
  <c r="AU76" i="28"/>
  <c r="BH76" i="28"/>
  <c r="H78" i="28"/>
  <c r="G51" i="28"/>
  <c r="G108" i="28" s="1"/>
  <c r="U78" i="28"/>
  <c r="AH78" i="28"/>
  <c r="AU78" i="28"/>
  <c r="BH78" i="28"/>
  <c r="G52" i="28"/>
  <c r="G109" i="28" s="1"/>
  <c r="H79" i="28"/>
  <c r="G53" i="28"/>
  <c r="G110" i="28" s="1"/>
  <c r="H80" i="28"/>
  <c r="U133" i="27"/>
  <c r="AH133" i="27"/>
  <c r="AU133" i="27"/>
  <c r="BH133" i="27"/>
  <c r="O15" i="31"/>
  <c r="O11" i="31"/>
  <c r="O13" i="31" s="1"/>
  <c r="N15" i="31"/>
  <c r="N11" i="31"/>
  <c r="N13" i="31" s="1"/>
  <c r="M15" i="31"/>
  <c r="M11" i="31"/>
  <c r="M13" i="31" s="1"/>
  <c r="L15" i="31"/>
  <c r="L11" i="31"/>
  <c r="L13" i="31" s="1"/>
  <c r="V15" i="31"/>
  <c r="V11" i="31"/>
  <c r="V13" i="31" s="1"/>
  <c r="U15" i="31"/>
  <c r="U11" i="31"/>
  <c r="U13" i="31" s="1"/>
  <c r="T15" i="31"/>
  <c r="T11" i="31"/>
  <c r="T13" i="31" s="1"/>
  <c r="S15" i="31"/>
  <c r="S11" i="31"/>
  <c r="S13" i="31" s="1"/>
  <c r="R15" i="31"/>
  <c r="R11" i="31"/>
  <c r="R13" i="31" s="1"/>
  <c r="Q9" i="31"/>
  <c r="H84" i="31"/>
  <c r="X84" i="31"/>
  <c r="AK84" i="31"/>
  <c r="BH84" i="31"/>
  <c r="H84" i="30"/>
  <c r="U84" i="30"/>
  <c r="I32" i="29"/>
  <c r="U32" i="29"/>
  <c r="G23" i="28"/>
  <c r="F35" i="28"/>
  <c r="E36" i="28"/>
  <c r="E93" i="28" s="1"/>
  <c r="E57" i="28"/>
  <c r="E114" i="28" s="1"/>
  <c r="O200" i="23"/>
  <c r="K20" i="24"/>
  <c r="K39" i="24" s="1"/>
  <c r="K80" i="20"/>
  <c r="K64" i="24"/>
  <c r="K65" i="24" s="1"/>
  <c r="K86" i="20"/>
  <c r="L14" i="24"/>
  <c r="L16" i="24" s="1"/>
  <c r="L18" i="24" s="1"/>
  <c r="L12" i="24"/>
  <c r="M10" i="24"/>
  <c r="N8" i="24"/>
  <c r="I40" i="24"/>
  <c r="I29" i="24"/>
  <c r="I51" i="25" s="1"/>
  <c r="I30" i="24"/>
  <c r="I47" i="24" s="1"/>
  <c r="J28" i="24"/>
  <c r="K37" i="24"/>
  <c r="L51" i="24"/>
  <c r="L79" i="34" s="1"/>
  <c r="L52" i="24"/>
  <c r="L54" i="24" s="1"/>
  <c r="K22" i="24"/>
  <c r="K26" i="24" s="1"/>
  <c r="L9" i="14"/>
  <c r="N58" i="20"/>
  <c r="K116" i="10"/>
  <c r="K72" i="10"/>
  <c r="M11" i="9"/>
  <c r="I14" i="21"/>
  <c r="I15" i="21" s="1"/>
  <c r="K8" i="20"/>
  <c r="M8" i="20"/>
  <c r="P8" i="20"/>
  <c r="W8" i="20" s="1"/>
  <c r="O8" i="21"/>
  <c r="V8" i="21"/>
  <c r="V9" i="21" s="1"/>
  <c r="F23" i="6"/>
  <c r="E21" i="6"/>
  <c r="R10" i="9"/>
  <c r="H38" i="5"/>
  <c r="I2" i="5"/>
  <c r="I38" i="5" s="1"/>
  <c r="H13" i="5"/>
  <c r="H15" i="5"/>
  <c r="I12" i="5"/>
  <c r="I4" i="5"/>
  <c r="BK7" i="3"/>
  <c r="BN7" i="3"/>
  <c r="AY7" i="3"/>
  <c r="AC5" i="3"/>
  <c r="AL5" i="3"/>
  <c r="AA4" i="3"/>
  <c r="BL7" i="3"/>
  <c r="AO4" i="3"/>
  <c r="AB4" i="3"/>
  <c r="BN4" i="3"/>
  <c r="BO4" i="3" s="1"/>
  <c r="AH7" i="3"/>
  <c r="U7" i="3"/>
  <c r="AI7" i="3"/>
  <c r="AM5" i="3"/>
  <c r="BC7" i="3"/>
  <c r="AN5" i="3"/>
  <c r="AV7" i="3"/>
  <c r="BF7" i="3"/>
  <c r="X7" i="3"/>
  <c r="P7" i="3"/>
  <c r="Z7" i="3"/>
  <c r="AN7" i="3"/>
  <c r="BA7" i="3"/>
  <c r="R7" i="3"/>
  <c r="AA7" i="3"/>
  <c r="AF7" i="3"/>
  <c r="AJ7" i="3"/>
  <c r="BG7" i="3"/>
  <c r="V7" i="3"/>
  <c r="AM7" i="3"/>
  <c r="T7" i="3"/>
  <c r="AG7" i="3"/>
  <c r="BI7" i="3"/>
  <c r="BE7" i="3"/>
  <c r="AP7" i="3"/>
  <c r="AC7" i="3"/>
  <c r="AK7" i="3"/>
  <c r="AE7" i="3"/>
  <c r="BH5" i="3"/>
  <c r="BI5" i="3"/>
  <c r="BC5" i="3"/>
  <c r="BJ5" i="3"/>
  <c r="BG5" i="3"/>
  <c r="BM5" i="3"/>
  <c r="AW5" i="3"/>
  <c r="AU5" i="3"/>
  <c r="AG5" i="3"/>
  <c r="AH5" i="3"/>
  <c r="BE5" i="3"/>
  <c r="BK5" i="3"/>
  <c r="BF5" i="3"/>
  <c r="BL5" i="3"/>
  <c r="BD7" i="3"/>
  <c r="BJ7" i="3"/>
  <c r="BD5" i="3"/>
  <c r="BH7" i="3"/>
  <c r="AR5" i="3"/>
  <c r="AX5" i="3"/>
  <c r="AS5" i="3"/>
  <c r="AY5" i="3"/>
  <c r="AQ7" i="3"/>
  <c r="AW7" i="3"/>
  <c r="BA4" i="3"/>
  <c r="BB4" i="3" s="1"/>
  <c r="AT5" i="3"/>
  <c r="AZ5" i="3"/>
  <c r="AR7" i="3"/>
  <c r="AX7" i="3"/>
  <c r="AP5" i="3"/>
  <c r="AV5" i="3"/>
  <c r="AT7" i="3"/>
  <c r="AZ7" i="3"/>
  <c r="AQ5" i="3"/>
  <c r="AU7" i="3"/>
  <c r="AD5" i="3"/>
  <c r="AJ5" i="3"/>
  <c r="AE5" i="3"/>
  <c r="AK5" i="3"/>
  <c r="AF5" i="3"/>
  <c r="AD7" i="3"/>
  <c r="V5" i="3"/>
  <c r="W5" i="3"/>
  <c r="R5" i="3"/>
  <c r="X5" i="3"/>
  <c r="S5" i="3"/>
  <c r="Y5" i="3"/>
  <c r="Q7" i="3"/>
  <c r="W7" i="3"/>
  <c r="P5" i="3"/>
  <c r="T5" i="3"/>
  <c r="Z5" i="3"/>
  <c r="U5" i="3"/>
  <c r="AA5" i="3"/>
  <c r="S7" i="3"/>
  <c r="BT38" i="35" l="1"/>
  <c r="I45" i="32"/>
  <c r="H46" i="32"/>
  <c r="D77" i="31"/>
  <c r="BC79" i="30"/>
  <c r="AD25" i="31"/>
  <c r="AD41" i="31" s="1"/>
  <c r="AD25" i="30"/>
  <c r="AD41" i="30" s="1"/>
  <c r="P38" i="35"/>
  <c r="BU38" i="35"/>
  <c r="AB38" i="35"/>
  <c r="AE38" i="35"/>
  <c r="U38" i="35"/>
  <c r="Y38" i="35"/>
  <c r="AK38" i="35"/>
  <c r="AJ38" i="35"/>
  <c r="BR38" i="35"/>
  <c r="E19" i="25" s="1"/>
  <c r="F19" i="25" s="1"/>
  <c r="T38" i="35"/>
  <c r="T4" i="35" s="1"/>
  <c r="V38" i="35"/>
  <c r="Z38" i="35"/>
  <c r="W38" i="35"/>
  <c r="BW38" i="35" s="1"/>
  <c r="R38" i="35"/>
  <c r="S38" i="35"/>
  <c r="S4" i="35" s="1"/>
  <c r="D4" i="35"/>
  <c r="BR4" i="35" s="1"/>
  <c r="BE80" i="28"/>
  <c r="BF80" i="28" s="1"/>
  <c r="BG80" i="28" s="1"/>
  <c r="BH80" i="28" s="1"/>
  <c r="BI80" i="28" s="1"/>
  <c r="BJ80" i="28" s="1"/>
  <c r="BK80" i="28" s="1"/>
  <c r="BL80" i="28" s="1"/>
  <c r="BM80" i="28" s="1"/>
  <c r="BN80" i="28" s="1"/>
  <c r="BO80" i="28" s="1"/>
  <c r="BD53" i="28"/>
  <c r="BD110" i="28" s="1"/>
  <c r="AQ53" i="28"/>
  <c r="AQ110" i="28" s="1"/>
  <c r="AR80" i="28"/>
  <c r="AS80" i="28" s="1"/>
  <c r="AT80" i="28" s="1"/>
  <c r="AU80" i="28" s="1"/>
  <c r="AV80" i="28" s="1"/>
  <c r="AW80" i="28" s="1"/>
  <c r="AX80" i="28" s="1"/>
  <c r="AY80" i="28" s="1"/>
  <c r="AZ80" i="28" s="1"/>
  <c r="BA80" i="28" s="1"/>
  <c r="BB80" i="28" s="1"/>
  <c r="AF8" i="29"/>
  <c r="AE7" i="27"/>
  <c r="G10" i="20"/>
  <c r="G8" i="10"/>
  <c r="F10" i="20"/>
  <c r="F8" i="10"/>
  <c r="E10" i="20"/>
  <c r="E8" i="10"/>
  <c r="G9" i="27"/>
  <c r="G5" i="32"/>
  <c r="H10" i="29"/>
  <c r="G7" i="32"/>
  <c r="G11" i="27"/>
  <c r="H12" i="29"/>
  <c r="AQ7" i="27"/>
  <c r="AR8" i="29"/>
  <c r="BP7" i="27"/>
  <c r="BD8" i="29"/>
  <c r="T8" i="29"/>
  <c r="S7" i="27"/>
  <c r="BF19" i="29"/>
  <c r="BI19" i="29"/>
  <c r="BK19" i="29"/>
  <c r="BN19" i="29"/>
  <c r="BE19" i="29"/>
  <c r="BH19" i="29"/>
  <c r="BL19" i="29"/>
  <c r="BO19" i="29"/>
  <c r="BD19" i="29"/>
  <c r="BG19" i="29"/>
  <c r="BJ19" i="29"/>
  <c r="BM19" i="29"/>
  <c r="I89" i="26"/>
  <c r="BP19" i="31" s="1"/>
  <c r="BD19" i="31" s="1"/>
  <c r="BE19" i="31" s="1"/>
  <c r="BF19" i="31" s="1"/>
  <c r="BG19" i="31" s="1"/>
  <c r="BH19" i="31" s="1"/>
  <c r="BI19" i="31" s="1"/>
  <c r="BJ19" i="31" s="1"/>
  <c r="BK19" i="31" s="1"/>
  <c r="BL19" i="31" s="1"/>
  <c r="BM19" i="31" s="1"/>
  <c r="BN19" i="31" s="1"/>
  <c r="BO19" i="31" s="1"/>
  <c r="I67" i="26"/>
  <c r="BP19" i="30" s="1"/>
  <c r="BD19" i="30" s="1"/>
  <c r="BE19" i="30" s="1"/>
  <c r="BF19" i="30" s="1"/>
  <c r="BG19" i="30" s="1"/>
  <c r="BH19" i="30" s="1"/>
  <c r="BI19" i="30" s="1"/>
  <c r="BJ19" i="30" s="1"/>
  <c r="BK19" i="30" s="1"/>
  <c r="BL19" i="30" s="1"/>
  <c r="BM19" i="30" s="1"/>
  <c r="BN19" i="30" s="1"/>
  <c r="BO19" i="30" s="1"/>
  <c r="I29" i="26"/>
  <c r="I31" i="26" s="1"/>
  <c r="P30" i="21"/>
  <c r="I12" i="26"/>
  <c r="I9" i="26" s="1"/>
  <c r="H9" i="26"/>
  <c r="G8" i="26"/>
  <c r="L12" i="21"/>
  <c r="L10" i="21" s="1"/>
  <c r="M10" i="21" s="1"/>
  <c r="M12" i="21" s="1"/>
  <c r="F16" i="26"/>
  <c r="F20" i="26"/>
  <c r="F23" i="26" s="1"/>
  <c r="F35" i="26"/>
  <c r="F37" i="26" s="1"/>
  <c r="F58" i="26"/>
  <c r="F60" i="26" s="1"/>
  <c r="F80" i="26"/>
  <c r="F82" i="26" s="1"/>
  <c r="F101" i="26"/>
  <c r="F103" i="26" s="1"/>
  <c r="F105" i="26" s="1"/>
  <c r="F107" i="26" s="1"/>
  <c r="J11" i="21"/>
  <c r="T12" i="21"/>
  <c r="J14" i="21"/>
  <c r="T14" i="21" s="1"/>
  <c r="J15" i="21"/>
  <c r="T15" i="21" s="1"/>
  <c r="J10" i="21"/>
  <c r="E39" i="26"/>
  <c r="E41" i="26" s="1"/>
  <c r="P4" i="29"/>
  <c r="E62" i="26"/>
  <c r="E64" i="26" s="1"/>
  <c r="P4" i="30"/>
  <c r="E84" i="26"/>
  <c r="E86" i="26" s="1"/>
  <c r="P4" i="31"/>
  <c r="E109" i="26"/>
  <c r="E111" i="26" s="1"/>
  <c r="E114" i="26" s="1"/>
  <c r="P4" i="28"/>
  <c r="H9" i="20"/>
  <c r="S9" i="20" s="1"/>
  <c r="H22" i="21"/>
  <c r="S22" i="21" s="1"/>
  <c r="H10" i="9"/>
  <c r="S11" i="21"/>
  <c r="H24" i="21"/>
  <c r="H8" i="10" s="1"/>
  <c r="H15" i="21"/>
  <c r="S15" i="21" s="1"/>
  <c r="S14" i="21"/>
  <c r="N17" i="21"/>
  <c r="O16" i="21"/>
  <c r="O19" i="21" s="1"/>
  <c r="O20" i="21" s="1"/>
  <c r="N19" i="21"/>
  <c r="V16" i="21"/>
  <c r="V17" i="21" s="1"/>
  <c r="U19" i="21"/>
  <c r="L20" i="21"/>
  <c r="U20" i="21" s="1"/>
  <c r="BE80" i="27"/>
  <c r="BF80" i="27" s="1"/>
  <c r="BG80" i="27" s="1"/>
  <c r="BH80" i="27" s="1"/>
  <c r="BI80" i="27" s="1"/>
  <c r="BJ80" i="27" s="1"/>
  <c r="BK80" i="27" s="1"/>
  <c r="BL80" i="27" s="1"/>
  <c r="BM80" i="27" s="1"/>
  <c r="BN80" i="27" s="1"/>
  <c r="BO80" i="27" s="1"/>
  <c r="BP81" i="31"/>
  <c r="BD81" i="31" s="1"/>
  <c r="BE81" i="31" s="1"/>
  <c r="BF81" i="31" s="1"/>
  <c r="BG81" i="31" s="1"/>
  <c r="BH81" i="31" s="1"/>
  <c r="BI81" i="31" s="1"/>
  <c r="BJ81" i="31" s="1"/>
  <c r="BK81" i="31" s="1"/>
  <c r="BL81" i="31" s="1"/>
  <c r="BM81" i="31" s="1"/>
  <c r="BN81" i="31" s="1"/>
  <c r="BO81" i="31" s="1"/>
  <c r="AQ81" i="31"/>
  <c r="AR81" i="31" s="1"/>
  <c r="AS81" i="31" s="1"/>
  <c r="AT81" i="31" s="1"/>
  <c r="AU81" i="31" s="1"/>
  <c r="AV81" i="31" s="1"/>
  <c r="AW81" i="31" s="1"/>
  <c r="AX81" i="31" s="1"/>
  <c r="AY81" i="31" s="1"/>
  <c r="AZ81" i="31" s="1"/>
  <c r="BA81" i="31" s="1"/>
  <c r="BB81" i="31" s="1"/>
  <c r="AP78" i="31"/>
  <c r="Q78" i="31"/>
  <c r="BC82" i="31"/>
  <c r="BC79" i="31" s="1"/>
  <c r="AD82" i="31"/>
  <c r="H11" i="32"/>
  <c r="H15" i="27"/>
  <c r="I16" i="29"/>
  <c r="BA5" i="29"/>
  <c r="F14" i="27"/>
  <c r="E77" i="31"/>
  <c r="F78" i="31"/>
  <c r="T5" i="27"/>
  <c r="U6" i="29"/>
  <c r="AH6" i="29"/>
  <c r="AG5" i="27"/>
  <c r="AU6" i="29"/>
  <c r="AT5" i="27"/>
  <c r="BH6" i="29"/>
  <c r="BG5" i="27"/>
  <c r="E92" i="27"/>
  <c r="E12" i="27"/>
  <c r="E93" i="27" s="1"/>
  <c r="G7" i="27"/>
  <c r="G8" i="27" s="1"/>
  <c r="H8" i="29"/>
  <c r="F86" i="27"/>
  <c r="BR86" i="27" s="1"/>
  <c r="F10" i="27"/>
  <c r="F85" i="27"/>
  <c r="BR85" i="27" s="1"/>
  <c r="BL5" i="30"/>
  <c r="BG41" i="32"/>
  <c r="BD43" i="32"/>
  <c r="BE42" i="32"/>
  <c r="AR43" i="32"/>
  <c r="AS42" i="32"/>
  <c r="AF43" i="32"/>
  <c r="AG42" i="32"/>
  <c r="BE45" i="32"/>
  <c r="BD46" i="32"/>
  <c r="AS45" i="32"/>
  <c r="AR46" i="32"/>
  <c r="AG45" i="32"/>
  <c r="AF46" i="32"/>
  <c r="BD37" i="32"/>
  <c r="BD36" i="32" s="1"/>
  <c r="BE47" i="32"/>
  <c r="AR37" i="32"/>
  <c r="AR36" i="32" s="1"/>
  <c r="AS47" i="32"/>
  <c r="BF8" i="31"/>
  <c r="BF8" i="30"/>
  <c r="AQ10" i="28"/>
  <c r="AR10" i="28"/>
  <c r="AS10" i="28"/>
  <c r="AT10" i="28"/>
  <c r="AU10" i="28"/>
  <c r="BB10" i="28"/>
  <c r="BA10" i="28"/>
  <c r="AZ10" i="28"/>
  <c r="AX10" i="28"/>
  <c r="AW10" i="28"/>
  <c r="AV10" i="28"/>
  <c r="AY10" i="28"/>
  <c r="BP10" i="28"/>
  <c r="H170" i="22"/>
  <c r="H92" i="22"/>
  <c r="H93" i="22" s="1"/>
  <c r="H94" i="22" s="1"/>
  <c r="I93" i="22"/>
  <c r="I94" i="22" s="1"/>
  <c r="K92" i="22"/>
  <c r="L92" i="22" s="1"/>
  <c r="I71" i="22"/>
  <c r="I72" i="22" s="1"/>
  <c r="K70" i="22"/>
  <c r="L70" i="22" s="1"/>
  <c r="AN38" i="35"/>
  <c r="AO38" i="35"/>
  <c r="AF38" i="35"/>
  <c r="AM38" i="35"/>
  <c r="AL38" i="35"/>
  <c r="AH38" i="35"/>
  <c r="AI38" i="35"/>
  <c r="AD38" i="35"/>
  <c r="AG38" i="35"/>
  <c r="BE64" i="28"/>
  <c r="AR64" i="28"/>
  <c r="BF24" i="35"/>
  <c r="BG92" i="35"/>
  <c r="AS24" i="35"/>
  <c r="AT92" i="35"/>
  <c r="BH23" i="35"/>
  <c r="BI75" i="35"/>
  <c r="BJ76" i="35"/>
  <c r="AV75" i="35"/>
  <c r="AW76" i="35"/>
  <c r="AU23" i="35"/>
  <c r="AH23" i="35"/>
  <c r="AH24" i="35"/>
  <c r="AJ76" i="35"/>
  <c r="AI75" i="35"/>
  <c r="U24" i="35"/>
  <c r="U23" i="35"/>
  <c r="V75" i="35"/>
  <c r="W76" i="35"/>
  <c r="G4" i="35"/>
  <c r="H23" i="35"/>
  <c r="H24" i="35"/>
  <c r="J76" i="35"/>
  <c r="I75" i="35"/>
  <c r="AR30" i="35"/>
  <c r="AZ30" i="35"/>
  <c r="BB30" i="35"/>
  <c r="AV30" i="35"/>
  <c r="BA30" i="35"/>
  <c r="AQ30" i="35"/>
  <c r="AS30" i="35"/>
  <c r="AY30" i="35"/>
  <c r="AT30" i="35"/>
  <c r="AW30" i="35"/>
  <c r="AX30" i="35"/>
  <c r="AU30" i="35"/>
  <c r="AT21" i="35"/>
  <c r="AW21" i="35"/>
  <c r="AZ21" i="35"/>
  <c r="AR21" i="35"/>
  <c r="AU21" i="35"/>
  <c r="BA21" i="35"/>
  <c r="AQ21" i="35"/>
  <c r="AS21" i="35"/>
  <c r="AV21" i="35"/>
  <c r="AY21" i="35"/>
  <c r="BB21" i="35"/>
  <c r="AX21" i="35"/>
  <c r="AV27" i="35"/>
  <c r="AQ27" i="35"/>
  <c r="AZ27" i="35"/>
  <c r="AT27" i="35"/>
  <c r="BB27" i="35"/>
  <c r="AR27" i="35"/>
  <c r="AY27" i="35"/>
  <c r="BA27" i="35"/>
  <c r="AU27" i="35"/>
  <c r="AX27" i="35"/>
  <c r="AS27" i="35"/>
  <c r="AW27" i="35"/>
  <c r="AR31" i="35"/>
  <c r="AV31" i="35"/>
  <c r="BA31" i="35"/>
  <c r="AW31" i="35"/>
  <c r="AZ31" i="35"/>
  <c r="AT31" i="35"/>
  <c r="AX31" i="35"/>
  <c r="BB31" i="35"/>
  <c r="AQ31" i="35"/>
  <c r="AY31" i="35"/>
  <c r="AS31" i="35"/>
  <c r="AU31" i="35"/>
  <c r="AR26" i="35"/>
  <c r="AW26" i="35"/>
  <c r="AS26" i="35"/>
  <c r="AV26" i="35"/>
  <c r="BA26" i="35"/>
  <c r="AY26" i="35"/>
  <c r="BB26" i="35"/>
  <c r="AQ26" i="35"/>
  <c r="AZ26" i="35"/>
  <c r="AT26" i="35"/>
  <c r="BC25" i="35"/>
  <c r="AU26" i="35"/>
  <c r="AX26" i="35"/>
  <c r="AU28" i="35"/>
  <c r="AX28" i="35"/>
  <c r="AW28" i="35"/>
  <c r="AZ28" i="35"/>
  <c r="BB28" i="35"/>
  <c r="AS28" i="35"/>
  <c r="AY28" i="35"/>
  <c r="BA28" i="35"/>
  <c r="AR28" i="35"/>
  <c r="AV28" i="35"/>
  <c r="AQ28" i="35"/>
  <c r="AT28" i="35"/>
  <c r="AS29" i="35"/>
  <c r="AU29" i="35"/>
  <c r="BB29" i="35"/>
  <c r="AR29" i="35"/>
  <c r="AV29" i="35"/>
  <c r="BA29" i="35"/>
  <c r="AX29" i="35"/>
  <c r="AZ29" i="35"/>
  <c r="AY29" i="35"/>
  <c r="AQ29" i="35"/>
  <c r="AT29" i="35"/>
  <c r="AW29" i="35"/>
  <c r="BA37" i="35"/>
  <c r="AQ37" i="35"/>
  <c r="AU37" i="35"/>
  <c r="AX37" i="35"/>
  <c r="AZ37" i="35"/>
  <c r="AS37" i="35"/>
  <c r="AW37" i="35"/>
  <c r="BB37" i="35"/>
  <c r="AR37" i="35"/>
  <c r="AV37" i="35"/>
  <c r="AY37" i="35"/>
  <c r="AT37" i="35"/>
  <c r="AQ20" i="35"/>
  <c r="AR20" i="35"/>
  <c r="AS20" i="35"/>
  <c r="AT20" i="35"/>
  <c r="AU20" i="35"/>
  <c r="AV20" i="35"/>
  <c r="AW20" i="35"/>
  <c r="AX20" i="35"/>
  <c r="AY20" i="35"/>
  <c r="AZ20" i="35"/>
  <c r="BA20" i="35"/>
  <c r="BB20" i="35"/>
  <c r="AU32" i="35"/>
  <c r="AZ32" i="35"/>
  <c r="AW32" i="35"/>
  <c r="AR32" i="35"/>
  <c r="AT32" i="35"/>
  <c r="AV32" i="35"/>
  <c r="BA32" i="35"/>
  <c r="AX32" i="35"/>
  <c r="BB32" i="35"/>
  <c r="AQ32" i="35"/>
  <c r="AS32" i="35"/>
  <c r="AY32" i="35"/>
  <c r="BP26" i="35"/>
  <c r="BP37" i="35"/>
  <c r="BP27" i="35"/>
  <c r="BP31" i="35"/>
  <c r="BP32" i="35"/>
  <c r="BP28" i="35"/>
  <c r="BP29" i="35"/>
  <c r="BP30" i="35"/>
  <c r="BP20" i="35"/>
  <c r="BP21" i="35"/>
  <c r="BP6" i="35"/>
  <c r="BP7" i="35"/>
  <c r="BP8" i="35"/>
  <c r="BP9" i="35"/>
  <c r="BP10" i="35"/>
  <c r="BP11" i="35"/>
  <c r="BP12" i="35"/>
  <c r="BP13" i="35"/>
  <c r="BP14" i="35"/>
  <c r="BP15" i="35"/>
  <c r="BP16" i="35"/>
  <c r="BP17" i="35"/>
  <c r="BP18" i="35"/>
  <c r="BP19" i="35"/>
  <c r="BP63" i="35"/>
  <c r="BD63" i="35" s="1"/>
  <c r="BP66" i="35"/>
  <c r="BD66" i="35" s="1"/>
  <c r="BP64" i="35"/>
  <c r="BD64" i="35" s="1"/>
  <c r="BP67" i="35"/>
  <c r="BD67" i="35" s="1"/>
  <c r="BP62" i="35"/>
  <c r="BP65" i="35"/>
  <c r="BD65" i="35" s="1"/>
  <c r="BP69" i="35"/>
  <c r="BD69" i="35" s="1"/>
  <c r="BD1" i="35"/>
  <c r="BE1" i="35" s="1"/>
  <c r="BF1" i="35" s="1"/>
  <c r="BG1" i="35" s="1"/>
  <c r="BH1" i="35" s="1"/>
  <c r="BI1" i="35" s="1"/>
  <c r="BJ1" i="35" s="1"/>
  <c r="BK1" i="35" s="1"/>
  <c r="BL1" i="35" s="1"/>
  <c r="BM1" i="35" s="1"/>
  <c r="BN1" i="35" s="1"/>
  <c r="BO1" i="35" s="1"/>
  <c r="AQ6" i="35"/>
  <c r="AR6" i="35"/>
  <c r="AS6" i="35"/>
  <c r="AT6" i="35"/>
  <c r="AU6" i="35"/>
  <c r="AV6" i="35"/>
  <c r="AW6" i="35"/>
  <c r="AX6" i="35"/>
  <c r="AY6" i="35"/>
  <c r="AZ6" i="35"/>
  <c r="BA6" i="35"/>
  <c r="BB6" i="35"/>
  <c r="AQ7" i="35"/>
  <c r="AR7" i="35"/>
  <c r="AS7" i="35"/>
  <c r="AT7" i="35"/>
  <c r="AU7" i="35"/>
  <c r="AV7" i="35"/>
  <c r="AW7" i="35"/>
  <c r="AX7" i="35"/>
  <c r="AY7" i="35"/>
  <c r="AZ7" i="35"/>
  <c r="BA7" i="35"/>
  <c r="BB7" i="35"/>
  <c r="AQ8" i="35"/>
  <c r="AR8" i="35"/>
  <c r="AS8" i="35"/>
  <c r="AT8" i="35"/>
  <c r="AU8" i="35"/>
  <c r="AV8" i="35"/>
  <c r="AW8" i="35"/>
  <c r="AX8" i="35"/>
  <c r="AY8" i="35"/>
  <c r="AZ8" i="35"/>
  <c r="BA8" i="35"/>
  <c r="BB8" i="35"/>
  <c r="AQ9" i="35"/>
  <c r="AR9" i="35"/>
  <c r="AS9" i="35"/>
  <c r="AT9" i="35"/>
  <c r="AU9" i="35"/>
  <c r="AV9" i="35"/>
  <c r="AW9" i="35"/>
  <c r="AX9" i="35"/>
  <c r="AY9" i="35"/>
  <c r="AZ9" i="35"/>
  <c r="BA9" i="35"/>
  <c r="BB9" i="35"/>
  <c r="AQ10" i="35"/>
  <c r="AR10" i="35"/>
  <c r="AS10" i="35"/>
  <c r="AT10" i="35"/>
  <c r="AU10" i="35"/>
  <c r="AV10" i="35"/>
  <c r="AW10" i="35"/>
  <c r="AX10" i="35"/>
  <c r="AY10" i="35"/>
  <c r="AZ10" i="35"/>
  <c r="BA10" i="35"/>
  <c r="BB10" i="35"/>
  <c r="AQ11" i="35"/>
  <c r="AR11" i="35"/>
  <c r="AS11" i="35"/>
  <c r="AT11" i="35"/>
  <c r="AU11" i="35"/>
  <c r="AV11" i="35"/>
  <c r="AW11" i="35"/>
  <c r="AX11" i="35"/>
  <c r="AY11" i="35"/>
  <c r="AZ11" i="35"/>
  <c r="BA11" i="35"/>
  <c r="BB11" i="35"/>
  <c r="AQ12" i="35"/>
  <c r="AR12" i="35"/>
  <c r="AS12" i="35"/>
  <c r="AT12" i="35"/>
  <c r="AU12" i="35"/>
  <c r="AV12" i="35"/>
  <c r="AW12" i="35"/>
  <c r="AX12" i="35"/>
  <c r="AY12" i="35"/>
  <c r="AZ12" i="35"/>
  <c r="BA12" i="35"/>
  <c r="BB12" i="35"/>
  <c r="AQ13" i="35"/>
  <c r="AR13" i="35"/>
  <c r="AS13" i="35"/>
  <c r="AT13" i="35"/>
  <c r="AU13" i="35"/>
  <c r="AV13" i="35"/>
  <c r="AW13" i="35"/>
  <c r="AX13" i="35"/>
  <c r="AY13" i="35"/>
  <c r="AZ13" i="35"/>
  <c r="BA13" i="35"/>
  <c r="BB13" i="35"/>
  <c r="AQ14" i="35"/>
  <c r="AR14" i="35"/>
  <c r="AS14" i="35"/>
  <c r="AT14" i="35"/>
  <c r="AU14" i="35"/>
  <c r="AV14" i="35"/>
  <c r="AW14" i="35"/>
  <c r="AX14" i="35"/>
  <c r="AY14" i="35"/>
  <c r="AZ14" i="35"/>
  <c r="BA14" i="35"/>
  <c r="BB14" i="35"/>
  <c r="AQ15" i="35"/>
  <c r="AR15" i="35"/>
  <c r="AS15" i="35"/>
  <c r="AT15" i="35"/>
  <c r="AU15" i="35"/>
  <c r="AV15" i="35"/>
  <c r="AW15" i="35"/>
  <c r="AX15" i="35"/>
  <c r="AY15" i="35"/>
  <c r="AZ15" i="35"/>
  <c r="BA15" i="35"/>
  <c r="BB15" i="35"/>
  <c r="AQ16" i="35"/>
  <c r="AR16" i="35"/>
  <c r="AS16" i="35"/>
  <c r="AT16" i="35"/>
  <c r="AU16" i="35"/>
  <c r="AV16" i="35"/>
  <c r="AW16" i="35"/>
  <c r="AX16" i="35"/>
  <c r="AY16" i="35"/>
  <c r="AZ16" i="35"/>
  <c r="BA16" i="35"/>
  <c r="BB16" i="35"/>
  <c r="AQ17" i="35"/>
  <c r="AR17" i="35"/>
  <c r="AS17" i="35"/>
  <c r="AT17" i="35"/>
  <c r="AU17" i="35"/>
  <c r="AV17" i="35"/>
  <c r="AW17" i="35"/>
  <c r="AX17" i="35"/>
  <c r="AY17" i="35"/>
  <c r="AZ17" i="35"/>
  <c r="BA17" i="35"/>
  <c r="BB17" i="35"/>
  <c r="AQ18" i="35"/>
  <c r="AR18" i="35"/>
  <c r="AS18" i="35"/>
  <c r="AT18" i="35"/>
  <c r="AU18" i="35"/>
  <c r="AV18" i="35"/>
  <c r="AW18" i="35"/>
  <c r="AX18" i="35"/>
  <c r="AY18" i="35"/>
  <c r="AZ18" i="35"/>
  <c r="BA18" i="35"/>
  <c r="BB18" i="35"/>
  <c r="AQ19" i="35"/>
  <c r="AR19" i="35"/>
  <c r="AS19" i="35"/>
  <c r="AT19" i="35"/>
  <c r="AU19" i="35"/>
  <c r="AV19" i="35"/>
  <c r="AW19" i="35"/>
  <c r="AX19" i="35"/>
  <c r="AY19" i="35"/>
  <c r="AZ19" i="35"/>
  <c r="BA19" i="35"/>
  <c r="BB19" i="35"/>
  <c r="BC61" i="35"/>
  <c r="AQ62" i="35"/>
  <c r="AQ61" i="35" s="1"/>
  <c r="AQ73" i="35" s="1"/>
  <c r="AD22" i="35"/>
  <c r="AD5" i="35" s="1"/>
  <c r="AE22" i="35"/>
  <c r="AE5" i="35" s="1"/>
  <c r="AF22" i="35"/>
  <c r="AF5" i="35" s="1"/>
  <c r="AG22" i="35"/>
  <c r="AG5" i="35" s="1"/>
  <c r="AH22" i="35"/>
  <c r="AH5" i="35" s="1"/>
  <c r="AI22" i="35"/>
  <c r="AI5" i="35" s="1"/>
  <c r="AJ22" i="35"/>
  <c r="AJ5" i="35"/>
  <c r="AK22" i="35"/>
  <c r="AK5" i="35" s="1"/>
  <c r="AL22" i="35"/>
  <c r="AL5" i="35" s="1"/>
  <c r="AM22" i="35"/>
  <c r="AM5" i="35" s="1"/>
  <c r="AN22" i="35"/>
  <c r="AN5" i="35" s="1"/>
  <c r="AO22" i="35"/>
  <c r="AO5" i="35" s="1"/>
  <c r="AC5" i="35"/>
  <c r="AC98" i="35" s="1"/>
  <c r="Q4" i="35"/>
  <c r="AD25" i="35"/>
  <c r="AN25" i="35"/>
  <c r="AK25" i="35"/>
  <c r="AH25" i="35"/>
  <c r="AF25" i="35"/>
  <c r="AL25" i="35"/>
  <c r="AO25" i="35"/>
  <c r="AG25" i="35"/>
  <c r="AE25" i="35"/>
  <c r="AM25" i="35"/>
  <c r="AI25" i="35"/>
  <c r="AJ25" i="35"/>
  <c r="AC22" i="35"/>
  <c r="BX61" i="35"/>
  <c r="U79" i="34"/>
  <c r="K87" i="20"/>
  <c r="K69" i="34"/>
  <c r="I15" i="25"/>
  <c r="R25" i="30"/>
  <c r="R41" i="30" s="1"/>
  <c r="R79" i="30" s="1"/>
  <c r="R77" i="30" s="1"/>
  <c r="R25" i="31"/>
  <c r="R41" i="31" s="1"/>
  <c r="R79" i="31" s="1"/>
  <c r="S27" i="31"/>
  <c r="S43" i="31" s="1"/>
  <c r="S27" i="30"/>
  <c r="S43" i="30" s="1"/>
  <c r="S105" i="27"/>
  <c r="T107" i="27"/>
  <c r="BP105" i="27"/>
  <c r="AQ105" i="27"/>
  <c r="T10" i="29"/>
  <c r="S5" i="32"/>
  <c r="S9" i="27"/>
  <c r="AF10" i="29"/>
  <c r="AE9" i="27"/>
  <c r="AE5" i="32"/>
  <c r="AR10" i="29"/>
  <c r="AQ9" i="27"/>
  <c r="AQ5" i="32"/>
  <c r="BP9" i="27"/>
  <c r="BD10" i="29"/>
  <c r="AR12" i="29"/>
  <c r="AQ11" i="27"/>
  <c r="AQ7" i="32"/>
  <c r="BP11" i="27"/>
  <c r="BD12" i="29"/>
  <c r="AF12" i="29"/>
  <c r="AE11" i="27"/>
  <c r="AE7" i="32"/>
  <c r="T12" i="29"/>
  <c r="S7" i="32"/>
  <c r="S11" i="27"/>
  <c r="G24" i="31"/>
  <c r="G40" i="31" s="1"/>
  <c r="G24" i="30"/>
  <c r="G40" i="30" s="1"/>
  <c r="H23" i="30"/>
  <c r="H39" i="30" s="1"/>
  <c r="H23" i="31"/>
  <c r="H39" i="31" s="1"/>
  <c r="I103" i="27"/>
  <c r="H104" i="27"/>
  <c r="AV24" i="30"/>
  <c r="AV40" i="30" s="1"/>
  <c r="AV24" i="31"/>
  <c r="AV40" i="31" s="1"/>
  <c r="AW104" i="27"/>
  <c r="AW23" i="31"/>
  <c r="AW39" i="31" s="1"/>
  <c r="AW23" i="30"/>
  <c r="AW39" i="30" s="1"/>
  <c r="AX103" i="27"/>
  <c r="AU24" i="31"/>
  <c r="AU40" i="31" s="1"/>
  <c r="AU24" i="30"/>
  <c r="AU40" i="30" s="1"/>
  <c r="AT24" i="30"/>
  <c r="AT40" i="30" s="1"/>
  <c r="AT24" i="31"/>
  <c r="AT40" i="31" s="1"/>
  <c r="AS24" i="31"/>
  <c r="AS40" i="31" s="1"/>
  <c r="AS24" i="30"/>
  <c r="AS40" i="30" s="1"/>
  <c r="AR24" i="31"/>
  <c r="AR40" i="31" s="1"/>
  <c r="AR24" i="30"/>
  <c r="AR40" i="30" s="1"/>
  <c r="AQ24" i="30"/>
  <c r="AQ40" i="30" s="1"/>
  <c r="AQ24" i="31"/>
  <c r="AQ40" i="31" s="1"/>
  <c r="BE23" i="31"/>
  <c r="BE39" i="31" s="1"/>
  <c r="BE23" i="30"/>
  <c r="BE39" i="30" s="1"/>
  <c r="BE104" i="27"/>
  <c r="BF103" i="27"/>
  <c r="BD104" i="27"/>
  <c r="BD23" i="30"/>
  <c r="BD39" i="30" s="1"/>
  <c r="BD23" i="31"/>
  <c r="BD39" i="31" s="1"/>
  <c r="BP24" i="30"/>
  <c r="BP40" i="30" s="1"/>
  <c r="BP24" i="31"/>
  <c r="BP40" i="31" s="1"/>
  <c r="AS26" i="30"/>
  <c r="AS42" i="30" s="1"/>
  <c r="AS26" i="31"/>
  <c r="AS42" i="31" s="1"/>
  <c r="AT106" i="27"/>
  <c r="BD26" i="30"/>
  <c r="BD42" i="30" s="1"/>
  <c r="BD26" i="31"/>
  <c r="BD42" i="31" s="1"/>
  <c r="BE106" i="27"/>
  <c r="AE105" i="27"/>
  <c r="AE27" i="31"/>
  <c r="AE43" i="31" s="1"/>
  <c r="AE27" i="30"/>
  <c r="AE43" i="30" s="1"/>
  <c r="AF107" i="27"/>
  <c r="AQ27" i="30"/>
  <c r="AQ43" i="30" s="1"/>
  <c r="AQ27" i="31"/>
  <c r="AQ43" i="31" s="1"/>
  <c r="AR107" i="27"/>
  <c r="BD107" i="27"/>
  <c r="BP27" i="30"/>
  <c r="BP43" i="30" s="1"/>
  <c r="BP27" i="31"/>
  <c r="BP43" i="31" s="1"/>
  <c r="AE28" i="30"/>
  <c r="AE44" i="30" s="1"/>
  <c r="AE28" i="31"/>
  <c r="AE44" i="31" s="1"/>
  <c r="AF108" i="27"/>
  <c r="AQ28" i="31"/>
  <c r="AQ44" i="31" s="1"/>
  <c r="AQ28" i="30"/>
  <c r="AQ44" i="30" s="1"/>
  <c r="AR108" i="27"/>
  <c r="BD108" i="27"/>
  <c r="BP28" i="30"/>
  <c r="BP44" i="30" s="1"/>
  <c r="BP28" i="31"/>
  <c r="BP44" i="31" s="1"/>
  <c r="BD112" i="27"/>
  <c r="BE112" i="27" s="1"/>
  <c r="BF112" i="27" s="1"/>
  <c r="BG112" i="27" s="1"/>
  <c r="BH112" i="27" s="1"/>
  <c r="BI112" i="27" s="1"/>
  <c r="BJ112" i="27" s="1"/>
  <c r="BK112" i="27" s="1"/>
  <c r="BL112" i="27" s="1"/>
  <c r="BM112" i="27" s="1"/>
  <c r="BN112" i="27" s="1"/>
  <c r="BO112" i="27" s="1"/>
  <c r="BP32" i="29"/>
  <c r="AQ32" i="29"/>
  <c r="AR32" i="29" s="1"/>
  <c r="AS32" i="29" s="1"/>
  <c r="AT32" i="29" s="1"/>
  <c r="AU32" i="29" s="1"/>
  <c r="AV32" i="29" s="1"/>
  <c r="AW32" i="29" s="1"/>
  <c r="AX32" i="29" s="1"/>
  <c r="AY32" i="29" s="1"/>
  <c r="AZ32" i="29" s="1"/>
  <c r="BA32" i="29" s="1"/>
  <c r="AQ84" i="30"/>
  <c r="AR84" i="30" s="1"/>
  <c r="AS84" i="30" s="1"/>
  <c r="AT84" i="30" s="1"/>
  <c r="AU84" i="30" s="1"/>
  <c r="AV84" i="30" s="1"/>
  <c r="AW84" i="30" s="1"/>
  <c r="BD113" i="27"/>
  <c r="BE113" i="27" s="1"/>
  <c r="BF113" i="27" s="1"/>
  <c r="BG113" i="27" s="1"/>
  <c r="BH113" i="27" s="1"/>
  <c r="BI113" i="27" s="1"/>
  <c r="BJ113" i="27" s="1"/>
  <c r="BK113" i="27" s="1"/>
  <c r="BL113" i="27" s="1"/>
  <c r="BM113" i="27" s="1"/>
  <c r="BN113" i="27" s="1"/>
  <c r="BO113" i="27" s="1"/>
  <c r="BP84" i="30"/>
  <c r="AF24" i="31"/>
  <c r="AF40" i="31" s="1"/>
  <c r="AF24" i="30"/>
  <c r="AF40" i="30" s="1"/>
  <c r="AG23" i="31"/>
  <c r="AG39" i="31" s="1"/>
  <c r="AG23" i="30"/>
  <c r="AG39" i="30" s="1"/>
  <c r="AG104" i="27"/>
  <c r="AH103" i="27"/>
  <c r="AG26" i="31"/>
  <c r="AG42" i="31" s="1"/>
  <c r="AG26" i="30"/>
  <c r="AG42" i="30" s="1"/>
  <c r="AH106" i="27"/>
  <c r="AD79" i="30"/>
  <c r="AD77" i="30" s="1"/>
  <c r="BF10" i="31"/>
  <c r="BF10" i="30"/>
  <c r="D85" i="34"/>
  <c r="D22" i="34"/>
  <c r="E90" i="34"/>
  <c r="U84" i="34"/>
  <c r="G84" i="28"/>
  <c r="G34" i="28"/>
  <c r="G91" i="28" s="1"/>
  <c r="H27" i="28"/>
  <c r="H86" i="28"/>
  <c r="F57" i="28"/>
  <c r="F114" i="28" s="1"/>
  <c r="BR114" i="28" s="1"/>
  <c r="F103" i="28"/>
  <c r="BR103" i="28" s="1"/>
  <c r="F36" i="28"/>
  <c r="F92" i="28"/>
  <c r="BR92" i="28" s="1"/>
  <c r="E105" i="34" s="1"/>
  <c r="J24" i="28"/>
  <c r="K24" i="28" s="1"/>
  <c r="L24" i="28" s="1"/>
  <c r="M24" i="28" s="1"/>
  <c r="N24" i="28" s="1"/>
  <c r="O24" i="28" s="1"/>
  <c r="I29" i="28"/>
  <c r="BD81" i="30"/>
  <c r="AR81" i="30"/>
  <c r="O6" i="29"/>
  <c r="N5" i="27"/>
  <c r="G16" i="9"/>
  <c r="G15" i="9"/>
  <c r="G8" i="14"/>
  <c r="G10" i="14" s="1"/>
  <c r="G14" i="9"/>
  <c r="F8" i="14"/>
  <c r="E8" i="14"/>
  <c r="I39" i="32"/>
  <c r="J38" i="32"/>
  <c r="W38" i="32"/>
  <c r="V39" i="32"/>
  <c r="AJ38" i="32"/>
  <c r="AI39" i="32"/>
  <c r="AW38" i="32"/>
  <c r="AV39" i="32"/>
  <c r="BI39" i="32"/>
  <c r="BJ38" i="32"/>
  <c r="J40" i="32"/>
  <c r="I37" i="32"/>
  <c r="I36" i="32" s="1"/>
  <c r="U40" i="32"/>
  <c r="T37" i="32"/>
  <c r="T36" i="32" s="1"/>
  <c r="AH40" i="32"/>
  <c r="AG37" i="32"/>
  <c r="AG36" i="32" s="1"/>
  <c r="AU40" i="32"/>
  <c r="BH40" i="32"/>
  <c r="N41" i="32"/>
  <c r="V41" i="32"/>
  <c r="U43" i="32"/>
  <c r="AI41" i="32"/>
  <c r="AV41" i="32"/>
  <c r="I43" i="32"/>
  <c r="J42" i="32"/>
  <c r="V45" i="32"/>
  <c r="U46" i="32"/>
  <c r="J50" i="32"/>
  <c r="V50" i="32"/>
  <c r="AI50" i="32"/>
  <c r="AV50" i="32"/>
  <c r="BI50" i="32"/>
  <c r="K52" i="32"/>
  <c r="V52" i="32"/>
  <c r="AI52" i="32"/>
  <c r="AV52" i="32"/>
  <c r="BI52" i="32"/>
  <c r="V75" i="31"/>
  <c r="AI75" i="31"/>
  <c r="AV75" i="31"/>
  <c r="BI75" i="31"/>
  <c r="H79" i="31"/>
  <c r="I80" i="31"/>
  <c r="U80" i="31"/>
  <c r="AH80" i="31"/>
  <c r="AU80" i="31"/>
  <c r="BH80" i="31"/>
  <c r="J75" i="30"/>
  <c r="V75" i="30"/>
  <c r="AI75" i="30"/>
  <c r="AV75" i="30"/>
  <c r="BI75" i="30"/>
  <c r="G79" i="30"/>
  <c r="H80" i="30"/>
  <c r="U80" i="30"/>
  <c r="AH80" i="30"/>
  <c r="AU80" i="30"/>
  <c r="BH80" i="30"/>
  <c r="BP78" i="30"/>
  <c r="BD78" i="30" s="1"/>
  <c r="AQ78" i="30"/>
  <c r="AE78" i="30"/>
  <c r="S78" i="30"/>
  <c r="G78" i="30"/>
  <c r="F77" i="30"/>
  <c r="G9" i="32"/>
  <c r="G13" i="27"/>
  <c r="H14" i="29"/>
  <c r="T9" i="32"/>
  <c r="T13" i="27"/>
  <c r="U14" i="29"/>
  <c r="AG9" i="32"/>
  <c r="AG13" i="27"/>
  <c r="AH14" i="29"/>
  <c r="AT9" i="32"/>
  <c r="AT13" i="27"/>
  <c r="AU14" i="29"/>
  <c r="BG9" i="32"/>
  <c r="BG13" i="27"/>
  <c r="BH14" i="29"/>
  <c r="V33" i="29"/>
  <c r="AI33" i="29"/>
  <c r="AV33" i="29"/>
  <c r="BI33" i="29"/>
  <c r="D59" i="28"/>
  <c r="H54" i="28"/>
  <c r="H111" i="28" s="1"/>
  <c r="I64" i="28"/>
  <c r="V64" i="28"/>
  <c r="AI64" i="28"/>
  <c r="H47" i="28"/>
  <c r="H104" i="28" s="1"/>
  <c r="I65" i="28"/>
  <c r="V65" i="28"/>
  <c r="AI65" i="28"/>
  <c r="AV65" i="28"/>
  <c r="BI65" i="28"/>
  <c r="I68" i="28"/>
  <c r="H48" i="28"/>
  <c r="H105" i="28" s="1"/>
  <c r="H49" i="28"/>
  <c r="H106" i="28" s="1"/>
  <c r="I71" i="28"/>
  <c r="V71" i="28"/>
  <c r="AI71" i="28"/>
  <c r="AV71" i="28"/>
  <c r="BI71" i="28"/>
  <c r="H41" i="28"/>
  <c r="H98" i="28" s="1"/>
  <c r="I74" i="28"/>
  <c r="H50" i="28"/>
  <c r="H107" i="28" s="1"/>
  <c r="I76" i="28"/>
  <c r="V76" i="28"/>
  <c r="AI76" i="28"/>
  <c r="AV76" i="28"/>
  <c r="BI76" i="28"/>
  <c r="H51" i="28"/>
  <c r="H108" i="28" s="1"/>
  <c r="I78" i="28"/>
  <c r="V78" i="28"/>
  <c r="AI78" i="28"/>
  <c r="AV78" i="28"/>
  <c r="BI78" i="28"/>
  <c r="I79" i="28"/>
  <c r="H52" i="28"/>
  <c r="H109" i="28" s="1"/>
  <c r="I80" i="28"/>
  <c r="H53" i="28"/>
  <c r="H110" i="28" s="1"/>
  <c r="V133" i="27"/>
  <c r="AI133" i="27"/>
  <c r="AV133" i="27"/>
  <c r="BI133" i="27"/>
  <c r="Q15" i="31"/>
  <c r="Q11" i="31"/>
  <c r="I84" i="31"/>
  <c r="Y84" i="31"/>
  <c r="AL84" i="31"/>
  <c r="BI84" i="31"/>
  <c r="I84" i="30"/>
  <c r="V84" i="30"/>
  <c r="AK84" i="30"/>
  <c r="J32" i="29"/>
  <c r="V32" i="29"/>
  <c r="AN32" i="29"/>
  <c r="H23" i="28"/>
  <c r="G35" i="28"/>
  <c r="G92" i="28" s="1"/>
  <c r="E44" i="28"/>
  <c r="E101" i="28" s="1"/>
  <c r="G46" i="28"/>
  <c r="G103" i="28" s="1"/>
  <c r="J149" i="23"/>
  <c r="J44" i="34" s="1"/>
  <c r="T44" i="34" s="1"/>
  <c r="J148" i="23"/>
  <c r="P200" i="23"/>
  <c r="P201" i="23" s="1"/>
  <c r="L20" i="24"/>
  <c r="L22" i="24" s="1"/>
  <c r="L26" i="24" s="1"/>
  <c r="L80" i="20"/>
  <c r="U80" i="20" s="1"/>
  <c r="L64" i="24"/>
  <c r="L65" i="24" s="1"/>
  <c r="L86" i="20"/>
  <c r="U86" i="20" s="1"/>
  <c r="J92" i="20"/>
  <c r="T92" i="20" s="1"/>
  <c r="M14" i="24"/>
  <c r="M16" i="24" s="1"/>
  <c r="M18" i="24" s="1"/>
  <c r="M12" i="24"/>
  <c r="I42" i="24"/>
  <c r="I33" i="34" s="1"/>
  <c r="N10" i="24"/>
  <c r="O8" i="24"/>
  <c r="J29" i="24"/>
  <c r="J40" i="24"/>
  <c r="I31" i="24"/>
  <c r="I81" i="20" s="1"/>
  <c r="I43" i="24"/>
  <c r="I36" i="34" s="1"/>
  <c r="V8" i="24"/>
  <c r="L39" i="24"/>
  <c r="K28" i="24"/>
  <c r="K46" i="24"/>
  <c r="K55" i="34" s="1"/>
  <c r="L37" i="24"/>
  <c r="U9" i="23"/>
  <c r="M9" i="14"/>
  <c r="U9" i="14"/>
  <c r="O58" i="20"/>
  <c r="L116" i="10"/>
  <c r="L72" i="10"/>
  <c r="V12" i="9"/>
  <c r="N11" i="9"/>
  <c r="V11" i="9" s="1"/>
  <c r="I10" i="9"/>
  <c r="I22" i="21"/>
  <c r="I24" i="21"/>
  <c r="I9" i="20"/>
  <c r="O8" i="20"/>
  <c r="W16" i="21"/>
  <c r="P19" i="21"/>
  <c r="W8" i="21"/>
  <c r="W9" i="21" s="1"/>
  <c r="F25" i="6"/>
  <c r="F27" i="6" s="1"/>
  <c r="E23" i="6"/>
  <c r="E34" i="6" s="1"/>
  <c r="E38" i="6" s="1"/>
  <c r="R15" i="9"/>
  <c r="R14" i="9"/>
  <c r="D21" i="6"/>
  <c r="R16" i="9"/>
  <c r="I15" i="5"/>
  <c r="I13" i="5"/>
  <c r="O7" i="3"/>
  <c r="C7" i="3" s="1"/>
  <c r="O5" i="3"/>
  <c r="H5" i="3" s="1"/>
  <c r="M4" i="3"/>
  <c r="L4" i="3"/>
  <c r="K4" i="3"/>
  <c r="J4" i="3"/>
  <c r="I4" i="3"/>
  <c r="H4" i="3"/>
  <c r="G4" i="3"/>
  <c r="F4" i="3"/>
  <c r="E4" i="3"/>
  <c r="D4" i="3"/>
  <c r="C4" i="3"/>
  <c r="J45" i="32" l="1"/>
  <c r="I46" i="32"/>
  <c r="BP25" i="30"/>
  <c r="BP41" i="30" s="1"/>
  <c r="BP25" i="31"/>
  <c r="BP41" i="31" s="1"/>
  <c r="AQ25" i="31"/>
  <c r="AQ41" i="31" s="1"/>
  <c r="AQ25" i="30"/>
  <c r="AQ41" i="30" s="1"/>
  <c r="AC38" i="35"/>
  <c r="AP38" i="35"/>
  <c r="BV38" i="35"/>
  <c r="R4" i="35"/>
  <c r="G19" i="25"/>
  <c r="H19" i="25" s="1"/>
  <c r="G16" i="20"/>
  <c r="G25" i="20"/>
  <c r="F16" i="20"/>
  <c r="F25" i="20"/>
  <c r="E16" i="20"/>
  <c r="E25" i="20"/>
  <c r="H5" i="32"/>
  <c r="H9" i="27"/>
  <c r="I10" i="29"/>
  <c r="H7" i="32"/>
  <c r="H11" i="27"/>
  <c r="I12" i="29"/>
  <c r="BB5" i="29"/>
  <c r="BC5" i="29" s="1"/>
  <c r="AG8" i="29"/>
  <c r="AH8" i="29" s="1"/>
  <c r="AF7" i="27"/>
  <c r="I10" i="20"/>
  <c r="I8" i="10"/>
  <c r="AR7" i="27"/>
  <c r="AS8" i="29"/>
  <c r="BE8" i="29"/>
  <c r="BD7" i="27"/>
  <c r="T7" i="27"/>
  <c r="U8" i="29"/>
  <c r="L31" i="26"/>
  <c r="K31" i="26"/>
  <c r="I8" i="26"/>
  <c r="P11" i="21" s="1"/>
  <c r="P12" i="21"/>
  <c r="H8" i="26"/>
  <c r="N12" i="21"/>
  <c r="G16" i="26"/>
  <c r="G20" i="26"/>
  <c r="G23" i="26" s="1"/>
  <c r="G35" i="26"/>
  <c r="G37" i="26" s="1"/>
  <c r="G58" i="26"/>
  <c r="G60" i="26" s="1"/>
  <c r="G80" i="26"/>
  <c r="G82" i="26" s="1"/>
  <c r="G101" i="26"/>
  <c r="G103" i="26" s="1"/>
  <c r="G105" i="26" s="1"/>
  <c r="G107" i="26" s="1"/>
  <c r="L11" i="21"/>
  <c r="M14" i="21"/>
  <c r="M15" i="21" s="1"/>
  <c r="M11" i="21"/>
  <c r="F39" i="26"/>
  <c r="F41" i="26" s="1"/>
  <c r="AC4" i="29"/>
  <c r="F62" i="26"/>
  <c r="F64" i="26" s="1"/>
  <c r="AC4" i="30"/>
  <c r="F84" i="26"/>
  <c r="F86" i="26" s="1"/>
  <c r="AC4" i="31"/>
  <c r="F109" i="26"/>
  <c r="F111" i="26" s="1"/>
  <c r="F114" i="26" s="1"/>
  <c r="AC4" i="28"/>
  <c r="T11" i="21"/>
  <c r="J24" i="21"/>
  <c r="J8" i="10" s="1"/>
  <c r="J9" i="20"/>
  <c r="T9" i="20" s="1"/>
  <c r="J22" i="21"/>
  <c r="T22" i="21" s="1"/>
  <c r="J10" i="9"/>
  <c r="T10" i="21"/>
  <c r="K10" i="21"/>
  <c r="K12" i="21" s="1"/>
  <c r="D4" i="29"/>
  <c r="D7" i="29" s="1"/>
  <c r="D9" i="29" s="1"/>
  <c r="E4" i="29"/>
  <c r="E7" i="29" s="1"/>
  <c r="E9" i="29" s="1"/>
  <c r="H4" i="29"/>
  <c r="H7" i="29" s="1"/>
  <c r="H9" i="29" s="1"/>
  <c r="K4" i="29"/>
  <c r="O4" i="29"/>
  <c r="G4" i="29"/>
  <c r="G7" i="29" s="1"/>
  <c r="G9" i="29" s="1"/>
  <c r="J4" i="29"/>
  <c r="M4" i="29"/>
  <c r="P4" i="27"/>
  <c r="P6" i="27" s="1"/>
  <c r="P8" i="27" s="1"/>
  <c r="F4" i="29"/>
  <c r="F7" i="29" s="1"/>
  <c r="F9" i="29" s="1"/>
  <c r="I4" i="29"/>
  <c r="L4" i="29"/>
  <c r="N4" i="29"/>
  <c r="F4" i="30"/>
  <c r="F7" i="30" s="1"/>
  <c r="F9" i="30" s="1"/>
  <c r="H4" i="30"/>
  <c r="H7" i="30" s="1"/>
  <c r="H9" i="30" s="1"/>
  <c r="K4" i="30"/>
  <c r="K7" i="30" s="1"/>
  <c r="K9" i="30" s="1"/>
  <c r="N4" i="30"/>
  <c r="N7" i="30" s="1"/>
  <c r="N9" i="30" s="1"/>
  <c r="D4" i="30"/>
  <c r="D7" i="30" s="1"/>
  <c r="I4" i="30"/>
  <c r="I7" i="30" s="1"/>
  <c r="I9" i="30" s="1"/>
  <c r="J4" i="30"/>
  <c r="J7" i="30" s="1"/>
  <c r="J9" i="30" s="1"/>
  <c r="M4" i="30"/>
  <c r="M7" i="30" s="1"/>
  <c r="M9" i="30" s="1"/>
  <c r="E4" i="30"/>
  <c r="E7" i="30" s="1"/>
  <c r="E9" i="30" s="1"/>
  <c r="G4" i="30"/>
  <c r="G7" i="30" s="1"/>
  <c r="G9" i="30" s="1"/>
  <c r="L4" i="30"/>
  <c r="L7" i="30" s="1"/>
  <c r="L9" i="30" s="1"/>
  <c r="O4" i="30"/>
  <c r="O7" i="30" s="1"/>
  <c r="O9" i="30" s="1"/>
  <c r="D4" i="31"/>
  <c r="D7" i="31" s="1"/>
  <c r="F4" i="31"/>
  <c r="F7" i="31" s="1"/>
  <c r="F9" i="31" s="1"/>
  <c r="I4" i="31"/>
  <c r="I7" i="31" s="1"/>
  <c r="I9" i="31" s="1"/>
  <c r="J4" i="31"/>
  <c r="J7" i="31" s="1"/>
  <c r="J9" i="31" s="1"/>
  <c r="G4" i="31"/>
  <c r="G7" i="31" s="1"/>
  <c r="G9" i="31" s="1"/>
  <c r="E4" i="31"/>
  <c r="E7" i="31" s="1"/>
  <c r="E9" i="31" s="1"/>
  <c r="H4" i="31"/>
  <c r="H7" i="31" s="1"/>
  <c r="H9" i="31" s="1"/>
  <c r="K4" i="31"/>
  <c r="K7" i="31" s="1"/>
  <c r="K9" i="31" s="1"/>
  <c r="J4" i="28"/>
  <c r="J7" i="28" s="1"/>
  <c r="K4" i="28"/>
  <c r="K7" i="28" s="1"/>
  <c r="K9" i="28" s="1"/>
  <c r="K11" i="28" s="1"/>
  <c r="K38" i="28" s="1"/>
  <c r="L4" i="28"/>
  <c r="L7" i="28" s="1"/>
  <c r="L9" i="28" s="1"/>
  <c r="L11" i="28" s="1"/>
  <c r="L38" i="28" s="1"/>
  <c r="M4" i="28"/>
  <c r="M7" i="28" s="1"/>
  <c r="M9" i="28" s="1"/>
  <c r="M11" i="28" s="1"/>
  <c r="M38" i="28" s="1"/>
  <c r="N4" i="28"/>
  <c r="N7" i="28" s="1"/>
  <c r="N9" i="28" s="1"/>
  <c r="N11" i="28" s="1"/>
  <c r="N38" i="28" s="1"/>
  <c r="O4" i="28"/>
  <c r="O7" i="28" s="1"/>
  <c r="O9" i="28" s="1"/>
  <c r="O11" i="28" s="1"/>
  <c r="O38" i="28" s="1"/>
  <c r="H8" i="14"/>
  <c r="S8" i="10"/>
  <c r="H10" i="20"/>
  <c r="S24" i="21"/>
  <c r="W17" i="21"/>
  <c r="S10" i="9"/>
  <c r="H16" i="9"/>
  <c r="H15" i="9"/>
  <c r="H14" i="9"/>
  <c r="V19" i="21"/>
  <c r="N20" i="21"/>
  <c r="V20" i="21" s="1"/>
  <c r="BC78" i="31"/>
  <c r="AD78" i="31"/>
  <c r="AE78" i="31" s="1"/>
  <c r="AF78" i="31" s="1"/>
  <c r="Q77" i="31"/>
  <c r="R78" i="31"/>
  <c r="AQ82" i="31"/>
  <c r="BP82" i="31"/>
  <c r="I11" i="32"/>
  <c r="I15" i="27"/>
  <c r="J16" i="29"/>
  <c r="G14" i="27"/>
  <c r="AE82" i="31"/>
  <c r="AF82" i="31" s="1"/>
  <c r="AG82" i="31" s="1"/>
  <c r="AH82" i="31" s="1"/>
  <c r="AI82" i="31" s="1"/>
  <c r="AJ82" i="31" s="1"/>
  <c r="AK82" i="31" s="1"/>
  <c r="AL82" i="31" s="1"/>
  <c r="AM82" i="31" s="1"/>
  <c r="AN82" i="31" s="1"/>
  <c r="AO82" i="31" s="1"/>
  <c r="AD79" i="31"/>
  <c r="AD77" i="31" s="1"/>
  <c r="F77" i="31"/>
  <c r="G78" i="31"/>
  <c r="U5" i="27"/>
  <c r="V6" i="29"/>
  <c r="AI6" i="29"/>
  <c r="AH5" i="27"/>
  <c r="AV6" i="29"/>
  <c r="AU5" i="27"/>
  <c r="BI6" i="29"/>
  <c r="BH5" i="27"/>
  <c r="G85" i="27"/>
  <c r="G86" i="27"/>
  <c r="G10" i="27"/>
  <c r="H7" i="27"/>
  <c r="H8" i="27" s="1"/>
  <c r="I8" i="29"/>
  <c r="F92" i="27"/>
  <c r="BR92" i="27" s="1"/>
  <c r="F12" i="27"/>
  <c r="F93" i="27" s="1"/>
  <c r="BR93" i="27" s="1"/>
  <c r="BM5" i="30"/>
  <c r="BH41" i="32"/>
  <c r="BE43" i="32"/>
  <c r="BF42" i="32"/>
  <c r="AS43" i="32"/>
  <c r="AT42" i="32"/>
  <c r="AG43" i="32"/>
  <c r="AH42" i="32"/>
  <c r="BF45" i="32"/>
  <c r="BE46" i="32"/>
  <c r="AT45" i="32"/>
  <c r="AS46" i="32"/>
  <c r="AG46" i="32"/>
  <c r="AH45" i="32"/>
  <c r="BE37" i="32"/>
  <c r="BE36" i="32" s="1"/>
  <c r="BF47" i="32"/>
  <c r="AS37" i="32"/>
  <c r="AS36" i="32" s="1"/>
  <c r="AT47" i="32"/>
  <c r="BG8" i="31"/>
  <c r="BG8" i="30"/>
  <c r="AG7" i="27"/>
  <c r="BO10" i="28"/>
  <c r="BM10" i="28"/>
  <c r="BD10" i="28"/>
  <c r="BG10" i="28"/>
  <c r="BH10" i="28"/>
  <c r="BE10" i="28"/>
  <c r="BF10" i="28"/>
  <c r="BI10" i="28"/>
  <c r="BJ10" i="28"/>
  <c r="BK10" i="28"/>
  <c r="BL10" i="28"/>
  <c r="BN10" i="28"/>
  <c r="BF64" i="28"/>
  <c r="AS64" i="28"/>
  <c r="AE4" i="35"/>
  <c r="AF4" i="35"/>
  <c r="AG4" i="35"/>
  <c r="AH4" i="35"/>
  <c r="BG24" i="35"/>
  <c r="BH92" i="35"/>
  <c r="AT24" i="35"/>
  <c r="AU92" i="35"/>
  <c r="BI23" i="35"/>
  <c r="BJ75" i="35"/>
  <c r="BK76" i="35"/>
  <c r="AV23" i="35"/>
  <c r="AW75" i="35"/>
  <c r="AX76" i="35"/>
  <c r="AK76" i="35"/>
  <c r="AJ75" i="35"/>
  <c r="AI24" i="35"/>
  <c r="AI23" i="35"/>
  <c r="U4" i="35"/>
  <c r="V24" i="35"/>
  <c r="V23" i="35"/>
  <c r="X76" i="35"/>
  <c r="W75" i="35"/>
  <c r="K76" i="35"/>
  <c r="J75" i="35"/>
  <c r="I23" i="35"/>
  <c r="I24" i="35"/>
  <c r="BP25" i="35"/>
  <c r="BD26" i="35"/>
  <c r="BH26" i="35"/>
  <c r="BE26" i="35"/>
  <c r="BL26" i="35"/>
  <c r="BO26" i="35"/>
  <c r="BF26" i="35"/>
  <c r="BI26" i="35"/>
  <c r="BM26" i="35"/>
  <c r="BG26" i="35"/>
  <c r="BK26" i="35"/>
  <c r="BN26" i="35"/>
  <c r="BJ26" i="35"/>
  <c r="BF37" i="35"/>
  <c r="BI37" i="35"/>
  <c r="BK37" i="35"/>
  <c r="BG37" i="35"/>
  <c r="BJ37" i="35"/>
  <c r="BL37" i="35"/>
  <c r="BN37" i="35"/>
  <c r="BE37" i="35"/>
  <c r="BO37" i="35"/>
  <c r="BD37" i="35"/>
  <c r="BH37" i="35"/>
  <c r="BM37" i="35"/>
  <c r="BE27" i="35"/>
  <c r="BN27" i="35"/>
  <c r="BD27" i="35"/>
  <c r="BF27" i="35"/>
  <c r="BK27" i="35"/>
  <c r="BG27" i="35"/>
  <c r="BI27" i="35"/>
  <c r="BL27" i="35"/>
  <c r="BO27" i="35"/>
  <c r="BJ27" i="35"/>
  <c r="BM27" i="35"/>
  <c r="BH27" i="35"/>
  <c r="BK31" i="35"/>
  <c r="BN31" i="35"/>
  <c r="BI31" i="35"/>
  <c r="BH31" i="35"/>
  <c r="BD31" i="35"/>
  <c r="BG31" i="35"/>
  <c r="BL31" i="35"/>
  <c r="BO31" i="35"/>
  <c r="BF31" i="35"/>
  <c r="BJ31" i="35"/>
  <c r="BM31" i="35"/>
  <c r="BE31" i="35"/>
  <c r="BE32" i="35"/>
  <c r="BL32" i="35"/>
  <c r="BK32" i="35"/>
  <c r="BD32" i="35"/>
  <c r="BI32" i="35"/>
  <c r="BO32" i="35"/>
  <c r="BF32" i="35"/>
  <c r="BH32" i="35"/>
  <c r="BN32" i="35"/>
  <c r="BG32" i="35"/>
  <c r="BJ32" i="35"/>
  <c r="BM32" i="35"/>
  <c r="BD28" i="35"/>
  <c r="BG28" i="35"/>
  <c r="BJ28" i="35"/>
  <c r="BM28" i="35"/>
  <c r="BH28" i="35"/>
  <c r="BO28" i="35"/>
  <c r="BI28" i="35"/>
  <c r="BL28" i="35"/>
  <c r="BE28" i="35"/>
  <c r="BK28" i="35"/>
  <c r="BN28" i="35"/>
  <c r="BF28" i="35"/>
  <c r="BN29" i="35"/>
  <c r="BF29" i="35"/>
  <c r="BI29" i="35"/>
  <c r="BE29" i="35"/>
  <c r="BL29" i="35"/>
  <c r="BH29" i="35"/>
  <c r="BK29" i="35"/>
  <c r="BO29" i="35"/>
  <c r="BD29" i="35"/>
  <c r="BM29" i="35"/>
  <c r="BG29" i="35"/>
  <c r="BJ29" i="35"/>
  <c r="BD30" i="35"/>
  <c r="BG30" i="35"/>
  <c r="BK30" i="35"/>
  <c r="BJ30" i="35"/>
  <c r="BM30" i="35"/>
  <c r="BO30" i="35"/>
  <c r="BF30" i="35"/>
  <c r="BI30" i="35"/>
  <c r="BN30" i="35"/>
  <c r="BE30" i="35"/>
  <c r="BH30" i="35"/>
  <c r="BL30" i="35"/>
  <c r="BD20" i="35"/>
  <c r="BE20" i="35"/>
  <c r="BF20" i="35"/>
  <c r="BG20" i="35"/>
  <c r="BH20" i="35"/>
  <c r="BI20" i="35"/>
  <c r="BJ20" i="35"/>
  <c r="BK20" i="35"/>
  <c r="BL20" i="35"/>
  <c r="BM20" i="35"/>
  <c r="BN20" i="35"/>
  <c r="BO20" i="35"/>
  <c r="BD21" i="35"/>
  <c r="BI21" i="35"/>
  <c r="BK21" i="35"/>
  <c r="BE21" i="35"/>
  <c r="BH21" i="35"/>
  <c r="BJ21" i="35"/>
  <c r="BO21" i="35"/>
  <c r="BG21" i="35"/>
  <c r="BL21" i="35"/>
  <c r="BF21" i="35"/>
  <c r="BN21" i="35"/>
  <c r="BM21" i="35"/>
  <c r="BD6" i="35"/>
  <c r="BE6" i="35"/>
  <c r="BF6" i="35"/>
  <c r="BG6" i="35"/>
  <c r="BH6" i="35"/>
  <c r="BI6" i="35"/>
  <c r="BJ6" i="35"/>
  <c r="BK6" i="35"/>
  <c r="BL6" i="35"/>
  <c r="BM6" i="35"/>
  <c r="BN6" i="35"/>
  <c r="BO6" i="35"/>
  <c r="BD7" i="35"/>
  <c r="BE7" i="35"/>
  <c r="BF7" i="35"/>
  <c r="BG7" i="35"/>
  <c r="BH7" i="35"/>
  <c r="BI7" i="35"/>
  <c r="BJ7" i="35"/>
  <c r="BK7" i="35"/>
  <c r="BL7" i="35"/>
  <c r="BM7" i="35"/>
  <c r="BN7" i="35"/>
  <c r="BO7" i="35"/>
  <c r="BD8" i="35"/>
  <c r="BE8" i="35"/>
  <c r="BF8" i="35"/>
  <c r="BG8" i="35"/>
  <c r="BH8" i="35"/>
  <c r="BI8" i="35"/>
  <c r="BJ8" i="35"/>
  <c r="BK8" i="35"/>
  <c r="BL8" i="35"/>
  <c r="BM8" i="35"/>
  <c r="BN8" i="35"/>
  <c r="BO8" i="35"/>
  <c r="BD9" i="35"/>
  <c r="BE9" i="35"/>
  <c r="BF9" i="35"/>
  <c r="BG9" i="35"/>
  <c r="BH9" i="35"/>
  <c r="BI9" i="35"/>
  <c r="BJ9" i="35"/>
  <c r="BK9" i="35"/>
  <c r="BL9" i="35"/>
  <c r="BM9" i="35"/>
  <c r="BN9" i="35"/>
  <c r="BO9" i="35"/>
  <c r="BD10" i="35"/>
  <c r="BE10" i="35"/>
  <c r="BF10" i="35"/>
  <c r="BG10" i="35"/>
  <c r="BH10" i="35"/>
  <c r="BI10" i="35"/>
  <c r="BJ10" i="35"/>
  <c r="BK10" i="35"/>
  <c r="BL10" i="35"/>
  <c r="BM10" i="35"/>
  <c r="BN10" i="35"/>
  <c r="BO10" i="35"/>
  <c r="BD11" i="35"/>
  <c r="BE11" i="35"/>
  <c r="BF11" i="35"/>
  <c r="BG11" i="35"/>
  <c r="BH11" i="35"/>
  <c r="BI11" i="35"/>
  <c r="BJ11" i="35"/>
  <c r="BK11" i="35"/>
  <c r="BL11" i="35"/>
  <c r="BM11" i="35"/>
  <c r="BN11" i="35"/>
  <c r="BO11" i="35"/>
  <c r="BD12" i="35"/>
  <c r="BE12" i="35"/>
  <c r="BF12" i="35"/>
  <c r="BG12" i="35"/>
  <c r="BH12" i="35"/>
  <c r="BI12" i="35"/>
  <c r="BJ12" i="35"/>
  <c r="BK12" i="35"/>
  <c r="BL12" i="35"/>
  <c r="BM12" i="35"/>
  <c r="BN12" i="35"/>
  <c r="BO12" i="35"/>
  <c r="BD13" i="35"/>
  <c r="BE13" i="35"/>
  <c r="BF13" i="35"/>
  <c r="BG13" i="35"/>
  <c r="BH13" i="35"/>
  <c r="BI13" i="35"/>
  <c r="BJ13" i="35"/>
  <c r="BK13" i="35"/>
  <c r="BL13" i="35"/>
  <c r="BM13" i="35"/>
  <c r="BN13" i="35"/>
  <c r="BO13" i="35"/>
  <c r="BD14" i="35"/>
  <c r="BE14" i="35"/>
  <c r="BF14" i="35"/>
  <c r="BG14" i="35"/>
  <c r="BH14" i="35"/>
  <c r="BI14" i="35"/>
  <c r="BJ14" i="35"/>
  <c r="BK14" i="35"/>
  <c r="BL14" i="35"/>
  <c r="BM14" i="35"/>
  <c r="BN14" i="35"/>
  <c r="BO14" i="35"/>
  <c r="BD15" i="35"/>
  <c r="BE15" i="35"/>
  <c r="BF15" i="35"/>
  <c r="BG15" i="35"/>
  <c r="BH15" i="35"/>
  <c r="BI15" i="35"/>
  <c r="BJ15" i="35"/>
  <c r="BK15" i="35"/>
  <c r="BL15" i="35"/>
  <c r="BM15" i="35"/>
  <c r="BN15" i="35"/>
  <c r="BO15" i="35"/>
  <c r="BD16" i="35"/>
  <c r="BE16" i="35"/>
  <c r="BF16" i="35"/>
  <c r="BG16" i="35"/>
  <c r="BH16" i="35"/>
  <c r="BI16" i="35"/>
  <c r="BJ16" i="35"/>
  <c r="BK16" i="35"/>
  <c r="BL16" i="35"/>
  <c r="BM16" i="35"/>
  <c r="BN16" i="35"/>
  <c r="BO16" i="35"/>
  <c r="BD17" i="35"/>
  <c r="BE17" i="35"/>
  <c r="BF17" i="35"/>
  <c r="BG17" i="35"/>
  <c r="BH17" i="35"/>
  <c r="BI17" i="35"/>
  <c r="BJ17" i="35"/>
  <c r="BK17" i="35"/>
  <c r="BL17" i="35"/>
  <c r="BM17" i="35"/>
  <c r="BN17" i="35"/>
  <c r="BO17" i="35"/>
  <c r="BD18" i="35"/>
  <c r="BE18" i="35"/>
  <c r="BF18" i="35"/>
  <c r="BG18" i="35"/>
  <c r="BH18" i="35"/>
  <c r="BI18" i="35"/>
  <c r="BJ18" i="35"/>
  <c r="BK18" i="35"/>
  <c r="BL18" i="35"/>
  <c r="BM18" i="35"/>
  <c r="BN18" i="35"/>
  <c r="BO18" i="35"/>
  <c r="BD19" i="35"/>
  <c r="BE19" i="35"/>
  <c r="BF19" i="35"/>
  <c r="BG19" i="35"/>
  <c r="BH19" i="35"/>
  <c r="BI19" i="35"/>
  <c r="BJ19" i="35"/>
  <c r="BK19" i="35"/>
  <c r="BL19" i="35"/>
  <c r="BM19" i="35"/>
  <c r="BN19" i="35"/>
  <c r="BO19" i="35"/>
  <c r="BP61" i="35"/>
  <c r="BD62" i="35"/>
  <c r="BD61" i="35" s="1"/>
  <c r="AQ22" i="35"/>
  <c r="AQ5" i="35" s="1"/>
  <c r="AR22" i="35"/>
  <c r="AR5" i="35" s="1"/>
  <c r="AS22" i="35"/>
  <c r="AS5" i="35" s="1"/>
  <c r="AT22" i="35"/>
  <c r="AT5" i="35" s="1"/>
  <c r="AU22" i="35"/>
  <c r="AU5" i="35" s="1"/>
  <c r="AV22" i="35"/>
  <c r="AV5" i="35" s="1"/>
  <c r="AW22" i="35"/>
  <c r="AW5" i="35" s="1"/>
  <c r="AX22" i="35"/>
  <c r="AX5" i="35" s="1"/>
  <c r="AY22" i="35"/>
  <c r="AY5" i="35" s="1"/>
  <c r="AZ22" i="35"/>
  <c r="AZ5" i="35" s="1"/>
  <c r="BA22" i="35"/>
  <c r="BA5" i="35" s="1"/>
  <c r="BB22" i="35"/>
  <c r="BB5" i="35" s="1"/>
  <c r="AU38" i="35"/>
  <c r="AX38" i="35"/>
  <c r="AY38" i="35"/>
  <c r="AW38" i="35"/>
  <c r="BA38" i="35"/>
  <c r="AV38" i="35"/>
  <c r="AS38" i="35"/>
  <c r="AQ38" i="35"/>
  <c r="BB38" i="35"/>
  <c r="AR38" i="35"/>
  <c r="AZ38" i="35"/>
  <c r="AT38" i="35"/>
  <c r="AP5" i="35"/>
  <c r="AP98" i="35" s="1"/>
  <c r="AD4" i="35"/>
  <c r="AR25" i="35"/>
  <c r="AZ25" i="35"/>
  <c r="AX25" i="35"/>
  <c r="AW25" i="35"/>
  <c r="AY25" i="35"/>
  <c r="AT25" i="35"/>
  <c r="AS25" i="35"/>
  <c r="AV25" i="35"/>
  <c r="AQ25" i="35"/>
  <c r="AU25" i="35"/>
  <c r="BA25" i="35"/>
  <c r="BB25" i="35"/>
  <c r="AP22" i="35"/>
  <c r="H4" i="35"/>
  <c r="E24" i="34"/>
  <c r="BZ61" i="35"/>
  <c r="L87" i="20"/>
  <c r="U87" i="20" s="1"/>
  <c r="L69" i="34"/>
  <c r="U69" i="34" s="1"/>
  <c r="I32" i="34"/>
  <c r="J30" i="24"/>
  <c r="J51" i="25"/>
  <c r="S25" i="30"/>
  <c r="S41" i="30" s="1"/>
  <c r="S79" i="30" s="1"/>
  <c r="S77" i="30" s="1"/>
  <c r="S25" i="31"/>
  <c r="S41" i="31" s="1"/>
  <c r="S79" i="31" s="1"/>
  <c r="T27" i="31"/>
  <c r="T43" i="31" s="1"/>
  <c r="T105" i="27"/>
  <c r="T27" i="30"/>
  <c r="T43" i="30" s="1"/>
  <c r="U107" i="27"/>
  <c r="BP79" i="30"/>
  <c r="AQ79" i="30"/>
  <c r="AQ77" i="30" s="1"/>
  <c r="BD105" i="27"/>
  <c r="T5" i="32"/>
  <c r="T9" i="27"/>
  <c r="U10" i="29"/>
  <c r="AG10" i="29"/>
  <c r="AF9" i="27"/>
  <c r="AF5" i="32"/>
  <c r="AS10" i="29"/>
  <c r="AR5" i="32"/>
  <c r="AR9" i="27"/>
  <c r="BE10" i="29"/>
  <c r="BD9" i="27"/>
  <c r="BD5" i="32"/>
  <c r="AR7" i="32"/>
  <c r="AS12" i="29"/>
  <c r="AR11" i="27"/>
  <c r="BD7" i="32"/>
  <c r="BE12" i="29"/>
  <c r="BD11" i="27"/>
  <c r="AG12" i="29"/>
  <c r="AF7" i="32"/>
  <c r="AF11" i="27"/>
  <c r="T7" i="32"/>
  <c r="U12" i="29"/>
  <c r="T11" i="27"/>
  <c r="I104" i="27"/>
  <c r="J103" i="27"/>
  <c r="I23" i="30"/>
  <c r="I39" i="30" s="1"/>
  <c r="I23" i="31"/>
  <c r="I39" i="31" s="1"/>
  <c r="H24" i="30"/>
  <c r="H40" i="30" s="1"/>
  <c r="H24" i="31"/>
  <c r="H40" i="31" s="1"/>
  <c r="AW24" i="31"/>
  <c r="AW40" i="31" s="1"/>
  <c r="AW24" i="30"/>
  <c r="AW40" i="30" s="1"/>
  <c r="AX104" i="27"/>
  <c r="AX23" i="31"/>
  <c r="AX39" i="31" s="1"/>
  <c r="AX23" i="30"/>
  <c r="AX39" i="30" s="1"/>
  <c r="AY103" i="27"/>
  <c r="BE24" i="31"/>
  <c r="BE40" i="31" s="1"/>
  <c r="BE24" i="30"/>
  <c r="BE40" i="30" s="1"/>
  <c r="BF104" i="27"/>
  <c r="BF23" i="31"/>
  <c r="BF39" i="31" s="1"/>
  <c r="BF23" i="30"/>
  <c r="BF39" i="30" s="1"/>
  <c r="BG103" i="27"/>
  <c r="BD24" i="30"/>
  <c r="BD40" i="30" s="1"/>
  <c r="BD24" i="31"/>
  <c r="BD40" i="31" s="1"/>
  <c r="AT26" i="31"/>
  <c r="AT42" i="31" s="1"/>
  <c r="AT26" i="30"/>
  <c r="AT42" i="30" s="1"/>
  <c r="AU106" i="27"/>
  <c r="BE26" i="30"/>
  <c r="BE42" i="30" s="1"/>
  <c r="BE26" i="31"/>
  <c r="BE42" i="31" s="1"/>
  <c r="BF106" i="27"/>
  <c r="AE25" i="31"/>
  <c r="AE41" i="31" s="1"/>
  <c r="AE25" i="30"/>
  <c r="AE41" i="30" s="1"/>
  <c r="AE79" i="30" s="1"/>
  <c r="AE77" i="30" s="1"/>
  <c r="AF105" i="27"/>
  <c r="AF27" i="30"/>
  <c r="AF43" i="30" s="1"/>
  <c r="AF27" i="31"/>
  <c r="AF43" i="31" s="1"/>
  <c r="AG107" i="27"/>
  <c r="AR105" i="27"/>
  <c r="AR27" i="31"/>
  <c r="AR43" i="31" s="1"/>
  <c r="AR27" i="30"/>
  <c r="AR43" i="30" s="1"/>
  <c r="AS107" i="27"/>
  <c r="BD27" i="30"/>
  <c r="BD43" i="30" s="1"/>
  <c r="BD27" i="31"/>
  <c r="BD43" i="31" s="1"/>
  <c r="BE107" i="27"/>
  <c r="AF28" i="31"/>
  <c r="AF44" i="31" s="1"/>
  <c r="AF28" i="30"/>
  <c r="AF44" i="30" s="1"/>
  <c r="AG108" i="27"/>
  <c r="AR28" i="31"/>
  <c r="AR44" i="31" s="1"/>
  <c r="AR28" i="30"/>
  <c r="AR44" i="30" s="1"/>
  <c r="AS108" i="27"/>
  <c r="BD28" i="31"/>
  <c r="BD44" i="31" s="1"/>
  <c r="BD28" i="30"/>
  <c r="BD44" i="30" s="1"/>
  <c r="BE108" i="27"/>
  <c r="BD32" i="29"/>
  <c r="BE32" i="29" s="1"/>
  <c r="BF32" i="29" s="1"/>
  <c r="BG32" i="29" s="1"/>
  <c r="BH32" i="29" s="1"/>
  <c r="BI32" i="29" s="1"/>
  <c r="BJ32" i="29" s="1"/>
  <c r="BK32" i="29" s="1"/>
  <c r="BL32" i="29" s="1"/>
  <c r="BM32" i="29" s="1"/>
  <c r="BN32" i="29" s="1"/>
  <c r="BD84" i="30"/>
  <c r="BE84" i="30" s="1"/>
  <c r="BF84" i="30" s="1"/>
  <c r="BG84" i="30" s="1"/>
  <c r="BH84" i="30" s="1"/>
  <c r="BI84" i="30" s="1"/>
  <c r="BJ84" i="30" s="1"/>
  <c r="AG24" i="31"/>
  <c r="AG40" i="31" s="1"/>
  <c r="AG24" i="30"/>
  <c r="AG40" i="30" s="1"/>
  <c r="AH104" i="27"/>
  <c r="AH23" i="30"/>
  <c r="AH39" i="30" s="1"/>
  <c r="AH23" i="31"/>
  <c r="AH39" i="31" s="1"/>
  <c r="AI103" i="27"/>
  <c r="AH26" i="30"/>
  <c r="AH42" i="30" s="1"/>
  <c r="AH26" i="31"/>
  <c r="AH42" i="31" s="1"/>
  <c r="AI106" i="27"/>
  <c r="BG10" i="31"/>
  <c r="BG10" i="30"/>
  <c r="D87" i="34"/>
  <c r="D28" i="34" s="1"/>
  <c r="D26" i="34"/>
  <c r="E103" i="34"/>
  <c r="E104" i="34"/>
  <c r="J151" i="23"/>
  <c r="J49" i="34"/>
  <c r="T49" i="34" s="1"/>
  <c r="H84" i="28"/>
  <c r="H34" i="28"/>
  <c r="H91" i="28" s="1"/>
  <c r="F93" i="28"/>
  <c r="BR93" i="28" s="1"/>
  <c r="F44" i="28"/>
  <c r="I27" i="28"/>
  <c r="I86" i="28"/>
  <c r="BS86" i="28" s="1"/>
  <c r="F96" i="34" s="1"/>
  <c r="D60" i="28"/>
  <c r="D116" i="28"/>
  <c r="BE81" i="30"/>
  <c r="AS81" i="30"/>
  <c r="O5" i="27"/>
  <c r="G21" i="9"/>
  <c r="G115" i="10"/>
  <c r="G117" i="10" s="1"/>
  <c r="G71" i="10"/>
  <c r="G73" i="10" s="1"/>
  <c r="G20" i="9"/>
  <c r="G19" i="9" s="1"/>
  <c r="G22" i="9" s="1"/>
  <c r="G12" i="14"/>
  <c r="G49" i="14"/>
  <c r="G27" i="10"/>
  <c r="G29" i="10" s="1"/>
  <c r="G21" i="6"/>
  <c r="G23" i="6" s="1"/>
  <c r="J39" i="32"/>
  <c r="K38" i="32"/>
  <c r="W39" i="32"/>
  <c r="X38" i="32"/>
  <c r="AK38" i="32"/>
  <c r="AJ39" i="32"/>
  <c r="AW39" i="32"/>
  <c r="AX38" i="32"/>
  <c r="BJ39" i="32"/>
  <c r="BK38" i="32"/>
  <c r="K40" i="32"/>
  <c r="J37" i="32"/>
  <c r="J36" i="32" s="1"/>
  <c r="U37" i="32"/>
  <c r="U36" i="32" s="1"/>
  <c r="V40" i="32"/>
  <c r="AI40" i="32"/>
  <c r="AH37" i="32"/>
  <c r="AH36" i="32" s="1"/>
  <c r="AV40" i="32"/>
  <c r="BI40" i="32"/>
  <c r="O41" i="32"/>
  <c r="W41" i="32"/>
  <c r="V43" i="32"/>
  <c r="AJ41" i="32"/>
  <c r="AW41" i="32"/>
  <c r="J43" i="32"/>
  <c r="K42" i="32"/>
  <c r="W45" i="32"/>
  <c r="V46" i="32"/>
  <c r="K50" i="32"/>
  <c r="W50" i="32"/>
  <c r="AJ50" i="32"/>
  <c r="AW50" i="32"/>
  <c r="BJ50" i="32"/>
  <c r="L52" i="32"/>
  <c r="W52" i="32"/>
  <c r="AJ52" i="32"/>
  <c r="AW52" i="32"/>
  <c r="BJ52" i="32"/>
  <c r="W75" i="31"/>
  <c r="AJ75" i="31"/>
  <c r="AW75" i="31"/>
  <c r="BJ75" i="31"/>
  <c r="I79" i="31"/>
  <c r="J80" i="31"/>
  <c r="V80" i="31"/>
  <c r="AI80" i="31"/>
  <c r="AV80" i="31"/>
  <c r="BI80" i="31"/>
  <c r="K75" i="30"/>
  <c r="W75" i="30"/>
  <c r="AJ75" i="30"/>
  <c r="AW75" i="30"/>
  <c r="BJ75" i="30"/>
  <c r="H79" i="30"/>
  <c r="I80" i="30"/>
  <c r="V80" i="30"/>
  <c r="AI80" i="30"/>
  <c r="AV80" i="30"/>
  <c r="BI80" i="30"/>
  <c r="BE78" i="30"/>
  <c r="AR78" i="30"/>
  <c r="AF78" i="30"/>
  <c r="T78" i="30"/>
  <c r="H78" i="30"/>
  <c r="G77" i="30"/>
  <c r="I5" i="32"/>
  <c r="I9" i="27"/>
  <c r="J10" i="29"/>
  <c r="I11" i="27"/>
  <c r="I7" i="32"/>
  <c r="J12" i="29"/>
  <c r="H9" i="32"/>
  <c r="H13" i="27"/>
  <c r="I14" i="29"/>
  <c r="U9" i="32"/>
  <c r="U13" i="27"/>
  <c r="V14" i="29"/>
  <c r="AH9" i="32"/>
  <c r="AH13" i="27"/>
  <c r="AI14" i="29"/>
  <c r="AU9" i="32"/>
  <c r="AU13" i="27"/>
  <c r="AV14" i="29"/>
  <c r="BH9" i="32"/>
  <c r="BH13" i="27"/>
  <c r="BI14" i="29"/>
  <c r="W33" i="29"/>
  <c r="AJ33" i="29"/>
  <c r="AW33" i="29"/>
  <c r="BJ33" i="29"/>
  <c r="J64" i="28"/>
  <c r="I54" i="28"/>
  <c r="I111" i="28" s="1"/>
  <c r="BS111" i="28" s="1"/>
  <c r="W64" i="28"/>
  <c r="AJ64" i="28"/>
  <c r="H46" i="28"/>
  <c r="J65" i="28"/>
  <c r="I47" i="28"/>
  <c r="I104" i="28" s="1"/>
  <c r="BS104" i="28" s="1"/>
  <c r="W65" i="28"/>
  <c r="AJ65" i="28"/>
  <c r="AW65" i="28"/>
  <c r="BJ65" i="28"/>
  <c r="J68" i="28"/>
  <c r="I48" i="28"/>
  <c r="I105" i="28" s="1"/>
  <c r="BS105" i="28" s="1"/>
  <c r="I49" i="28"/>
  <c r="I106" i="28" s="1"/>
  <c r="BS106" i="28" s="1"/>
  <c r="J71" i="28"/>
  <c r="W71" i="28"/>
  <c r="AJ71" i="28"/>
  <c r="AW71" i="28"/>
  <c r="BJ71" i="28"/>
  <c r="J74" i="28"/>
  <c r="K74" i="28" s="1"/>
  <c r="I41" i="28"/>
  <c r="I98" i="28" s="1"/>
  <c r="BS98" i="28" s="1"/>
  <c r="F115" i="34" s="1"/>
  <c r="J76" i="28"/>
  <c r="I50" i="28"/>
  <c r="I107" i="28" s="1"/>
  <c r="BS107" i="28" s="1"/>
  <c r="W76" i="28"/>
  <c r="AJ76" i="28"/>
  <c r="AW76" i="28"/>
  <c r="BJ76" i="28"/>
  <c r="I51" i="28"/>
  <c r="I108" i="28" s="1"/>
  <c r="BS108" i="28" s="1"/>
  <c r="J78" i="28"/>
  <c r="W78" i="28"/>
  <c r="AJ78" i="28"/>
  <c r="AW78" i="28"/>
  <c r="BJ78" i="28"/>
  <c r="J79" i="28"/>
  <c r="K79" i="28" s="1"/>
  <c r="L79" i="28" s="1"/>
  <c r="M79" i="28" s="1"/>
  <c r="N79" i="28" s="1"/>
  <c r="O79" i="28" s="1"/>
  <c r="I52" i="28"/>
  <c r="I109" i="28" s="1"/>
  <c r="BS109" i="28" s="1"/>
  <c r="J80" i="28"/>
  <c r="I53" i="28"/>
  <c r="I110" i="28" s="1"/>
  <c r="BS110" i="28" s="1"/>
  <c r="W133" i="27"/>
  <c r="AJ133" i="27"/>
  <c r="AW133" i="27"/>
  <c r="BJ133" i="27"/>
  <c r="Q13" i="31"/>
  <c r="J84" i="31"/>
  <c r="Z84" i="31"/>
  <c r="AM84" i="31"/>
  <c r="BJ84" i="31"/>
  <c r="J84" i="30"/>
  <c r="W84" i="30"/>
  <c r="AL84" i="30"/>
  <c r="AX84" i="30"/>
  <c r="K32" i="29"/>
  <c r="W32" i="29"/>
  <c r="AO32" i="29"/>
  <c r="BB32" i="29"/>
  <c r="I23" i="28"/>
  <c r="H35" i="28"/>
  <c r="H92" i="28" s="1"/>
  <c r="G36" i="28"/>
  <c r="G93" i="28" s="1"/>
  <c r="E58" i="28"/>
  <c r="G57" i="28"/>
  <c r="G114" i="28" s="1"/>
  <c r="I8" i="14"/>
  <c r="I10" i="14" s="1"/>
  <c r="P203" i="23"/>
  <c r="P162" i="23"/>
  <c r="P164" i="23" s="1"/>
  <c r="P170" i="23"/>
  <c r="P172" i="23" s="1"/>
  <c r="P175" i="23" s="1"/>
  <c r="P182" i="23"/>
  <c r="M52" i="24"/>
  <c r="M54" i="24" s="1"/>
  <c r="M51" i="24"/>
  <c r="M79" i="34" s="1"/>
  <c r="M20" i="24"/>
  <c r="M80" i="20"/>
  <c r="M64" i="24"/>
  <c r="M65" i="24" s="1"/>
  <c r="M86" i="20"/>
  <c r="N14" i="24"/>
  <c r="N16" i="24" s="1"/>
  <c r="N18" i="24" s="1"/>
  <c r="N80" i="20" s="1"/>
  <c r="N12" i="24"/>
  <c r="K29" i="24"/>
  <c r="K40" i="24"/>
  <c r="O10" i="24"/>
  <c r="P8" i="24"/>
  <c r="P10" i="24" s="1"/>
  <c r="M22" i="24"/>
  <c r="M26" i="24" s="1"/>
  <c r="M39" i="24"/>
  <c r="L28" i="24"/>
  <c r="L46" i="24"/>
  <c r="L55" i="34" s="1"/>
  <c r="U55" i="34" s="1"/>
  <c r="M37" i="24"/>
  <c r="I44" i="24"/>
  <c r="I45" i="24" s="1"/>
  <c r="N9" i="14"/>
  <c r="P58" i="20"/>
  <c r="S58" i="20"/>
  <c r="S63" i="20"/>
  <c r="M116" i="10"/>
  <c r="M72" i="10"/>
  <c r="O11" i="9"/>
  <c r="W19" i="21"/>
  <c r="P20" i="21"/>
  <c r="W20" i="21" s="1"/>
  <c r="I16" i="9"/>
  <c r="I14" i="9"/>
  <c r="I27" i="10" s="1"/>
  <c r="I15" i="9"/>
  <c r="I71" i="10" s="1"/>
  <c r="I73" i="10" s="1"/>
  <c r="F181" i="6"/>
  <c r="F176" i="6"/>
  <c r="F29" i="6"/>
  <c r="F30" i="6" s="1"/>
  <c r="F45" i="6"/>
  <c r="F46" i="6"/>
  <c r="F34" i="6"/>
  <c r="E25" i="6"/>
  <c r="E27" i="6" s="1"/>
  <c r="E181" i="6" s="1"/>
  <c r="M7" i="3"/>
  <c r="G7" i="3"/>
  <c r="G5" i="3"/>
  <c r="N5" i="3"/>
  <c r="H7" i="3"/>
  <c r="N7" i="3"/>
  <c r="C5" i="3"/>
  <c r="I5" i="3"/>
  <c r="I7" i="3"/>
  <c r="N4" i="3"/>
  <c r="D5" i="3"/>
  <c r="J5" i="3"/>
  <c r="D7" i="3"/>
  <c r="J7" i="3"/>
  <c r="E5" i="3"/>
  <c r="K5" i="3"/>
  <c r="E7" i="3"/>
  <c r="K7" i="3"/>
  <c r="F5" i="3"/>
  <c r="L5" i="3"/>
  <c r="F7" i="3"/>
  <c r="L7" i="3"/>
  <c r="M5" i="3"/>
  <c r="O4" i="3"/>
  <c r="K45" i="32" l="1"/>
  <c r="J46" i="32"/>
  <c r="E108" i="34"/>
  <c r="E121" i="34" s="1"/>
  <c r="BD25" i="30"/>
  <c r="BD41" i="30" s="1"/>
  <c r="BD25" i="31"/>
  <c r="BD41" i="31" s="1"/>
  <c r="P166" i="23"/>
  <c r="P14" i="20"/>
  <c r="V4" i="35"/>
  <c r="I19" i="25"/>
  <c r="S19" i="25"/>
  <c r="I79" i="20"/>
  <c r="I59" i="20"/>
  <c r="I61" i="20" s="1"/>
  <c r="I63" i="20" s="1"/>
  <c r="I25" i="20"/>
  <c r="I16" i="20"/>
  <c r="AE79" i="31"/>
  <c r="AE77" i="31" s="1"/>
  <c r="AR82" i="31"/>
  <c r="AS82" i="31" s="1"/>
  <c r="AT82" i="31" s="1"/>
  <c r="AU82" i="31" s="1"/>
  <c r="AV82" i="31" s="1"/>
  <c r="AW82" i="31" s="1"/>
  <c r="AX82" i="31" s="1"/>
  <c r="AY82" i="31" s="1"/>
  <c r="AZ82" i="31" s="1"/>
  <c r="BA82" i="31" s="1"/>
  <c r="BB82" i="31" s="1"/>
  <c r="AQ79" i="31"/>
  <c r="BD82" i="31"/>
  <c r="BE82" i="31" s="1"/>
  <c r="BF82" i="31" s="1"/>
  <c r="BG82" i="31" s="1"/>
  <c r="BH82" i="31" s="1"/>
  <c r="BI82" i="31" s="1"/>
  <c r="BJ82" i="31" s="1"/>
  <c r="BK82" i="31" s="1"/>
  <c r="BL82" i="31" s="1"/>
  <c r="BM82" i="31" s="1"/>
  <c r="BN82" i="31" s="1"/>
  <c r="BO82" i="31" s="1"/>
  <c r="BP79" i="31"/>
  <c r="G77" i="31"/>
  <c r="H78" i="31"/>
  <c r="AT8" i="29"/>
  <c r="AS7" i="27"/>
  <c r="BE7" i="27"/>
  <c r="BF8" i="29"/>
  <c r="U7" i="27"/>
  <c r="V8" i="29"/>
  <c r="I16" i="26"/>
  <c r="I20" i="26"/>
  <c r="I23" i="26" s="1"/>
  <c r="I35" i="26"/>
  <c r="I37" i="26" s="1"/>
  <c r="I58" i="26"/>
  <c r="I60" i="26" s="1"/>
  <c r="I80" i="26"/>
  <c r="I82" i="26" s="1"/>
  <c r="I101" i="26"/>
  <c r="I103" i="26" s="1"/>
  <c r="I105" i="26" s="1"/>
  <c r="I107" i="26" s="1"/>
  <c r="H16" i="26"/>
  <c r="H20" i="26"/>
  <c r="H23" i="26" s="1"/>
  <c r="H35" i="26"/>
  <c r="H37" i="26" s="1"/>
  <c r="H58" i="26"/>
  <c r="H60" i="26" s="1"/>
  <c r="H80" i="26"/>
  <c r="H82" i="26" s="1"/>
  <c r="H101" i="26"/>
  <c r="H103" i="26" s="1"/>
  <c r="H105" i="26" s="1"/>
  <c r="H107" i="26" s="1"/>
  <c r="N11" i="21"/>
  <c r="N14" i="21"/>
  <c r="V12" i="21"/>
  <c r="N10" i="21"/>
  <c r="G39" i="26"/>
  <c r="G41" i="26" s="1"/>
  <c r="AP4" i="29"/>
  <c r="G62" i="26"/>
  <c r="G64" i="26" s="1"/>
  <c r="AP4" i="30"/>
  <c r="G84" i="26"/>
  <c r="G86" i="26" s="1"/>
  <c r="AP4" i="31"/>
  <c r="G109" i="26"/>
  <c r="G111" i="26" s="1"/>
  <c r="G114" i="26" s="1"/>
  <c r="AP4" i="28"/>
  <c r="L22" i="21"/>
  <c r="U22" i="21" s="1"/>
  <c r="U11" i="21"/>
  <c r="L24" i="21"/>
  <c r="L8" i="10" s="1"/>
  <c r="L9" i="20"/>
  <c r="U9" i="20" s="1"/>
  <c r="L10" i="9"/>
  <c r="M10" i="9"/>
  <c r="M22" i="21"/>
  <c r="M24" i="21"/>
  <c r="M9" i="20"/>
  <c r="AB4" i="29"/>
  <c r="AB4" i="27" s="1"/>
  <c r="AC4" i="27"/>
  <c r="AC6" i="27" s="1"/>
  <c r="AC8" i="27" s="1"/>
  <c r="S4" i="29"/>
  <c r="W4" i="29"/>
  <c r="Y4" i="29"/>
  <c r="Y4" i="27" s="1"/>
  <c r="R4" i="29"/>
  <c r="U4" i="29"/>
  <c r="X4" i="29"/>
  <c r="X4" i="27" s="1"/>
  <c r="AA4" i="29"/>
  <c r="AA4" i="27" s="1"/>
  <c r="Q4" i="29"/>
  <c r="T4" i="29"/>
  <c r="V4" i="29"/>
  <c r="Z4" i="29"/>
  <c r="Z4" i="27" s="1"/>
  <c r="R4" i="30"/>
  <c r="R7" i="30" s="1"/>
  <c r="R9" i="30" s="1"/>
  <c r="U4" i="30"/>
  <c r="U7" i="30" s="1"/>
  <c r="U9" i="30" s="1"/>
  <c r="W4" i="30"/>
  <c r="W7" i="30" s="1"/>
  <c r="W9" i="30" s="1"/>
  <c r="X4" i="30"/>
  <c r="X7" i="30" s="1"/>
  <c r="X9" i="30" s="1"/>
  <c r="AA4" i="30"/>
  <c r="AA7" i="30" s="1"/>
  <c r="AA9" i="30" s="1"/>
  <c r="S4" i="30"/>
  <c r="S7" i="30" s="1"/>
  <c r="S9" i="30" s="1"/>
  <c r="Z4" i="30"/>
  <c r="Z7" i="30" s="1"/>
  <c r="Z9" i="30" s="1"/>
  <c r="Q4" i="30"/>
  <c r="Q7" i="30" s="1"/>
  <c r="T4" i="30"/>
  <c r="T7" i="30" s="1"/>
  <c r="T9" i="30" s="1"/>
  <c r="V4" i="30"/>
  <c r="V7" i="30" s="1"/>
  <c r="V9" i="30" s="1"/>
  <c r="Y4" i="30"/>
  <c r="Y7" i="30" s="1"/>
  <c r="Y9" i="30" s="1"/>
  <c r="AB4" i="30"/>
  <c r="AB7" i="30" s="1"/>
  <c r="AB9" i="30" s="1"/>
  <c r="AB4" i="31"/>
  <c r="AB7" i="31" s="1"/>
  <c r="AB9" i="31" s="1"/>
  <c r="Y4" i="31"/>
  <c r="Y7" i="31" s="1"/>
  <c r="Y9" i="31" s="1"/>
  <c r="Z4" i="31"/>
  <c r="Z7" i="31" s="1"/>
  <c r="Z9" i="31" s="1"/>
  <c r="W4" i="31"/>
  <c r="W7" i="31" s="1"/>
  <c r="X4" i="31"/>
  <c r="X7" i="31" s="1"/>
  <c r="X9" i="31" s="1"/>
  <c r="AA4" i="31"/>
  <c r="AA7" i="31" s="1"/>
  <c r="AA9" i="31" s="1"/>
  <c r="R4" i="28"/>
  <c r="U4" i="28"/>
  <c r="Z4" i="28"/>
  <c r="AA4" i="28"/>
  <c r="T4" i="28"/>
  <c r="V4" i="28"/>
  <c r="X4" i="28"/>
  <c r="AB4" i="28"/>
  <c r="Q4" i="28"/>
  <c r="S4" i="28"/>
  <c r="W4" i="28"/>
  <c r="Y4" i="28"/>
  <c r="T24" i="21"/>
  <c r="J10" i="20"/>
  <c r="J8" i="14"/>
  <c r="T8" i="10"/>
  <c r="K14" i="21"/>
  <c r="K15" i="21" s="1"/>
  <c r="K11" i="21"/>
  <c r="D11" i="29"/>
  <c r="D13" i="29" s="1"/>
  <c r="D3" i="32"/>
  <c r="D15" i="29"/>
  <c r="D18" i="29" s="1"/>
  <c r="E11" i="29"/>
  <c r="E13" i="29" s="1"/>
  <c r="E15" i="29"/>
  <c r="E3" i="32"/>
  <c r="K4" i="27"/>
  <c r="K7" i="29"/>
  <c r="G11" i="29"/>
  <c r="G13" i="29" s="1"/>
  <c r="G15" i="29"/>
  <c r="G3" i="32"/>
  <c r="J4" i="27"/>
  <c r="J7" i="29"/>
  <c r="M7" i="29"/>
  <c r="M4" i="27"/>
  <c r="P14" i="27"/>
  <c r="P10" i="27"/>
  <c r="P12" i="27" s="1"/>
  <c r="F11" i="29"/>
  <c r="F13" i="29" s="1"/>
  <c r="F15" i="29"/>
  <c r="F3" i="32"/>
  <c r="I4" i="27"/>
  <c r="I7" i="29"/>
  <c r="I9" i="29" s="1"/>
  <c r="L4" i="27"/>
  <c r="L7" i="29"/>
  <c r="N4" i="27"/>
  <c r="N7" i="29"/>
  <c r="F15" i="30"/>
  <c r="F11" i="30"/>
  <c r="F13" i="30" s="1"/>
  <c r="H15" i="30"/>
  <c r="H11" i="30"/>
  <c r="H13" i="30" s="1"/>
  <c r="K11" i="30"/>
  <c r="K13" i="30" s="1"/>
  <c r="K15" i="30"/>
  <c r="N15" i="30"/>
  <c r="N11" i="30"/>
  <c r="N13" i="30" s="1"/>
  <c r="D9" i="30"/>
  <c r="P7" i="30"/>
  <c r="I15" i="30"/>
  <c r="I11" i="30"/>
  <c r="I13" i="30" s="1"/>
  <c r="J15" i="30"/>
  <c r="J11" i="30"/>
  <c r="J13" i="30" s="1"/>
  <c r="M15" i="30"/>
  <c r="M11" i="30"/>
  <c r="M13" i="30" s="1"/>
  <c r="E15" i="30"/>
  <c r="E11" i="30"/>
  <c r="E13" i="30" s="1"/>
  <c r="G15" i="30"/>
  <c r="G11" i="30"/>
  <c r="G13" i="30" s="1"/>
  <c r="L11" i="30"/>
  <c r="L13" i="30" s="1"/>
  <c r="L15" i="30"/>
  <c r="O15" i="30"/>
  <c r="O11" i="30"/>
  <c r="O13" i="30" s="1"/>
  <c r="D9" i="31"/>
  <c r="P7" i="31"/>
  <c r="F15" i="31"/>
  <c r="F11" i="31"/>
  <c r="F13" i="31" s="1"/>
  <c r="I11" i="31"/>
  <c r="I13" i="31" s="1"/>
  <c r="I15" i="31"/>
  <c r="J15" i="31"/>
  <c r="J11" i="31"/>
  <c r="J13" i="31" s="1"/>
  <c r="G11" i="31"/>
  <c r="G13" i="31" s="1"/>
  <c r="G15" i="31"/>
  <c r="E11" i="31"/>
  <c r="E13" i="31" s="1"/>
  <c r="E15" i="31"/>
  <c r="H11" i="31"/>
  <c r="H13" i="31" s="1"/>
  <c r="H15" i="31"/>
  <c r="K15" i="31"/>
  <c r="K11" i="31"/>
  <c r="K13" i="31" s="1"/>
  <c r="P7" i="28"/>
  <c r="J9" i="28"/>
  <c r="S8" i="14"/>
  <c r="H10" i="14"/>
  <c r="S10" i="20"/>
  <c r="H25" i="20"/>
  <c r="S25" i="20" s="1"/>
  <c r="H16" i="20"/>
  <c r="S16" i="20" s="1"/>
  <c r="H66" i="20"/>
  <c r="S66" i="20" s="1"/>
  <c r="P10" i="21"/>
  <c r="W10" i="21" s="1"/>
  <c r="W12" i="21"/>
  <c r="P14" i="21"/>
  <c r="J16" i="9"/>
  <c r="J15" i="9"/>
  <c r="J14" i="9"/>
  <c r="T10" i="9"/>
  <c r="O4" i="27"/>
  <c r="O7" i="29"/>
  <c r="K95" i="28"/>
  <c r="K37" i="28"/>
  <c r="K94" i="28" s="1"/>
  <c r="L37" i="28"/>
  <c r="L94" i="28" s="1"/>
  <c r="L95" i="28"/>
  <c r="M95" i="28"/>
  <c r="M37" i="28"/>
  <c r="M94" i="28" s="1"/>
  <c r="N37" i="28"/>
  <c r="N94" i="28" s="1"/>
  <c r="N95" i="28"/>
  <c r="O95" i="28"/>
  <c r="O37" i="28"/>
  <c r="O94" i="28" s="1"/>
  <c r="H115" i="10"/>
  <c r="H117" i="10" s="1"/>
  <c r="H21" i="9"/>
  <c r="S21" i="9" s="1"/>
  <c r="S16" i="9"/>
  <c r="H71" i="10"/>
  <c r="H73" i="10" s="1"/>
  <c r="H20" i="9"/>
  <c r="S15" i="9"/>
  <c r="H27" i="10"/>
  <c r="H29" i="10" s="1"/>
  <c r="H21" i="6"/>
  <c r="H23" i="6" s="1"/>
  <c r="S14" i="9"/>
  <c r="V5" i="27"/>
  <c r="W6" i="29"/>
  <c r="AI5" i="27"/>
  <c r="AJ6" i="29"/>
  <c r="AW6" i="29"/>
  <c r="AV5" i="27"/>
  <c r="BI5" i="27"/>
  <c r="BJ6" i="29"/>
  <c r="H15" i="29"/>
  <c r="H3" i="32"/>
  <c r="H11" i="29"/>
  <c r="H13" i="29" s="1"/>
  <c r="I7" i="27"/>
  <c r="J8" i="29"/>
  <c r="H14" i="27"/>
  <c r="G12" i="27"/>
  <c r="G93" i="27" s="1"/>
  <c r="G92" i="27"/>
  <c r="H85" i="27"/>
  <c r="H10" i="27"/>
  <c r="H86" i="27"/>
  <c r="AQ78" i="31"/>
  <c r="BP78" i="31"/>
  <c r="BD78" i="31" s="1"/>
  <c r="BE78" i="31" s="1"/>
  <c r="BF78" i="31" s="1"/>
  <c r="S78" i="31"/>
  <c r="R77" i="31"/>
  <c r="J11" i="32"/>
  <c r="J15" i="27"/>
  <c r="K16" i="29"/>
  <c r="BN5" i="30"/>
  <c r="BI41" i="32"/>
  <c r="BF43" i="32"/>
  <c r="BG42" i="32"/>
  <c r="AT43" i="32"/>
  <c r="AU42" i="32"/>
  <c r="AH43" i="32"/>
  <c r="AI42" i="32"/>
  <c r="BF46" i="32"/>
  <c r="BG45" i="32"/>
  <c r="AU45" i="32"/>
  <c r="AT46" i="32"/>
  <c r="AH46" i="32"/>
  <c r="AI45" i="32"/>
  <c r="BF37" i="32"/>
  <c r="BF36" i="32" s="1"/>
  <c r="BG47" i="32"/>
  <c r="AT37" i="32"/>
  <c r="AT36" i="32" s="1"/>
  <c r="AU47" i="32"/>
  <c r="BH8" i="31"/>
  <c r="BH8" i="30"/>
  <c r="AI8" i="29"/>
  <c r="AH7" i="27"/>
  <c r="BG64" i="28"/>
  <c r="AT64" i="28"/>
  <c r="AR4" i="35"/>
  <c r="AT4" i="35"/>
  <c r="F101" i="28"/>
  <c r="BR101" i="28" s="1"/>
  <c r="F58" i="28"/>
  <c r="F115" i="28" s="1"/>
  <c r="D117" i="28"/>
  <c r="D61" i="28"/>
  <c r="BH24" i="35"/>
  <c r="BI92" i="35"/>
  <c r="AU24" i="35"/>
  <c r="AV92" i="35"/>
  <c r="BJ23" i="35"/>
  <c r="BL76" i="35"/>
  <c r="BK75" i="35"/>
  <c r="AW23" i="35"/>
  <c r="AY76" i="35"/>
  <c r="AX75" i="35"/>
  <c r="AL76" i="35"/>
  <c r="AK75" i="35"/>
  <c r="AJ23" i="35"/>
  <c r="AJ24" i="35"/>
  <c r="AI4" i="35"/>
  <c r="X75" i="35"/>
  <c r="Y76" i="35"/>
  <c r="W23" i="35"/>
  <c r="W24" i="35"/>
  <c r="L76" i="35"/>
  <c r="K75" i="35"/>
  <c r="J24" i="35"/>
  <c r="J23" i="35"/>
  <c r="BD22" i="35"/>
  <c r="BD5" i="35" s="1"/>
  <c r="BE22" i="35"/>
  <c r="BE5" i="35" s="1"/>
  <c r="BF22" i="35"/>
  <c r="BF5" i="35" s="1"/>
  <c r="BG22" i="35"/>
  <c r="BG5" i="35"/>
  <c r="BH22" i="35"/>
  <c r="BH5" i="35" s="1"/>
  <c r="BI22" i="35"/>
  <c r="BI5" i="35" s="1"/>
  <c r="BJ22" i="35"/>
  <c r="BJ5" i="35" s="1"/>
  <c r="BK22" i="35"/>
  <c r="BK5" i="35" s="1"/>
  <c r="BL22" i="35"/>
  <c r="BL5" i="35" s="1"/>
  <c r="BM22" i="35"/>
  <c r="BM5" i="35" s="1"/>
  <c r="BN22" i="35"/>
  <c r="BN5" i="35" s="1"/>
  <c r="BO22" i="35"/>
  <c r="BO5" i="35" s="1"/>
  <c r="BC5" i="35"/>
  <c r="BC98" i="35" s="1"/>
  <c r="AQ4" i="35"/>
  <c r="I4" i="35"/>
  <c r="BS4" i="35" s="1"/>
  <c r="BD25" i="35"/>
  <c r="BF25" i="35"/>
  <c r="BM25" i="35"/>
  <c r="BN25" i="35"/>
  <c r="BC38" i="35"/>
  <c r="BH25" i="35"/>
  <c r="BO25" i="35"/>
  <c r="BG25" i="35"/>
  <c r="BJ25" i="35"/>
  <c r="AS4" i="35"/>
  <c r="BE25" i="35"/>
  <c r="BL25" i="35"/>
  <c r="BI25" i="35"/>
  <c r="BK25" i="35"/>
  <c r="BC22" i="35"/>
  <c r="BD73" i="35"/>
  <c r="CB61" i="35"/>
  <c r="BY38" i="35"/>
  <c r="BX38" i="35"/>
  <c r="J47" i="24"/>
  <c r="J42" i="24"/>
  <c r="J43" i="24"/>
  <c r="J36" i="34" s="1"/>
  <c r="T36" i="34" s="1"/>
  <c r="J31" i="24"/>
  <c r="J81" i="20" s="1"/>
  <c r="T81" i="20" s="1"/>
  <c r="M87" i="20"/>
  <c r="M69" i="34"/>
  <c r="K30" i="24"/>
  <c r="K51" i="25"/>
  <c r="T25" i="30"/>
  <c r="T41" i="30" s="1"/>
  <c r="T79" i="30" s="1"/>
  <c r="T77" i="30" s="1"/>
  <c r="T25" i="31"/>
  <c r="T41" i="31" s="1"/>
  <c r="T79" i="31" s="1"/>
  <c r="U27" i="30"/>
  <c r="U43" i="30" s="1"/>
  <c r="U105" i="27"/>
  <c r="U27" i="31"/>
  <c r="U43" i="31" s="1"/>
  <c r="V107" i="27"/>
  <c r="BD79" i="30"/>
  <c r="BD77" i="30" s="1"/>
  <c r="BE105" i="27"/>
  <c r="U5" i="32"/>
  <c r="V10" i="29"/>
  <c r="U9" i="27"/>
  <c r="AG9" i="27"/>
  <c r="AH10" i="29"/>
  <c r="AG5" i="32"/>
  <c r="AT10" i="29"/>
  <c r="AS5" i="32"/>
  <c r="AS9" i="27"/>
  <c r="BF10" i="29"/>
  <c r="BE9" i="27"/>
  <c r="BE5" i="32"/>
  <c r="AT12" i="29"/>
  <c r="AS11" i="27"/>
  <c r="AS7" i="32"/>
  <c r="BF12" i="29"/>
  <c r="BE11" i="27"/>
  <c r="BE7" i="32"/>
  <c r="AH12" i="29"/>
  <c r="AG7" i="32"/>
  <c r="AG11" i="27"/>
  <c r="V12" i="29"/>
  <c r="U11" i="27"/>
  <c r="U7" i="32"/>
  <c r="I24" i="30"/>
  <c r="I40" i="30" s="1"/>
  <c r="I24" i="31"/>
  <c r="I40" i="31" s="1"/>
  <c r="J104" i="27"/>
  <c r="J23" i="31"/>
  <c r="J39" i="31" s="1"/>
  <c r="J23" i="30"/>
  <c r="J39" i="30" s="1"/>
  <c r="K103" i="27"/>
  <c r="AX24" i="30"/>
  <c r="AX40" i="30" s="1"/>
  <c r="AX24" i="31"/>
  <c r="AX40" i="31" s="1"/>
  <c r="AY23" i="30"/>
  <c r="AY39" i="30" s="1"/>
  <c r="AY104" i="27"/>
  <c r="AY23" i="31"/>
  <c r="AY39" i="31" s="1"/>
  <c r="AZ103" i="27"/>
  <c r="BF24" i="30"/>
  <c r="BF40" i="30" s="1"/>
  <c r="BF24" i="31"/>
  <c r="BF40" i="31" s="1"/>
  <c r="BG23" i="30"/>
  <c r="BG39" i="30" s="1"/>
  <c r="BG23" i="31"/>
  <c r="BG39" i="31" s="1"/>
  <c r="BG104" i="27"/>
  <c r="BH103" i="27"/>
  <c r="AU26" i="30"/>
  <c r="AU42" i="30" s="1"/>
  <c r="AU26" i="31"/>
  <c r="AU42" i="31" s="1"/>
  <c r="AV106" i="27"/>
  <c r="BF26" i="30"/>
  <c r="BF42" i="30" s="1"/>
  <c r="BF26" i="31"/>
  <c r="BF42" i="31" s="1"/>
  <c r="BG106" i="27"/>
  <c r="AF25" i="30"/>
  <c r="AF41" i="30" s="1"/>
  <c r="AF79" i="30" s="1"/>
  <c r="AF77" i="30" s="1"/>
  <c r="AF25" i="31"/>
  <c r="AF41" i="31" s="1"/>
  <c r="AF79" i="31" s="1"/>
  <c r="AF77" i="31" s="1"/>
  <c r="AG105" i="27"/>
  <c r="AG27" i="30"/>
  <c r="AG43" i="30" s="1"/>
  <c r="AG27" i="31"/>
  <c r="AG43" i="31" s="1"/>
  <c r="AH107" i="27"/>
  <c r="AR25" i="31"/>
  <c r="AR41" i="31" s="1"/>
  <c r="AR79" i="31" s="1"/>
  <c r="AR25" i="30"/>
  <c r="AR41" i="30" s="1"/>
  <c r="AR79" i="30" s="1"/>
  <c r="AR77" i="30" s="1"/>
  <c r="AS105" i="27"/>
  <c r="AS27" i="31"/>
  <c r="AS43" i="31" s="1"/>
  <c r="AS27" i="30"/>
  <c r="AS43" i="30" s="1"/>
  <c r="AT107" i="27"/>
  <c r="BE27" i="31"/>
  <c r="BE43" i="31" s="1"/>
  <c r="BE27" i="30"/>
  <c r="BE43" i="30" s="1"/>
  <c r="BF107" i="27"/>
  <c r="AG28" i="30"/>
  <c r="AG44" i="30" s="1"/>
  <c r="AG28" i="31"/>
  <c r="AG44" i="31" s="1"/>
  <c r="AH108" i="27"/>
  <c r="AS28" i="31"/>
  <c r="AS44" i="31" s="1"/>
  <c r="AS28" i="30"/>
  <c r="AS44" i="30" s="1"/>
  <c r="AT108" i="27"/>
  <c r="BE28" i="31"/>
  <c r="BE44" i="31" s="1"/>
  <c r="BE28" i="30"/>
  <c r="BE44" i="30" s="1"/>
  <c r="BF108" i="27"/>
  <c r="AH24" i="31"/>
  <c r="AH40" i="31" s="1"/>
  <c r="AH24" i="30"/>
  <c r="AH40" i="30" s="1"/>
  <c r="AI23" i="30"/>
  <c r="AI39" i="30" s="1"/>
  <c r="AI104" i="27"/>
  <c r="AI23" i="31"/>
  <c r="AI39" i="31" s="1"/>
  <c r="AJ103" i="27"/>
  <c r="AI26" i="31"/>
  <c r="AI42" i="31" s="1"/>
  <c r="AI26" i="30"/>
  <c r="AI42" i="30" s="1"/>
  <c r="AJ106" i="27"/>
  <c r="BH10" i="31"/>
  <c r="BH10" i="30"/>
  <c r="BD79" i="31"/>
  <c r="E16" i="34"/>
  <c r="V84" i="34"/>
  <c r="F95" i="34"/>
  <c r="F114" i="34"/>
  <c r="I84" i="28"/>
  <c r="BS84" i="28" s="1"/>
  <c r="I34" i="28"/>
  <c r="I91" i="28" s="1"/>
  <c r="BS91" i="28" s="1"/>
  <c r="H57" i="28"/>
  <c r="H114" i="28" s="1"/>
  <c r="H103" i="28"/>
  <c r="E59" i="28"/>
  <c r="E115" i="28"/>
  <c r="BF81" i="30"/>
  <c r="AT81" i="30"/>
  <c r="G78" i="10"/>
  <c r="G79" i="10"/>
  <c r="G85" i="10" s="1"/>
  <c r="G123" i="10"/>
  <c r="G129" i="10" s="1"/>
  <c r="G9" i="10"/>
  <c r="G122" i="10"/>
  <c r="G18" i="14"/>
  <c r="G46" i="14"/>
  <c r="G29" i="14"/>
  <c r="H28" i="14" s="1"/>
  <c r="G34" i="10"/>
  <c r="G35" i="10"/>
  <c r="G41" i="10" s="1"/>
  <c r="G44" i="10" s="1"/>
  <c r="K39" i="32"/>
  <c r="L38" i="32"/>
  <c r="X39" i="32"/>
  <c r="Y38" i="32"/>
  <c r="AK39" i="32"/>
  <c r="AL38" i="32"/>
  <c r="AX39" i="32"/>
  <c r="AY38" i="32"/>
  <c r="BL38" i="32"/>
  <c r="BK39" i="32"/>
  <c r="L40" i="32"/>
  <c r="K37" i="32"/>
  <c r="K36" i="32" s="1"/>
  <c r="W40" i="32"/>
  <c r="V37" i="32"/>
  <c r="V36" i="32" s="1"/>
  <c r="AJ40" i="32"/>
  <c r="AI37" i="32"/>
  <c r="AI36" i="32" s="1"/>
  <c r="AW40" i="32"/>
  <c r="BJ40" i="32"/>
  <c r="X41" i="32"/>
  <c r="W43" i="32"/>
  <c r="AK41" i="32"/>
  <c r="AX41" i="32"/>
  <c r="K43" i="32"/>
  <c r="L42" i="32"/>
  <c r="X45" i="32"/>
  <c r="W46" i="32"/>
  <c r="L50" i="32"/>
  <c r="X50" i="32"/>
  <c r="AK50" i="32"/>
  <c r="AX50" i="32"/>
  <c r="BK50" i="32"/>
  <c r="M52" i="32"/>
  <c r="X52" i="32"/>
  <c r="AK52" i="32"/>
  <c r="AX52" i="32"/>
  <c r="BK52" i="32"/>
  <c r="X75" i="31"/>
  <c r="AK75" i="31"/>
  <c r="AX75" i="31"/>
  <c r="BK75" i="31"/>
  <c r="J79" i="31"/>
  <c r="K80" i="31"/>
  <c r="W80" i="31"/>
  <c r="AJ80" i="31"/>
  <c r="AW80" i="31"/>
  <c r="BJ80" i="31"/>
  <c r="AG78" i="31"/>
  <c r="L75" i="30"/>
  <c r="X75" i="30"/>
  <c r="AK75" i="30"/>
  <c r="AX75" i="30"/>
  <c r="BK75" i="30"/>
  <c r="I79" i="30"/>
  <c r="J80" i="30"/>
  <c r="W80" i="30"/>
  <c r="AJ80" i="30"/>
  <c r="AW80" i="30"/>
  <c r="BJ80" i="30"/>
  <c r="BF78" i="30"/>
  <c r="AS78" i="30"/>
  <c r="AG78" i="30"/>
  <c r="U78" i="30"/>
  <c r="I78" i="30"/>
  <c r="H77" i="30"/>
  <c r="J5" i="32"/>
  <c r="J9" i="27"/>
  <c r="K10" i="29"/>
  <c r="J7" i="32"/>
  <c r="J11" i="27"/>
  <c r="K12" i="29"/>
  <c r="I9" i="32"/>
  <c r="I13" i="27"/>
  <c r="J14" i="29"/>
  <c r="V9" i="32"/>
  <c r="V13" i="27"/>
  <c r="W14" i="29"/>
  <c r="AI9" i="32"/>
  <c r="AI13" i="27"/>
  <c r="AJ14" i="29"/>
  <c r="AV9" i="32"/>
  <c r="AV13" i="27"/>
  <c r="AW14" i="29"/>
  <c r="BI9" i="32"/>
  <c r="BI13" i="27"/>
  <c r="BJ14" i="29"/>
  <c r="X33" i="29"/>
  <c r="AK33" i="29"/>
  <c r="AX33" i="29"/>
  <c r="BK33" i="29"/>
  <c r="J54" i="28"/>
  <c r="J111" i="28" s="1"/>
  <c r="K64" i="28"/>
  <c r="X64" i="28"/>
  <c r="AK64" i="28"/>
  <c r="J47" i="28"/>
  <c r="J104" i="28" s="1"/>
  <c r="K65" i="28"/>
  <c r="X65" i="28"/>
  <c r="AK65" i="28"/>
  <c r="AX65" i="28"/>
  <c r="BK65" i="28"/>
  <c r="K68" i="28"/>
  <c r="K71" i="28"/>
  <c r="X71" i="28"/>
  <c r="AK71" i="28"/>
  <c r="AX71" i="28"/>
  <c r="BK71" i="28"/>
  <c r="K41" i="28"/>
  <c r="K98" i="28" s="1"/>
  <c r="L74" i="28"/>
  <c r="K76" i="28"/>
  <c r="X76" i="28"/>
  <c r="AK76" i="28"/>
  <c r="AX76" i="28"/>
  <c r="BK76" i="28"/>
  <c r="K78" i="28"/>
  <c r="J51" i="28"/>
  <c r="J108" i="28" s="1"/>
  <c r="X78" i="28"/>
  <c r="AK78" i="28"/>
  <c r="AX78" i="28"/>
  <c r="BK78" i="28"/>
  <c r="J53" i="28"/>
  <c r="J110" i="28" s="1"/>
  <c r="K80" i="28"/>
  <c r="L80" i="28" s="1"/>
  <c r="M80" i="28" s="1"/>
  <c r="N80" i="28" s="1"/>
  <c r="O80" i="28" s="1"/>
  <c r="X133" i="27"/>
  <c r="AK133" i="27"/>
  <c r="AX133" i="27"/>
  <c r="BK133" i="27"/>
  <c r="K84" i="31"/>
  <c r="AA84" i="31"/>
  <c r="AN84" i="31"/>
  <c r="BK84" i="31"/>
  <c r="K84" i="30"/>
  <c r="X84" i="30"/>
  <c r="AM84" i="30"/>
  <c r="AY84" i="30"/>
  <c r="BK84" i="30"/>
  <c r="L32" i="29"/>
  <c r="X32" i="29"/>
  <c r="BO32" i="29"/>
  <c r="J23" i="28"/>
  <c r="K23" i="28" s="1"/>
  <c r="L23" i="28" s="1"/>
  <c r="M23" i="28" s="1"/>
  <c r="N23" i="28" s="1"/>
  <c r="O23" i="28" s="1"/>
  <c r="I35" i="28"/>
  <c r="G44" i="28"/>
  <c r="G101" i="28" s="1"/>
  <c r="I46" i="28"/>
  <c r="I103" i="28" s="1"/>
  <c r="H36" i="28"/>
  <c r="J154" i="23"/>
  <c r="G34" i="6"/>
  <c r="G25" i="6"/>
  <c r="G27" i="6" s="1"/>
  <c r="I49" i="14"/>
  <c r="I12" i="14"/>
  <c r="I46" i="14" s="1"/>
  <c r="I21" i="9"/>
  <c r="I115" i="10"/>
  <c r="I117" i="10" s="1"/>
  <c r="I78" i="10"/>
  <c r="I79" i="10"/>
  <c r="I85" i="10" s="1"/>
  <c r="V80" i="20"/>
  <c r="P210" i="23"/>
  <c r="P206" i="23"/>
  <c r="P184" i="23"/>
  <c r="P61" i="23"/>
  <c r="N64" i="24"/>
  <c r="N65" i="24" s="1"/>
  <c r="N86" i="20"/>
  <c r="V86" i="20" s="1"/>
  <c r="L29" i="24"/>
  <c r="L40" i="24"/>
  <c r="N20" i="24"/>
  <c r="N51" i="24"/>
  <c r="N79" i="34" s="1"/>
  <c r="N52" i="24"/>
  <c r="N54" i="24" s="1"/>
  <c r="O14" i="24"/>
  <c r="O16" i="24" s="1"/>
  <c r="O18" i="24" s="1"/>
  <c r="O12" i="24"/>
  <c r="P14" i="24"/>
  <c r="P12" i="24"/>
  <c r="W8" i="24"/>
  <c r="P16" i="24"/>
  <c r="P18" i="24" s="1"/>
  <c r="M28" i="24"/>
  <c r="N37" i="24"/>
  <c r="M46" i="24"/>
  <c r="M55" i="34" s="1"/>
  <c r="I48" i="24"/>
  <c r="I49" i="24" s="1"/>
  <c r="I55" i="24" s="1"/>
  <c r="P10" i="23"/>
  <c r="P12" i="23" s="1"/>
  <c r="P14" i="23" s="1"/>
  <c r="W8" i="23"/>
  <c r="V9" i="23"/>
  <c r="O9" i="14"/>
  <c r="V9" i="14"/>
  <c r="T58" i="20"/>
  <c r="N116" i="10"/>
  <c r="N72" i="10"/>
  <c r="I21" i="6"/>
  <c r="I23" i="6" s="1"/>
  <c r="I25" i="6" s="1"/>
  <c r="I27" i="6" s="1"/>
  <c r="W12" i="9"/>
  <c r="P11" i="9"/>
  <c r="W11" i="9" s="1"/>
  <c r="I29" i="10"/>
  <c r="I20" i="9"/>
  <c r="P10" i="9"/>
  <c r="P9" i="20"/>
  <c r="W9" i="20" s="1"/>
  <c r="C5" i="36" s="1"/>
  <c r="P24" i="21"/>
  <c r="P8" i="10" s="1"/>
  <c r="W11" i="21"/>
  <c r="P22" i="21"/>
  <c r="W22" i="21" s="1"/>
  <c r="E176" i="6"/>
  <c r="F161" i="6"/>
  <c r="F160" i="6"/>
  <c r="F159" i="6" s="1"/>
  <c r="E29" i="6"/>
  <c r="E30" i="6" s="1"/>
  <c r="E45" i="6"/>
  <c r="E140" i="6" s="1"/>
  <c r="E46" i="6"/>
  <c r="E36" i="6"/>
  <c r="E178" i="6" s="1"/>
  <c r="E179" i="6"/>
  <c r="F36" i="6"/>
  <c r="F178" i="6" s="1"/>
  <c r="F38" i="6"/>
  <c r="F179" i="6" s="1"/>
  <c r="F58" i="6"/>
  <c r="E58" i="6"/>
  <c r="L45" i="32" l="1"/>
  <c r="K46" i="32"/>
  <c r="L51" i="25"/>
  <c r="L30" i="24"/>
  <c r="J19" i="25"/>
  <c r="BR115" i="28"/>
  <c r="H77" i="31"/>
  <c r="I78" i="31"/>
  <c r="BO5" i="30"/>
  <c r="BP5" i="30" s="1"/>
  <c r="M10" i="20"/>
  <c r="M8" i="10"/>
  <c r="AU8" i="29"/>
  <c r="AT7" i="27"/>
  <c r="BG8" i="29"/>
  <c r="BF7" i="27"/>
  <c r="W8" i="29"/>
  <c r="V7" i="27"/>
  <c r="J9" i="29"/>
  <c r="P7" i="29"/>
  <c r="I39" i="26"/>
  <c r="I41" i="26" s="1"/>
  <c r="BP4" i="29"/>
  <c r="I62" i="26"/>
  <c r="I64" i="26" s="1"/>
  <c r="BP4" i="30"/>
  <c r="BP4" i="31"/>
  <c r="I84" i="26"/>
  <c r="I86" i="26" s="1"/>
  <c r="I109" i="26"/>
  <c r="I111" i="26" s="1"/>
  <c r="BP4" i="28"/>
  <c r="H39" i="26"/>
  <c r="H41" i="26" s="1"/>
  <c r="BC4" i="29"/>
  <c r="H62" i="26"/>
  <c r="H64" i="26" s="1"/>
  <c r="BC4" i="30"/>
  <c r="H84" i="26"/>
  <c r="H86" i="26" s="1"/>
  <c r="BC4" i="31"/>
  <c r="H109" i="26"/>
  <c r="H111" i="26" s="1"/>
  <c r="H114" i="26" s="1"/>
  <c r="BC4" i="28"/>
  <c r="N22" i="21"/>
  <c r="V22" i="21" s="1"/>
  <c r="V11" i="21"/>
  <c r="N24" i="21"/>
  <c r="N8" i="10" s="1"/>
  <c r="N9" i="20"/>
  <c r="V9" i="20" s="1"/>
  <c r="N10" i="9"/>
  <c r="N15" i="21"/>
  <c r="V15" i="21" s="1"/>
  <c r="V14" i="21"/>
  <c r="V10" i="21"/>
  <c r="O10" i="21"/>
  <c r="O12" i="21" s="1"/>
  <c r="AE4" i="29"/>
  <c r="AG4" i="29"/>
  <c r="AK4" i="29"/>
  <c r="AM4" i="29"/>
  <c r="AM4" i="27" s="1"/>
  <c r="AP4" i="27"/>
  <c r="AP6" i="27" s="1"/>
  <c r="AP8" i="27" s="1"/>
  <c r="AF4" i="29"/>
  <c r="AI4" i="29"/>
  <c r="AL4" i="29"/>
  <c r="AL4" i="27" s="1"/>
  <c r="AO4" i="29"/>
  <c r="AO4" i="27" s="1"/>
  <c r="AD4" i="29"/>
  <c r="AH4" i="29"/>
  <c r="AJ4" i="29"/>
  <c r="AN4" i="29"/>
  <c r="AN4" i="27" s="1"/>
  <c r="AE4" i="30"/>
  <c r="AE7" i="30" s="1"/>
  <c r="AE9" i="30" s="1"/>
  <c r="AH4" i="30"/>
  <c r="AH7" i="30" s="1"/>
  <c r="AH9" i="30" s="1"/>
  <c r="AK4" i="30"/>
  <c r="AK7" i="30" s="1"/>
  <c r="AK9" i="30" s="1"/>
  <c r="AL4" i="30"/>
  <c r="AL7" i="30" s="1"/>
  <c r="AL9" i="30" s="1"/>
  <c r="AO4" i="30"/>
  <c r="AO7" i="30" s="1"/>
  <c r="AO9" i="30" s="1"/>
  <c r="AF4" i="30"/>
  <c r="AF7" i="30" s="1"/>
  <c r="AF9" i="30" s="1"/>
  <c r="AI4" i="30"/>
  <c r="AI7" i="30" s="1"/>
  <c r="AI9" i="30" s="1"/>
  <c r="AN4" i="30"/>
  <c r="AN7" i="30" s="1"/>
  <c r="AN9" i="30" s="1"/>
  <c r="AD4" i="30"/>
  <c r="AD7" i="30" s="1"/>
  <c r="AG4" i="30"/>
  <c r="AG7" i="30" s="1"/>
  <c r="AG9" i="30" s="1"/>
  <c r="AJ4" i="30"/>
  <c r="AJ7" i="30" s="1"/>
  <c r="AJ9" i="30" s="1"/>
  <c r="AM4" i="30"/>
  <c r="AM7" i="30" s="1"/>
  <c r="AM9" i="30" s="1"/>
  <c r="AF4" i="31"/>
  <c r="AF7" i="31" s="1"/>
  <c r="AF9" i="31" s="1"/>
  <c r="AI4" i="31"/>
  <c r="AI7" i="31" s="1"/>
  <c r="AI9" i="31" s="1"/>
  <c r="AK4" i="31"/>
  <c r="AK7" i="31" s="1"/>
  <c r="AK9" i="31" s="1"/>
  <c r="AN4" i="31"/>
  <c r="AN7" i="31" s="1"/>
  <c r="AN9" i="31" s="1"/>
  <c r="AE4" i="31"/>
  <c r="AE7" i="31" s="1"/>
  <c r="AE9" i="31" s="1"/>
  <c r="AH4" i="31"/>
  <c r="AH7" i="31" s="1"/>
  <c r="AH9" i="31" s="1"/>
  <c r="AL4" i="31"/>
  <c r="AL7" i="31" s="1"/>
  <c r="AL9" i="31" s="1"/>
  <c r="AM4" i="31"/>
  <c r="AM7" i="31" s="1"/>
  <c r="AM9" i="31" s="1"/>
  <c r="AD4" i="31"/>
  <c r="AD7" i="31" s="1"/>
  <c r="AG4" i="31"/>
  <c r="AG7" i="31" s="1"/>
  <c r="AG9" i="31" s="1"/>
  <c r="AJ4" i="31"/>
  <c r="AJ7" i="31" s="1"/>
  <c r="AJ9" i="31" s="1"/>
  <c r="AO4" i="31"/>
  <c r="AO7" i="31" s="1"/>
  <c r="AO9" i="31" s="1"/>
  <c r="AD4" i="28"/>
  <c r="AG4" i="28"/>
  <c r="AI4" i="28"/>
  <c r="AM4" i="28"/>
  <c r="AF4" i="28"/>
  <c r="AJ4" i="28"/>
  <c r="AL4" i="28"/>
  <c r="AO4" i="28"/>
  <c r="AE4" i="28"/>
  <c r="AH4" i="28"/>
  <c r="AK4" i="28"/>
  <c r="AN4" i="28"/>
  <c r="U24" i="21"/>
  <c r="L10" i="20"/>
  <c r="L15" i="9"/>
  <c r="L14" i="9"/>
  <c r="L16" i="9"/>
  <c r="U10" i="9"/>
  <c r="U8" i="10"/>
  <c r="L8" i="14"/>
  <c r="M8" i="14"/>
  <c r="M10" i="14" s="1"/>
  <c r="AB91" i="27"/>
  <c r="AB84" i="27"/>
  <c r="AC10" i="27"/>
  <c r="AC12" i="27" s="1"/>
  <c r="AC14" i="27"/>
  <c r="S4" i="27"/>
  <c r="S7" i="29"/>
  <c r="S9" i="29" s="1"/>
  <c r="Y84" i="27"/>
  <c r="Y91" i="27"/>
  <c r="R7" i="29"/>
  <c r="R9" i="29" s="1"/>
  <c r="R4" i="27"/>
  <c r="U7" i="29"/>
  <c r="U9" i="29" s="1"/>
  <c r="U4" i="27"/>
  <c r="X84" i="27"/>
  <c r="X91" i="27"/>
  <c r="AA84" i="27"/>
  <c r="AA91" i="27"/>
  <c r="Q4" i="27"/>
  <c r="Q7" i="29"/>
  <c r="Q9" i="29" s="1"/>
  <c r="T7" i="29"/>
  <c r="T9" i="29" s="1"/>
  <c r="T4" i="27"/>
  <c r="V7" i="29"/>
  <c r="V9" i="29" s="1"/>
  <c r="V4" i="27"/>
  <c r="Z91" i="27"/>
  <c r="Z84" i="27"/>
  <c r="R15" i="30"/>
  <c r="R11" i="30"/>
  <c r="R13" i="30" s="1"/>
  <c r="U15" i="30"/>
  <c r="U11" i="30"/>
  <c r="U13" i="30" s="1"/>
  <c r="W11" i="30"/>
  <c r="W13" i="30" s="1"/>
  <c r="W15" i="30"/>
  <c r="X11" i="30"/>
  <c r="X13" i="30" s="1"/>
  <c r="X15" i="30"/>
  <c r="AA11" i="30"/>
  <c r="AA13" i="30" s="1"/>
  <c r="AA15" i="30"/>
  <c r="S15" i="30"/>
  <c r="S11" i="30"/>
  <c r="S13" i="30" s="1"/>
  <c r="Z11" i="30"/>
  <c r="Z13" i="30" s="1"/>
  <c r="Z15" i="30"/>
  <c r="AC7" i="30"/>
  <c r="Q9" i="30"/>
  <c r="T11" i="30"/>
  <c r="T13" i="30" s="1"/>
  <c r="T15" i="30"/>
  <c r="V15" i="30"/>
  <c r="V11" i="30"/>
  <c r="V13" i="30" s="1"/>
  <c r="Y11" i="30"/>
  <c r="Y13" i="30" s="1"/>
  <c r="Y15" i="30"/>
  <c r="AB15" i="30"/>
  <c r="AB11" i="30"/>
  <c r="AB13" i="30" s="1"/>
  <c r="AB11" i="31"/>
  <c r="AB13" i="31" s="1"/>
  <c r="AB15" i="31"/>
  <c r="Y11" i="31"/>
  <c r="Y13" i="31" s="1"/>
  <c r="Y15" i="31"/>
  <c r="Z11" i="31"/>
  <c r="Z13" i="31" s="1"/>
  <c r="Z15" i="31"/>
  <c r="AC7" i="31"/>
  <c r="W9" i="31"/>
  <c r="X15" i="31"/>
  <c r="X11" i="31"/>
  <c r="X13" i="31" s="1"/>
  <c r="AA15" i="31"/>
  <c r="AA11" i="31"/>
  <c r="AA13" i="31" s="1"/>
  <c r="R47" i="28"/>
  <c r="R104" i="28" s="1"/>
  <c r="R54" i="28"/>
  <c r="R111" i="28" s="1"/>
  <c r="R7" i="28"/>
  <c r="R9" i="28" s="1"/>
  <c r="U47" i="28"/>
  <c r="U104" i="28" s="1"/>
  <c r="U54" i="28"/>
  <c r="U111" i="28" s="1"/>
  <c r="U7" i="28"/>
  <c r="U9" i="28" s="1"/>
  <c r="Z7" i="28"/>
  <c r="Z9" i="28" s="1"/>
  <c r="AA7" i="28"/>
  <c r="AA9" i="28" s="1"/>
  <c r="T7" i="28"/>
  <c r="T9" i="28" s="1"/>
  <c r="T54" i="28"/>
  <c r="T111" i="28" s="1"/>
  <c r="T47" i="28"/>
  <c r="T104" i="28" s="1"/>
  <c r="V47" i="28"/>
  <c r="V104" i="28" s="1"/>
  <c r="V54" i="28"/>
  <c r="V111" i="28" s="1"/>
  <c r="V7" i="28"/>
  <c r="V9" i="28" s="1"/>
  <c r="X7" i="28"/>
  <c r="X9" i="28" s="1"/>
  <c r="AB7" i="28"/>
  <c r="AB9" i="28" s="1"/>
  <c r="Q7" i="28"/>
  <c r="Q54" i="28"/>
  <c r="Q111" i="28" s="1"/>
  <c r="Q47" i="28"/>
  <c r="Q104" i="28" s="1"/>
  <c r="S47" i="28"/>
  <c r="S104" i="28" s="1"/>
  <c r="S54" i="28"/>
  <c r="S111" i="28" s="1"/>
  <c r="S7" i="28"/>
  <c r="S9" i="28" s="1"/>
  <c r="W7" i="28"/>
  <c r="W9" i="28" s="1"/>
  <c r="W49" i="28" s="1"/>
  <c r="W106" i="28" s="1"/>
  <c r="Y7" i="28"/>
  <c r="Y9" i="28" s="1"/>
  <c r="J25" i="20"/>
  <c r="T25" i="20" s="1"/>
  <c r="T10" i="20"/>
  <c r="J16" i="20"/>
  <c r="T16" i="20" s="1"/>
  <c r="J66" i="20"/>
  <c r="T66" i="20" s="1"/>
  <c r="J59" i="20"/>
  <c r="J79" i="20"/>
  <c r="T79" i="20" s="1"/>
  <c r="T8" i="14"/>
  <c r="J10" i="14"/>
  <c r="K9" i="20"/>
  <c r="K10" i="9"/>
  <c r="K22" i="21"/>
  <c r="K24" i="21"/>
  <c r="D6" i="32"/>
  <c r="D8" i="32" s="1"/>
  <c r="D10" i="32"/>
  <c r="D13" i="32" s="1"/>
  <c r="E10" i="32"/>
  <c r="E6" i="32"/>
  <c r="E8" i="32" s="1"/>
  <c r="K84" i="27"/>
  <c r="K6" i="27"/>
  <c r="K91" i="27"/>
  <c r="G10" i="32"/>
  <c r="G6" i="32"/>
  <c r="G8" i="32" s="1"/>
  <c r="J84" i="27"/>
  <c r="J6" i="27"/>
  <c r="J91" i="27"/>
  <c r="M6" i="27"/>
  <c r="M84" i="27"/>
  <c r="M91" i="27"/>
  <c r="F10" i="32"/>
  <c r="F6" i="32"/>
  <c r="F8" i="32" s="1"/>
  <c r="I84" i="27"/>
  <c r="I6" i="27"/>
  <c r="I8" i="27" s="1"/>
  <c r="I91" i="27"/>
  <c r="L84" i="27"/>
  <c r="L91" i="27"/>
  <c r="L6" i="27"/>
  <c r="N84" i="27"/>
  <c r="N91" i="27"/>
  <c r="N6" i="27"/>
  <c r="P9" i="30"/>
  <c r="D11" i="30"/>
  <c r="D15" i="30"/>
  <c r="P15" i="30" s="1"/>
  <c r="D18" i="30"/>
  <c r="P9" i="31"/>
  <c r="D11" i="31"/>
  <c r="D15" i="31"/>
  <c r="P15" i="31" s="1"/>
  <c r="D18" i="31"/>
  <c r="P9" i="28"/>
  <c r="J11" i="28"/>
  <c r="H12" i="14"/>
  <c r="H46" i="14" s="1"/>
  <c r="H49" i="14"/>
  <c r="O6" i="27"/>
  <c r="O91" i="27"/>
  <c r="O84" i="27"/>
  <c r="H122" i="10"/>
  <c r="H123" i="10"/>
  <c r="H129" i="10" s="1"/>
  <c r="H132" i="10" s="1"/>
  <c r="H78" i="10"/>
  <c r="H79" i="10"/>
  <c r="H85" i="10" s="1"/>
  <c r="BU94" i="28"/>
  <c r="H110" i="34" s="1"/>
  <c r="H109" i="34" s="1"/>
  <c r="BU95" i="28"/>
  <c r="M15" i="9"/>
  <c r="M16" i="9"/>
  <c r="M14" i="9"/>
  <c r="W4" i="27"/>
  <c r="W7" i="29"/>
  <c r="W54" i="28"/>
  <c r="W111" i="28" s="1"/>
  <c r="W47" i="28"/>
  <c r="W104" i="28" s="1"/>
  <c r="D22" i="29"/>
  <c r="D20" i="29"/>
  <c r="D17" i="27"/>
  <c r="E17" i="29"/>
  <c r="E18" i="29" s="1"/>
  <c r="I11" i="29"/>
  <c r="I13" i="29" s="1"/>
  <c r="I15" i="29"/>
  <c r="I3" i="32"/>
  <c r="J48" i="28"/>
  <c r="J105" i="28" s="1"/>
  <c r="J49" i="28"/>
  <c r="J106" i="28" s="1"/>
  <c r="W14" i="21"/>
  <c r="P15" i="21"/>
  <c r="W15" i="21" s="1"/>
  <c r="J115" i="10"/>
  <c r="J117" i="10" s="1"/>
  <c r="T16" i="9"/>
  <c r="J21" i="9"/>
  <c r="T21" i="9" s="1"/>
  <c r="J71" i="10"/>
  <c r="J73" i="10" s="1"/>
  <c r="J20" i="9"/>
  <c r="T15" i="9"/>
  <c r="J21" i="6"/>
  <c r="J23" i="6" s="1"/>
  <c r="J27" i="10"/>
  <c r="J29" i="10" s="1"/>
  <c r="T14" i="9"/>
  <c r="S20" i="9"/>
  <c r="H19" i="9"/>
  <c r="X6" i="29"/>
  <c r="W5" i="27"/>
  <c r="AK6" i="29"/>
  <c r="AJ5" i="27"/>
  <c r="AX6" i="29"/>
  <c r="AW5" i="27"/>
  <c r="BK6" i="29"/>
  <c r="BJ5" i="27"/>
  <c r="H6" i="32"/>
  <c r="H8" i="32" s="1"/>
  <c r="H10" i="32"/>
  <c r="K8" i="29"/>
  <c r="J7" i="27"/>
  <c r="H12" i="27"/>
  <c r="H93" i="27" s="1"/>
  <c r="H92" i="27"/>
  <c r="BE25" i="31"/>
  <c r="BE41" i="31" s="1"/>
  <c r="BE79" i="31" s="1"/>
  <c r="BE77" i="31" s="1"/>
  <c r="BE25" i="30"/>
  <c r="BE41" i="30" s="1"/>
  <c r="BE79" i="30" s="1"/>
  <c r="BE77" i="30" s="1"/>
  <c r="AR78" i="31"/>
  <c r="AQ77" i="31"/>
  <c r="T78" i="31"/>
  <c r="S77" i="31"/>
  <c r="K15" i="27"/>
  <c r="K11" i="32"/>
  <c r="L16" i="29"/>
  <c r="BD77" i="31"/>
  <c r="BH64" i="28"/>
  <c r="AU64" i="28"/>
  <c r="BJ41" i="32"/>
  <c r="BG43" i="32"/>
  <c r="BH42" i="32"/>
  <c r="AU43" i="32"/>
  <c r="AV42" i="32"/>
  <c r="AI43" i="32"/>
  <c r="AJ42" i="32"/>
  <c r="BG46" i="32"/>
  <c r="BH45" i="32"/>
  <c r="AV45" i="32"/>
  <c r="AU46" i="32"/>
  <c r="AJ45" i="32"/>
  <c r="AI46" i="32"/>
  <c r="BG37" i="32"/>
  <c r="BG36" i="32" s="1"/>
  <c r="BH47" i="32"/>
  <c r="AU37" i="32"/>
  <c r="AU36" i="32" s="1"/>
  <c r="AV47" i="32"/>
  <c r="BI8" i="31"/>
  <c r="BI8" i="30"/>
  <c r="AJ8" i="29"/>
  <c r="AI7" i="27"/>
  <c r="BS103" i="28"/>
  <c r="BD38" i="35"/>
  <c r="BD4" i="35" s="1"/>
  <c r="BG38" i="35"/>
  <c r="BG4" i="35" s="1"/>
  <c r="BM38" i="35"/>
  <c r="BH38" i="35"/>
  <c r="BH4" i="35" s="1"/>
  <c r="BO38" i="35"/>
  <c r="BJ38" i="35"/>
  <c r="BN38" i="35"/>
  <c r="BI38" i="35"/>
  <c r="BE38" i="35"/>
  <c r="BE4" i="35" s="1"/>
  <c r="BK38" i="35"/>
  <c r="E116" i="28"/>
  <c r="F59" i="28"/>
  <c r="E60" i="28"/>
  <c r="BI24" i="35"/>
  <c r="BJ92" i="35"/>
  <c r="AU4" i="35"/>
  <c r="AV24" i="35"/>
  <c r="AW92" i="35"/>
  <c r="BL75" i="35"/>
  <c r="BM76" i="35"/>
  <c r="BK23" i="35"/>
  <c r="AZ76" i="35"/>
  <c r="AY75" i="35"/>
  <c r="AX23" i="35"/>
  <c r="AM76" i="35"/>
  <c r="AL75" i="35"/>
  <c r="AK23" i="35"/>
  <c r="AK24" i="35"/>
  <c r="X23" i="35"/>
  <c r="X24" i="35"/>
  <c r="Y75" i="35"/>
  <c r="Z76" i="35"/>
  <c r="W4" i="35"/>
  <c r="L75" i="35"/>
  <c r="M76" i="35"/>
  <c r="K24" i="35"/>
  <c r="K23" i="35"/>
  <c r="J4" i="35"/>
  <c r="BP5" i="35"/>
  <c r="BP98" i="35" s="1"/>
  <c r="BF38" i="35"/>
  <c r="BF4" i="35" s="1"/>
  <c r="BL38" i="35"/>
  <c r="AJ4" i="35"/>
  <c r="BP22" i="35"/>
  <c r="F24" i="34"/>
  <c r="BF105" i="27"/>
  <c r="BZ38" i="35"/>
  <c r="CA38" i="35"/>
  <c r="N22" i="24"/>
  <c r="N26" i="24" s="1"/>
  <c r="N28" i="24" s="1"/>
  <c r="N39" i="24"/>
  <c r="O51" i="24"/>
  <c r="O79" i="34" s="1"/>
  <c r="O52" i="24"/>
  <c r="O54" i="24" s="1"/>
  <c r="J33" i="34"/>
  <c r="T33" i="34" s="1"/>
  <c r="J44" i="24"/>
  <c r="K31" i="24"/>
  <c r="K81" i="20" s="1"/>
  <c r="K42" i="24"/>
  <c r="K43" i="24"/>
  <c r="K36" i="34" s="1"/>
  <c r="K47" i="24"/>
  <c r="N87" i="20"/>
  <c r="V87" i="20" s="1"/>
  <c r="N69" i="34"/>
  <c r="V69" i="34" s="1"/>
  <c r="V79" i="34"/>
  <c r="K44" i="24"/>
  <c r="K33" i="34"/>
  <c r="U25" i="30"/>
  <c r="U41" i="30" s="1"/>
  <c r="U79" i="30" s="1"/>
  <c r="U77" i="30" s="1"/>
  <c r="U25" i="31"/>
  <c r="U41" i="31" s="1"/>
  <c r="U79" i="31" s="1"/>
  <c r="V27" i="31"/>
  <c r="V43" i="31" s="1"/>
  <c r="V27" i="30"/>
  <c r="V43" i="30" s="1"/>
  <c r="V105" i="27"/>
  <c r="W107" i="27"/>
  <c r="W10" i="29"/>
  <c r="V9" i="27"/>
  <c r="V5" i="32"/>
  <c r="AH9" i="27"/>
  <c r="AI10" i="29"/>
  <c r="AH5" i="32"/>
  <c r="AT9" i="27"/>
  <c r="AT5" i="32"/>
  <c r="AU10" i="29"/>
  <c r="BG10" i="29"/>
  <c r="BF5" i="32"/>
  <c r="BF9" i="27"/>
  <c r="AU12" i="29"/>
  <c r="AT11" i="27"/>
  <c r="AT7" i="32"/>
  <c r="BG12" i="29"/>
  <c r="BF7" i="32"/>
  <c r="BF11" i="27"/>
  <c r="AI12" i="29"/>
  <c r="AH11" i="27"/>
  <c r="AH7" i="32"/>
  <c r="W12" i="29"/>
  <c r="V11" i="27"/>
  <c r="V7" i="32"/>
  <c r="J24" i="31"/>
  <c r="J40" i="31" s="1"/>
  <c r="J24" i="30"/>
  <c r="J40" i="30" s="1"/>
  <c r="K23" i="30"/>
  <c r="K39" i="30" s="1"/>
  <c r="K23" i="31"/>
  <c r="K39" i="31" s="1"/>
  <c r="K104" i="27"/>
  <c r="L103" i="27"/>
  <c r="AY24" i="31"/>
  <c r="AY40" i="31" s="1"/>
  <c r="AY24" i="30"/>
  <c r="AY40" i="30" s="1"/>
  <c r="AZ104" i="27"/>
  <c r="AZ23" i="31"/>
  <c r="AZ39" i="31" s="1"/>
  <c r="AZ23" i="30"/>
  <c r="AZ39" i="30" s="1"/>
  <c r="BA103" i="27"/>
  <c r="BG24" i="31"/>
  <c r="BG40" i="31" s="1"/>
  <c r="BG24" i="30"/>
  <c r="BG40" i="30" s="1"/>
  <c r="BH23" i="30"/>
  <c r="BH39" i="30" s="1"/>
  <c r="BH104" i="27"/>
  <c r="BH23" i="31"/>
  <c r="BH39" i="31" s="1"/>
  <c r="BI103" i="27"/>
  <c r="AV26" i="30"/>
  <c r="AV42" i="30" s="1"/>
  <c r="AV26" i="31"/>
  <c r="AV42" i="31" s="1"/>
  <c r="AW106" i="27"/>
  <c r="BG26" i="31"/>
  <c r="BG42" i="31" s="1"/>
  <c r="BG26" i="30"/>
  <c r="BG42" i="30" s="1"/>
  <c r="BH106" i="27"/>
  <c r="AG25" i="31"/>
  <c r="AG41" i="31" s="1"/>
  <c r="AG79" i="31" s="1"/>
  <c r="AG77" i="31" s="1"/>
  <c r="AG25" i="30"/>
  <c r="AG41" i="30" s="1"/>
  <c r="AG79" i="30" s="1"/>
  <c r="AG77" i="30" s="1"/>
  <c r="AH105" i="27"/>
  <c r="AH27" i="31"/>
  <c r="AH43" i="31" s="1"/>
  <c r="AH27" i="30"/>
  <c r="AH43" i="30" s="1"/>
  <c r="AI107" i="27"/>
  <c r="AS25" i="30"/>
  <c r="AS41" i="30" s="1"/>
  <c r="AS79" i="30" s="1"/>
  <c r="AS77" i="30" s="1"/>
  <c r="AS25" i="31"/>
  <c r="AS41" i="31" s="1"/>
  <c r="AS79" i="31" s="1"/>
  <c r="AT105" i="27"/>
  <c r="AT27" i="31"/>
  <c r="AT43" i="31" s="1"/>
  <c r="AT27" i="30"/>
  <c r="AT43" i="30" s="1"/>
  <c r="AU107" i="27"/>
  <c r="BF27" i="30"/>
  <c r="BF43" i="30" s="1"/>
  <c r="BF27" i="31"/>
  <c r="BF43" i="31" s="1"/>
  <c r="BG107" i="27"/>
  <c r="AH28" i="30"/>
  <c r="AH44" i="30" s="1"/>
  <c r="AH28" i="31"/>
  <c r="AH44" i="31" s="1"/>
  <c r="AI108" i="27"/>
  <c r="AT28" i="31"/>
  <c r="AT44" i="31" s="1"/>
  <c r="AT28" i="30"/>
  <c r="AT44" i="30" s="1"/>
  <c r="AU108" i="27"/>
  <c r="BF28" i="30"/>
  <c r="BF44" i="30" s="1"/>
  <c r="BF28" i="31"/>
  <c r="BF44" i="31" s="1"/>
  <c r="BG108" i="27"/>
  <c r="AI24" i="31"/>
  <c r="AI40" i="31" s="1"/>
  <c r="AI24" i="30"/>
  <c r="AI40" i="30" s="1"/>
  <c r="AJ23" i="30"/>
  <c r="AJ39" i="30" s="1"/>
  <c r="AJ23" i="31"/>
  <c r="AJ39" i="31" s="1"/>
  <c r="AJ104" i="27"/>
  <c r="AK103" i="27"/>
  <c r="AJ26" i="31"/>
  <c r="AJ42" i="31" s="1"/>
  <c r="AJ26" i="30"/>
  <c r="AJ42" i="30" s="1"/>
  <c r="AK106" i="27"/>
  <c r="BI10" i="31"/>
  <c r="BI10" i="30"/>
  <c r="F90" i="34"/>
  <c r="F103" i="34" s="1"/>
  <c r="E123" i="34"/>
  <c r="I36" i="28"/>
  <c r="I92" i="28"/>
  <c r="BS92" i="28" s="1"/>
  <c r="F105" i="34" s="1"/>
  <c r="H44" i="28"/>
  <c r="H93" i="28"/>
  <c r="G10" i="10"/>
  <c r="BG81" i="30"/>
  <c r="AU81" i="30"/>
  <c r="G77" i="10"/>
  <c r="G84" i="10"/>
  <c r="G88" i="10"/>
  <c r="G132" i="10"/>
  <c r="G121" i="10"/>
  <c r="G128" i="10"/>
  <c r="G19" i="14"/>
  <c r="G21" i="14"/>
  <c r="G40" i="10"/>
  <c r="G33" i="10"/>
  <c r="M38" i="32"/>
  <c r="L39" i="32"/>
  <c r="Y39" i="32"/>
  <c r="Z38" i="32"/>
  <c r="AL39" i="32"/>
  <c r="AM38" i="32"/>
  <c r="AY39" i="32"/>
  <c r="AZ38" i="32"/>
  <c r="BM38" i="32"/>
  <c r="BL39" i="32"/>
  <c r="L37" i="32"/>
  <c r="L36" i="32" s="1"/>
  <c r="M40" i="32"/>
  <c r="X40" i="32"/>
  <c r="W37" i="32"/>
  <c r="W36" i="32" s="1"/>
  <c r="AK40" i="32"/>
  <c r="AJ37" i="32"/>
  <c r="AJ36" i="32" s="1"/>
  <c r="AX40" i="32"/>
  <c r="BK40" i="32"/>
  <c r="Y41" i="32"/>
  <c r="X43" i="32"/>
  <c r="AL41" i="32"/>
  <c r="AY41" i="32"/>
  <c r="L43" i="32"/>
  <c r="M42" i="32"/>
  <c r="X46" i="32"/>
  <c r="Y45" i="32"/>
  <c r="M50" i="32"/>
  <c r="Y50" i="32"/>
  <c r="AL50" i="32"/>
  <c r="AY50" i="32"/>
  <c r="BL50" i="32"/>
  <c r="N52" i="32"/>
  <c r="Y52" i="32"/>
  <c r="AL52" i="32"/>
  <c r="AY52" i="32"/>
  <c r="BL52" i="32"/>
  <c r="Y75" i="31"/>
  <c r="AL75" i="31"/>
  <c r="AY75" i="31"/>
  <c r="BL75" i="31"/>
  <c r="K79" i="31"/>
  <c r="L80" i="31"/>
  <c r="X80" i="31"/>
  <c r="AK80" i="31"/>
  <c r="AX80" i="31"/>
  <c r="BK80" i="31"/>
  <c r="AH78" i="31"/>
  <c r="BG78" i="31"/>
  <c r="M75" i="30"/>
  <c r="Y75" i="30"/>
  <c r="AL75" i="30"/>
  <c r="AY75" i="30"/>
  <c r="BL75" i="30"/>
  <c r="K80" i="30"/>
  <c r="J79" i="30"/>
  <c r="X80" i="30"/>
  <c r="AK80" i="30"/>
  <c r="AX80" i="30"/>
  <c r="BK80" i="30"/>
  <c r="BG78" i="30"/>
  <c r="AT78" i="30"/>
  <c r="AH78" i="30"/>
  <c r="V78" i="30"/>
  <c r="J78" i="30"/>
  <c r="I77" i="30"/>
  <c r="K9" i="27"/>
  <c r="K5" i="32"/>
  <c r="L10" i="29"/>
  <c r="K7" i="32"/>
  <c r="K11" i="27"/>
  <c r="L12" i="29"/>
  <c r="J9" i="32"/>
  <c r="J13" i="27"/>
  <c r="K14" i="29"/>
  <c r="W9" i="32"/>
  <c r="W13" i="27"/>
  <c r="X14" i="29"/>
  <c r="AJ9" i="32"/>
  <c r="AJ13" i="27"/>
  <c r="AK14" i="29"/>
  <c r="AW9" i="32"/>
  <c r="AW13" i="27"/>
  <c r="AX14" i="29"/>
  <c r="BJ9" i="32"/>
  <c r="BJ13" i="27"/>
  <c r="BK14" i="29"/>
  <c r="Y33" i="29"/>
  <c r="AL33" i="29"/>
  <c r="AY33" i="29"/>
  <c r="BL33" i="29"/>
  <c r="K54" i="28"/>
  <c r="K111" i="28" s="1"/>
  <c r="L64" i="28"/>
  <c r="Y64" i="28"/>
  <c r="X54" i="28"/>
  <c r="X111" i="28" s="1"/>
  <c r="AL64" i="28"/>
  <c r="L65" i="28"/>
  <c r="K47" i="28"/>
  <c r="K104" i="28" s="1"/>
  <c r="Y65" i="28"/>
  <c r="X47" i="28"/>
  <c r="X104" i="28" s="1"/>
  <c r="AL65" i="28"/>
  <c r="AY65" i="28"/>
  <c r="BL65" i="28"/>
  <c r="K48" i="28"/>
  <c r="K105" i="28" s="1"/>
  <c r="L68" i="28"/>
  <c r="L71" i="28"/>
  <c r="K49" i="28"/>
  <c r="K106" i="28" s="1"/>
  <c r="Y71" i="28"/>
  <c r="AL71" i="28"/>
  <c r="AY71" i="28"/>
  <c r="BL71" i="28"/>
  <c r="L41" i="28"/>
  <c r="L98" i="28" s="1"/>
  <c r="M74" i="28"/>
  <c r="L76" i="28"/>
  <c r="Y76" i="28"/>
  <c r="AL76" i="28"/>
  <c r="AY76" i="28"/>
  <c r="BL76" i="28"/>
  <c r="L78" i="28"/>
  <c r="Y78" i="28"/>
  <c r="AL78" i="28"/>
  <c r="AY78" i="28"/>
  <c r="BL78" i="28"/>
  <c r="Y133" i="27"/>
  <c r="AL133" i="27"/>
  <c r="AY133" i="27"/>
  <c r="BL133" i="27"/>
  <c r="L84" i="31"/>
  <c r="AB84" i="31"/>
  <c r="AO84" i="31"/>
  <c r="BL84" i="31"/>
  <c r="L84" i="30"/>
  <c r="Y84" i="30"/>
  <c r="AN84" i="30"/>
  <c r="AZ84" i="30"/>
  <c r="BL84" i="30"/>
  <c r="M32" i="29"/>
  <c r="Y32" i="29"/>
  <c r="G58" i="28"/>
  <c r="G115" i="28" s="1"/>
  <c r="I57" i="28"/>
  <c r="I114" i="28" s="1"/>
  <c r="BS114" i="28" s="1"/>
  <c r="J155" i="23"/>
  <c r="G38" i="6"/>
  <c r="G179" i="6" s="1"/>
  <c r="G36" i="6"/>
  <c r="G178" i="6" s="1"/>
  <c r="G46" i="6"/>
  <c r="G181" i="6"/>
  <c r="G45" i="6"/>
  <c r="G58" i="6"/>
  <c r="G176" i="6"/>
  <c r="G29" i="6"/>
  <c r="G30" i="6" s="1"/>
  <c r="H9" i="10"/>
  <c r="H35" i="10"/>
  <c r="H41" i="10" s="1"/>
  <c r="H44" i="10" s="1"/>
  <c r="H34" i="10"/>
  <c r="I123" i="10"/>
  <c r="I129" i="10" s="1"/>
  <c r="I122" i="10"/>
  <c r="I77" i="10"/>
  <c r="I84" i="10"/>
  <c r="I9" i="10"/>
  <c r="P8" i="14"/>
  <c r="W8" i="14" s="1"/>
  <c r="W8" i="10"/>
  <c r="P211" i="23"/>
  <c r="P218" i="23"/>
  <c r="P221" i="23"/>
  <c r="P214" i="23"/>
  <c r="P207" i="23"/>
  <c r="P101" i="20"/>
  <c r="W101" i="20" s="1"/>
  <c r="P191" i="23"/>
  <c r="P186" i="23"/>
  <c r="P189" i="23" s="1"/>
  <c r="P113" i="20"/>
  <c r="W61" i="23"/>
  <c r="P63" i="23"/>
  <c r="P65" i="23" s="1"/>
  <c r="P67" i="23" s="1"/>
  <c r="P106" i="20" s="1"/>
  <c r="O20" i="24"/>
  <c r="O80" i="20"/>
  <c r="O64" i="24"/>
  <c r="O65" i="24" s="1"/>
  <c r="O86" i="20"/>
  <c r="P64" i="24"/>
  <c r="P65" i="24" s="1"/>
  <c r="P86" i="20"/>
  <c r="P20" i="24"/>
  <c r="P80" i="20"/>
  <c r="I59" i="24"/>
  <c r="I56" i="24"/>
  <c r="M29" i="24"/>
  <c r="M51" i="25" s="1"/>
  <c r="M40" i="24"/>
  <c r="P52" i="24"/>
  <c r="P54" i="24" s="1"/>
  <c r="P51" i="24"/>
  <c r="P79" i="34" s="1"/>
  <c r="O22" i="24"/>
  <c r="O26" i="24" s="1"/>
  <c r="O39" i="24"/>
  <c r="I58" i="24"/>
  <c r="M30" i="24"/>
  <c r="M47" i="24" s="1"/>
  <c r="P16" i="23"/>
  <c r="P35" i="23" s="1"/>
  <c r="P73" i="20"/>
  <c r="P49" i="23"/>
  <c r="P50" i="23"/>
  <c r="P52" i="23" s="1"/>
  <c r="P9" i="14"/>
  <c r="U58" i="20"/>
  <c r="O116" i="10"/>
  <c r="O72" i="10"/>
  <c r="I34" i="10"/>
  <c r="I40" i="10" s="1"/>
  <c r="I35" i="10"/>
  <c r="I41" i="10" s="1"/>
  <c r="P10" i="20"/>
  <c r="W24" i="21"/>
  <c r="I29" i="6"/>
  <c r="I30" i="6" s="1"/>
  <c r="I46" i="6"/>
  <c r="I181" i="6"/>
  <c r="I176" i="6"/>
  <c r="I45" i="6"/>
  <c r="I19" i="9"/>
  <c r="I22" i="9" s="1"/>
  <c r="F78" i="6"/>
  <c r="F75" i="6"/>
  <c r="F76" i="6"/>
  <c r="F82" i="6"/>
  <c r="E182" i="6"/>
  <c r="F182" i="6"/>
  <c r="E161" i="6"/>
  <c r="E160" i="6"/>
  <c r="F77" i="6"/>
  <c r="F84" i="6"/>
  <c r="F80" i="6"/>
  <c r="F158" i="6" s="1"/>
  <c r="F79" i="6"/>
  <c r="F83" i="6"/>
  <c r="F86" i="6"/>
  <c r="F81" i="6"/>
  <c r="F85" i="6"/>
  <c r="E134" i="6"/>
  <c r="E137" i="6"/>
  <c r="I34" i="6"/>
  <c r="H34" i="6"/>
  <c r="H25" i="6"/>
  <c r="H27" i="6" s="1"/>
  <c r="H46" i="6" s="1"/>
  <c r="F44" i="6"/>
  <c r="F41" i="6" s="1"/>
  <c r="E84" i="6"/>
  <c r="E80" i="6"/>
  <c r="E158" i="6" s="1"/>
  <c r="E82" i="6"/>
  <c r="E85" i="6"/>
  <c r="E76" i="6"/>
  <c r="E86" i="6"/>
  <c r="E75" i="6"/>
  <c r="E77" i="6"/>
  <c r="E83" i="6"/>
  <c r="E78" i="6"/>
  <c r="E79" i="6"/>
  <c r="E81" i="6"/>
  <c r="W10" i="9"/>
  <c r="P14" i="9"/>
  <c r="P15" i="9"/>
  <c r="P71" i="10" s="1"/>
  <c r="P16" i="9"/>
  <c r="P115" i="10" s="1"/>
  <c r="L46" i="32" l="1"/>
  <c r="M45" i="32"/>
  <c r="L47" i="24"/>
  <c r="L43" i="24"/>
  <c r="L36" i="34" s="1"/>
  <c r="L42" i="24"/>
  <c r="L31" i="24"/>
  <c r="L81" i="20" s="1"/>
  <c r="U81" i="20" s="1"/>
  <c r="I77" i="31"/>
  <c r="J78" i="31"/>
  <c r="J77" i="31" s="1"/>
  <c r="M25" i="20"/>
  <c r="M79" i="20"/>
  <c r="G11" i="10"/>
  <c r="G49" i="20" s="1"/>
  <c r="G48" i="20" s="1"/>
  <c r="M59" i="20"/>
  <c r="M61" i="20" s="1"/>
  <c r="M63" i="20" s="1"/>
  <c r="M16" i="20"/>
  <c r="T19" i="25"/>
  <c r="K19" i="25"/>
  <c r="L19" i="25" s="1"/>
  <c r="F116" i="28"/>
  <c r="BR116" i="28" s="1"/>
  <c r="F60" i="28"/>
  <c r="E117" i="28"/>
  <c r="E61" i="28"/>
  <c r="W9" i="29"/>
  <c r="W3" i="32" s="1"/>
  <c r="W10" i="32" s="1"/>
  <c r="K10" i="20"/>
  <c r="K25" i="20" s="1"/>
  <c r="K8" i="10"/>
  <c r="I86" i="27"/>
  <c r="BS86" i="27" s="1"/>
  <c r="I14" i="27"/>
  <c r="AV8" i="29"/>
  <c r="AU7" i="27"/>
  <c r="BH8" i="29"/>
  <c r="BG7" i="27"/>
  <c r="CC38" i="35"/>
  <c r="CB38" i="35"/>
  <c r="X8" i="29"/>
  <c r="W7" i="27"/>
  <c r="J11" i="29"/>
  <c r="J13" i="29" s="1"/>
  <c r="J15" i="29"/>
  <c r="J3" i="32"/>
  <c r="I10" i="27"/>
  <c r="I85" i="27"/>
  <c r="BS85" i="27" s="1"/>
  <c r="W6" i="27"/>
  <c r="W8" i="27" s="1"/>
  <c r="J8" i="27"/>
  <c r="J14" i="27" s="1"/>
  <c r="W11" i="29"/>
  <c r="W13" i="29" s="1"/>
  <c r="I92" i="27"/>
  <c r="BS92" i="27" s="1"/>
  <c r="I12" i="27"/>
  <c r="I93" i="27" s="1"/>
  <c r="BS93" i="27" s="1"/>
  <c r="I88" i="10"/>
  <c r="H88" i="10"/>
  <c r="BE4" i="29"/>
  <c r="BG4" i="29"/>
  <c r="BK4" i="29"/>
  <c r="BN4" i="29"/>
  <c r="BN4" i="27" s="1"/>
  <c r="BP4" i="27"/>
  <c r="BP6" i="27" s="1"/>
  <c r="BP8" i="27" s="1"/>
  <c r="BF4" i="29"/>
  <c r="BI4" i="29"/>
  <c r="BL4" i="29"/>
  <c r="BO4" i="29"/>
  <c r="BO4" i="27" s="1"/>
  <c r="BD4" i="29"/>
  <c r="BH4" i="29"/>
  <c r="BJ4" i="29"/>
  <c r="BM4" i="29"/>
  <c r="BM4" i="27" s="1"/>
  <c r="BN4" i="30"/>
  <c r="BN7" i="30" s="1"/>
  <c r="BM4" i="30"/>
  <c r="BM7" i="30" s="1"/>
  <c r="BL4" i="30"/>
  <c r="BL7" i="30" s="1"/>
  <c r="BK4" i="30"/>
  <c r="BK7" i="30" s="1"/>
  <c r="BO4" i="30"/>
  <c r="BO7" i="30" s="1"/>
  <c r="BE4" i="30"/>
  <c r="BE7" i="30" s="1"/>
  <c r="BE9" i="30" s="1"/>
  <c r="BG4" i="30"/>
  <c r="BG7" i="30" s="1"/>
  <c r="BG9" i="30" s="1"/>
  <c r="BJ4" i="30"/>
  <c r="BJ7" i="30" s="1"/>
  <c r="BH4" i="30"/>
  <c r="BH7" i="30" s="1"/>
  <c r="BH9" i="30" s="1"/>
  <c r="BD4" i="30"/>
  <c r="BD7" i="30" s="1"/>
  <c r="BF4" i="30"/>
  <c r="BF7" i="30" s="1"/>
  <c r="BF9" i="30" s="1"/>
  <c r="BI4" i="30"/>
  <c r="BI7" i="30" s="1"/>
  <c r="BI9" i="30" s="1"/>
  <c r="BI11" i="30" s="1"/>
  <c r="BI13" i="30" s="1"/>
  <c r="BF4" i="31"/>
  <c r="BF7" i="31" s="1"/>
  <c r="BF9" i="31" s="1"/>
  <c r="BI4" i="31"/>
  <c r="BI7" i="31" s="1"/>
  <c r="BI9" i="31" s="1"/>
  <c r="BI11" i="31" s="1"/>
  <c r="BI13" i="31" s="1"/>
  <c r="BL4" i="31"/>
  <c r="BL7" i="31" s="1"/>
  <c r="BD4" i="31"/>
  <c r="BD7" i="31" s="1"/>
  <c r="BH4" i="31"/>
  <c r="BH7" i="31" s="1"/>
  <c r="BH9" i="31" s="1"/>
  <c r="BK4" i="31"/>
  <c r="BK7" i="31" s="1"/>
  <c r="BN4" i="31"/>
  <c r="BN7" i="31" s="1"/>
  <c r="BE4" i="31"/>
  <c r="BE7" i="31" s="1"/>
  <c r="BE9" i="31" s="1"/>
  <c r="BG4" i="31"/>
  <c r="BG7" i="31" s="1"/>
  <c r="BG9" i="31" s="1"/>
  <c r="BJ4" i="31"/>
  <c r="BJ7" i="31" s="1"/>
  <c r="BM4" i="31"/>
  <c r="BM7" i="31" s="1"/>
  <c r="BO4" i="31"/>
  <c r="BO7" i="31" s="1"/>
  <c r="I114" i="26"/>
  <c r="I138" i="26"/>
  <c r="BF4" i="28"/>
  <c r="BI4" i="28"/>
  <c r="BK4" i="28"/>
  <c r="BM4" i="28"/>
  <c r="BO4" i="28"/>
  <c r="BD4" i="28"/>
  <c r="BG4" i="28"/>
  <c r="BL4" i="28"/>
  <c r="BE4" i="28"/>
  <c r="BH4" i="28"/>
  <c r="BH54" i="28" s="1"/>
  <c r="BH111" i="28" s="1"/>
  <c r="BJ4" i="28"/>
  <c r="BN4" i="28"/>
  <c r="AZ4" i="29"/>
  <c r="AZ4" i="27" s="1"/>
  <c r="BA4" i="29"/>
  <c r="BA4" i="27" s="1"/>
  <c r="BB4" i="29"/>
  <c r="BB4" i="27" s="1"/>
  <c r="AY4" i="29"/>
  <c r="AR4" i="29"/>
  <c r="AU4" i="29"/>
  <c r="AX4" i="29"/>
  <c r="BC4" i="27"/>
  <c r="BC6" i="27" s="1"/>
  <c r="BC8" i="27" s="1"/>
  <c r="AS4" i="29"/>
  <c r="AV4" i="29"/>
  <c r="AQ4" i="29"/>
  <c r="AT4" i="29"/>
  <c r="AW4" i="29"/>
  <c r="AR4" i="30"/>
  <c r="AR7" i="30" s="1"/>
  <c r="AR9" i="30" s="1"/>
  <c r="AU4" i="30"/>
  <c r="AU7" i="30" s="1"/>
  <c r="AU9" i="30" s="1"/>
  <c r="AX4" i="30"/>
  <c r="AX7" i="30" s="1"/>
  <c r="AX9" i="30" s="1"/>
  <c r="AZ4" i="30"/>
  <c r="AZ7" i="30" s="1"/>
  <c r="AZ9" i="30" s="1"/>
  <c r="AQ4" i="30"/>
  <c r="AQ7" i="30" s="1"/>
  <c r="AT4" i="30"/>
  <c r="AT7" i="30" s="1"/>
  <c r="AT9" i="30" s="1"/>
  <c r="AW4" i="30"/>
  <c r="AW7" i="30" s="1"/>
  <c r="AW9" i="30" s="1"/>
  <c r="BA4" i="30"/>
  <c r="BA7" i="30" s="1"/>
  <c r="BA9" i="30" s="1"/>
  <c r="AS4" i="30"/>
  <c r="AS7" i="30" s="1"/>
  <c r="AS9" i="30" s="1"/>
  <c r="AV4" i="30"/>
  <c r="AV7" i="30" s="1"/>
  <c r="AV9" i="30" s="1"/>
  <c r="AY4" i="30"/>
  <c r="AY7" i="30" s="1"/>
  <c r="AY9" i="30" s="1"/>
  <c r="BB4" i="30"/>
  <c r="BB7" i="30" s="1"/>
  <c r="BB9" i="30" s="1"/>
  <c r="AQ4" i="31"/>
  <c r="AQ7" i="31" s="1"/>
  <c r="AT4" i="31"/>
  <c r="AT7" i="31" s="1"/>
  <c r="AT9" i="31" s="1"/>
  <c r="AW4" i="31"/>
  <c r="AW7" i="31" s="1"/>
  <c r="AW9" i="31" s="1"/>
  <c r="AZ4" i="31"/>
  <c r="AZ7" i="31" s="1"/>
  <c r="AZ9" i="31" s="1"/>
  <c r="AR4" i="31"/>
  <c r="AR7" i="31" s="1"/>
  <c r="AR9" i="31" s="1"/>
  <c r="AU4" i="31"/>
  <c r="AU7" i="31" s="1"/>
  <c r="AU9" i="31" s="1"/>
  <c r="AY4" i="31"/>
  <c r="AY7" i="31" s="1"/>
  <c r="AY9" i="31" s="1"/>
  <c r="BB4" i="31"/>
  <c r="BB7" i="31" s="1"/>
  <c r="BB9" i="31" s="1"/>
  <c r="AS4" i="31"/>
  <c r="AS7" i="31" s="1"/>
  <c r="AS9" i="31" s="1"/>
  <c r="AV4" i="31"/>
  <c r="AV7" i="31" s="1"/>
  <c r="AV9" i="31" s="1"/>
  <c r="AX4" i="31"/>
  <c r="AX7" i="31" s="1"/>
  <c r="AX9" i="31" s="1"/>
  <c r="BA4" i="31"/>
  <c r="BA7" i="31" s="1"/>
  <c r="BA9" i="31" s="1"/>
  <c r="AS4" i="28"/>
  <c r="AV4" i="28"/>
  <c r="AY4" i="28"/>
  <c r="BB4" i="28"/>
  <c r="AR4" i="28"/>
  <c r="AU4" i="28"/>
  <c r="AU54" i="28" s="1"/>
  <c r="AU111" i="28" s="1"/>
  <c r="AX4" i="28"/>
  <c r="AQ4" i="28"/>
  <c r="AT4" i="28"/>
  <c r="AW4" i="28"/>
  <c r="AZ4" i="28"/>
  <c r="BA4" i="28"/>
  <c r="V24" i="21"/>
  <c r="N10" i="20"/>
  <c r="N14" i="9"/>
  <c r="N16" i="9"/>
  <c r="N8" i="14"/>
  <c r="V8" i="10"/>
  <c r="N15" i="9"/>
  <c r="V10" i="9"/>
  <c r="O14" i="21"/>
  <c r="O15" i="21" s="1"/>
  <c r="O11" i="21"/>
  <c r="AE7" i="29"/>
  <c r="AE9" i="29" s="1"/>
  <c r="AE4" i="27"/>
  <c r="AG7" i="29"/>
  <c r="AG9" i="29" s="1"/>
  <c r="AG4" i="27"/>
  <c r="AM84" i="27"/>
  <c r="AM91" i="27"/>
  <c r="AP14" i="27"/>
  <c r="AP10" i="27"/>
  <c r="AP12" i="27" s="1"/>
  <c r="AF4" i="27"/>
  <c r="AF7" i="29"/>
  <c r="AF9" i="29" s="1"/>
  <c r="AI7" i="29"/>
  <c r="AI9" i="29" s="1"/>
  <c r="AI4" i="27"/>
  <c r="AL84" i="27"/>
  <c r="AL91" i="27"/>
  <c r="AO91" i="27"/>
  <c r="AO84" i="27"/>
  <c r="AD7" i="29"/>
  <c r="AD9" i="29" s="1"/>
  <c r="AD4" i="27"/>
  <c r="AH7" i="29"/>
  <c r="AH9" i="29" s="1"/>
  <c r="AH4" i="27"/>
  <c r="AJ7" i="29"/>
  <c r="AJ9" i="29" s="1"/>
  <c r="AJ4" i="27"/>
  <c r="AN91" i="27"/>
  <c r="AN84" i="27"/>
  <c r="AE15" i="30"/>
  <c r="AE11" i="30"/>
  <c r="AE13" i="30" s="1"/>
  <c r="AH15" i="30"/>
  <c r="AH11" i="30"/>
  <c r="AH13" i="30" s="1"/>
  <c r="AK15" i="30"/>
  <c r="AK11" i="30"/>
  <c r="AK13" i="30" s="1"/>
  <c r="AL15" i="30"/>
  <c r="AL11" i="30"/>
  <c r="AL13" i="30" s="1"/>
  <c r="AO11" i="30"/>
  <c r="AO13" i="30" s="1"/>
  <c r="AO15" i="30"/>
  <c r="AF11" i="30"/>
  <c r="AF13" i="30" s="1"/>
  <c r="AF15" i="30"/>
  <c r="AI11" i="30"/>
  <c r="AI13" i="30" s="1"/>
  <c r="AI15" i="30"/>
  <c r="AN11" i="30"/>
  <c r="AN13" i="30" s="1"/>
  <c r="AN15" i="30"/>
  <c r="AP7" i="30"/>
  <c r="AD9" i="30"/>
  <c r="AG11" i="30"/>
  <c r="AG13" i="30" s="1"/>
  <c r="AG15" i="30"/>
  <c r="AJ11" i="30"/>
  <c r="AJ13" i="30" s="1"/>
  <c r="AJ15" i="30"/>
  <c r="AM15" i="30"/>
  <c r="AM11" i="30"/>
  <c r="AM13" i="30" s="1"/>
  <c r="AF15" i="31"/>
  <c r="AF11" i="31"/>
  <c r="AF13" i="31" s="1"/>
  <c r="AI11" i="31"/>
  <c r="AI13" i="31" s="1"/>
  <c r="AI15" i="31"/>
  <c r="AK11" i="31"/>
  <c r="AK13" i="31" s="1"/>
  <c r="AK15" i="31"/>
  <c r="AN15" i="31"/>
  <c r="AN11" i="31"/>
  <c r="AN13" i="31" s="1"/>
  <c r="AE15" i="31"/>
  <c r="AE11" i="31"/>
  <c r="AE13" i="31" s="1"/>
  <c r="AH15" i="31"/>
  <c r="AH11" i="31"/>
  <c r="AH13" i="31" s="1"/>
  <c r="AL15" i="31"/>
  <c r="AL11" i="31"/>
  <c r="AL13" i="31" s="1"/>
  <c r="AM11" i="31"/>
  <c r="AM13" i="31" s="1"/>
  <c r="AM15" i="31"/>
  <c r="AD9" i="31"/>
  <c r="AP7" i="31"/>
  <c r="AG11" i="31"/>
  <c r="AG13" i="31" s="1"/>
  <c r="AG15" i="31"/>
  <c r="AJ15" i="31"/>
  <c r="AJ11" i="31"/>
  <c r="AJ13" i="31" s="1"/>
  <c r="AO15" i="31"/>
  <c r="AO11" i="31"/>
  <c r="AO13" i="31" s="1"/>
  <c r="AD54" i="28"/>
  <c r="AD111" i="28" s="1"/>
  <c r="AD7" i="28"/>
  <c r="AD47" i="28"/>
  <c r="AG54" i="28"/>
  <c r="AG111" i="28" s="1"/>
  <c r="AG7" i="28"/>
  <c r="AG9" i="28" s="1"/>
  <c r="AG48" i="28" s="1"/>
  <c r="AG105" i="28" s="1"/>
  <c r="AG47" i="28"/>
  <c r="AG104" i="28" s="1"/>
  <c r="AI47" i="28"/>
  <c r="AI104" i="28" s="1"/>
  <c r="AI54" i="28"/>
  <c r="AI111" i="28" s="1"/>
  <c r="AI7" i="28"/>
  <c r="AI9" i="28" s="1"/>
  <c r="AM7" i="28"/>
  <c r="AM9" i="28" s="1"/>
  <c r="AF54" i="28"/>
  <c r="AF111" i="28" s="1"/>
  <c r="AF7" i="28"/>
  <c r="AF9" i="28" s="1"/>
  <c r="AF48" i="28" s="1"/>
  <c r="AF105" i="28" s="1"/>
  <c r="AF47" i="28"/>
  <c r="AF104" i="28" s="1"/>
  <c r="AJ47" i="28"/>
  <c r="AJ104" i="28" s="1"/>
  <c r="AJ54" i="28"/>
  <c r="AJ111" i="28" s="1"/>
  <c r="AJ7" i="28"/>
  <c r="AJ9" i="28" s="1"/>
  <c r="AL7" i="28"/>
  <c r="AL9" i="28" s="1"/>
  <c r="AO7" i="28"/>
  <c r="AO9" i="28" s="1"/>
  <c r="AE7" i="28"/>
  <c r="AE9" i="28" s="1"/>
  <c r="AE54" i="28"/>
  <c r="AE111" i="28" s="1"/>
  <c r="AE47" i="28"/>
  <c r="AE104" i="28" s="1"/>
  <c r="AH47" i="28"/>
  <c r="AH104" i="28" s="1"/>
  <c r="AH54" i="28"/>
  <c r="AH111" i="28" s="1"/>
  <c r="AH7" i="28"/>
  <c r="AH9" i="28" s="1"/>
  <c r="AK7" i="28"/>
  <c r="AK9" i="28" s="1"/>
  <c r="AN7" i="28"/>
  <c r="AN9" i="28" s="1"/>
  <c r="L25" i="20"/>
  <c r="U25" i="20" s="1"/>
  <c r="U10" i="20"/>
  <c r="L16" i="20"/>
  <c r="U16" i="20" s="1"/>
  <c r="L66" i="20"/>
  <c r="U66" i="20" s="1"/>
  <c r="L59" i="20"/>
  <c r="L79" i="20"/>
  <c r="U79" i="20" s="1"/>
  <c r="U15" i="9"/>
  <c r="L71" i="10"/>
  <c r="L73" i="10" s="1"/>
  <c r="L27" i="10"/>
  <c r="L29" i="10" s="1"/>
  <c r="L21" i="6"/>
  <c r="L23" i="6" s="1"/>
  <c r="L25" i="6" s="1"/>
  <c r="L27" i="6" s="1"/>
  <c r="U14" i="9"/>
  <c r="U16" i="9"/>
  <c r="L115" i="10"/>
  <c r="L117" i="10" s="1"/>
  <c r="U8" i="14"/>
  <c r="L10" i="14"/>
  <c r="M49" i="14"/>
  <c r="M12" i="14"/>
  <c r="M46" i="14" s="1"/>
  <c r="S84" i="27"/>
  <c r="S91" i="27"/>
  <c r="S6" i="27"/>
  <c r="S8" i="27" s="1"/>
  <c r="S11" i="29"/>
  <c r="S13" i="29" s="1"/>
  <c r="S15" i="29"/>
  <c r="S3" i="32"/>
  <c r="R3" i="32"/>
  <c r="R11" i="29"/>
  <c r="R13" i="29" s="1"/>
  <c r="R15" i="29"/>
  <c r="R6" i="27"/>
  <c r="R8" i="27" s="1"/>
  <c r="R91" i="27"/>
  <c r="R84" i="27"/>
  <c r="U15" i="29"/>
  <c r="U11" i="29"/>
  <c r="U13" i="29" s="1"/>
  <c r="U3" i="32"/>
  <c r="U6" i="27"/>
  <c r="U8" i="27" s="1"/>
  <c r="U84" i="27"/>
  <c r="U91" i="27"/>
  <c r="Q6" i="27"/>
  <c r="Q8" i="27" s="1"/>
  <c r="Q91" i="27"/>
  <c r="Q84" i="27"/>
  <c r="Q11" i="29"/>
  <c r="Q13" i="29" s="1"/>
  <c r="Q3" i="32"/>
  <c r="Q15" i="29"/>
  <c r="T3" i="32"/>
  <c r="T11" i="29"/>
  <c r="T13" i="29" s="1"/>
  <c r="T15" i="29"/>
  <c r="T6" i="27"/>
  <c r="T8" i="27" s="1"/>
  <c r="T84" i="27"/>
  <c r="T91" i="27"/>
  <c r="V6" i="27"/>
  <c r="V8" i="27" s="1"/>
  <c r="V91" i="27"/>
  <c r="V84" i="27"/>
  <c r="AC9" i="30"/>
  <c r="Q11" i="30"/>
  <c r="Q15" i="30"/>
  <c r="AC15" i="30" s="1"/>
  <c r="AC9" i="31"/>
  <c r="W15" i="31"/>
  <c r="AC15" i="31" s="1"/>
  <c r="W11" i="31"/>
  <c r="AC7" i="28"/>
  <c r="Q9" i="28"/>
  <c r="J61" i="20"/>
  <c r="T59" i="20"/>
  <c r="J49" i="14"/>
  <c r="J12" i="14"/>
  <c r="J46" i="14" s="1"/>
  <c r="K8" i="14"/>
  <c r="K10" i="14" s="1"/>
  <c r="K15" i="9"/>
  <c r="K14" i="9"/>
  <c r="K16" i="9"/>
  <c r="K16" i="20"/>
  <c r="K59" i="20"/>
  <c r="K61" i="20" s="1"/>
  <c r="K63" i="20" s="1"/>
  <c r="K79" i="20"/>
  <c r="P84" i="27"/>
  <c r="BS84" i="27"/>
  <c r="BS91" i="27"/>
  <c r="P91" i="27"/>
  <c r="D13" i="30"/>
  <c r="P13" i="30" s="1"/>
  <c r="P11" i="30"/>
  <c r="D20" i="30"/>
  <c r="D36" i="30" s="1"/>
  <c r="E17" i="30"/>
  <c r="E18" i="30" s="1"/>
  <c r="D19" i="27"/>
  <c r="D22" i="30"/>
  <c r="D13" i="31"/>
  <c r="P13" i="31" s="1"/>
  <c r="P11" i="31"/>
  <c r="D20" i="27"/>
  <c r="D20" i="31"/>
  <c r="D36" i="31" s="1"/>
  <c r="D22" i="31"/>
  <c r="E17" i="31"/>
  <c r="E18" i="31" s="1"/>
  <c r="P11" i="28"/>
  <c r="J15" i="28"/>
  <c r="J38" i="28"/>
  <c r="J41" i="28"/>
  <c r="J98" i="28" s="1"/>
  <c r="BT98" i="28" s="1"/>
  <c r="G115" i="34" s="1"/>
  <c r="G114" i="34" s="1"/>
  <c r="H128" i="10"/>
  <c r="H121" i="10"/>
  <c r="H84" i="10"/>
  <c r="H77" i="10"/>
  <c r="W84" i="27"/>
  <c r="BW84" i="27" s="1"/>
  <c r="W91" i="27"/>
  <c r="BW91" i="27" s="1"/>
  <c r="J122" i="10"/>
  <c r="J123" i="10"/>
  <c r="J129" i="10" s="1"/>
  <c r="J132" i="10" s="1"/>
  <c r="J79" i="10"/>
  <c r="J85" i="10" s="1"/>
  <c r="J88" i="10" s="1"/>
  <c r="J78" i="10"/>
  <c r="BV104" i="28"/>
  <c r="BV111" i="28"/>
  <c r="BT84" i="27"/>
  <c r="BU84" i="27"/>
  <c r="BU91" i="27"/>
  <c r="BT91" i="27"/>
  <c r="AK4" i="27"/>
  <c r="AK7" i="29"/>
  <c r="AK47" i="28"/>
  <c r="AK104" i="28" s="1"/>
  <c r="AK54" i="28"/>
  <c r="AK111" i="28" s="1"/>
  <c r="V3" i="32"/>
  <c r="V11" i="29"/>
  <c r="V13" i="29" s="1"/>
  <c r="V15" i="29"/>
  <c r="R11" i="28"/>
  <c r="R49" i="28"/>
  <c r="R106" i="28" s="1"/>
  <c r="R48" i="28"/>
  <c r="R105" i="28" s="1"/>
  <c r="U11" i="28"/>
  <c r="U48" i="28"/>
  <c r="U105" i="28" s="1"/>
  <c r="U49" i="28"/>
  <c r="U106" i="28" s="1"/>
  <c r="Z11" i="28"/>
  <c r="Z48" i="28"/>
  <c r="Z105" i="28" s="1"/>
  <c r="AA11" i="28"/>
  <c r="AA48" i="28"/>
  <c r="AA105" i="28" s="1"/>
  <c r="T11" i="28"/>
  <c r="T49" i="28"/>
  <c r="T106" i="28" s="1"/>
  <c r="T48" i="28"/>
  <c r="T105" i="28" s="1"/>
  <c r="V11" i="28"/>
  <c r="V49" i="28"/>
  <c r="V106" i="28" s="1"/>
  <c r="V48" i="28"/>
  <c r="V105" i="28" s="1"/>
  <c r="X11" i="28"/>
  <c r="X48" i="28"/>
  <c r="X105" i="28" s="1"/>
  <c r="X49" i="28"/>
  <c r="X106" i="28" s="1"/>
  <c r="AB11" i="28"/>
  <c r="AB48" i="28"/>
  <c r="AB105" i="28" s="1"/>
  <c r="S11" i="28"/>
  <c r="S49" i="28"/>
  <c r="S106" i="28" s="1"/>
  <c r="S48" i="28"/>
  <c r="S105" i="28" s="1"/>
  <c r="W11" i="28"/>
  <c r="W48" i="28"/>
  <c r="W105" i="28" s="1"/>
  <c r="Y11" i="28"/>
  <c r="Y48" i="28"/>
  <c r="Y105" i="28" s="1"/>
  <c r="E12" i="32"/>
  <c r="E13" i="32" s="1"/>
  <c r="D15" i="32"/>
  <c r="M71" i="10"/>
  <c r="M73" i="10" s="1"/>
  <c r="M20" i="9"/>
  <c r="M115" i="10"/>
  <c r="M117" i="10" s="1"/>
  <c r="M21" i="9"/>
  <c r="M27" i="10"/>
  <c r="M29" i="10" s="1"/>
  <c r="M21" i="6"/>
  <c r="M23" i="6" s="1"/>
  <c r="D25" i="27"/>
  <c r="D50" i="29"/>
  <c r="D24" i="29"/>
  <c r="D26" i="29"/>
  <c r="E16" i="27"/>
  <c r="E20" i="29"/>
  <c r="E22" i="29"/>
  <c r="E17" i="27"/>
  <c r="F17" i="29"/>
  <c r="F18" i="29" s="1"/>
  <c r="I6" i="32"/>
  <c r="I8" i="32" s="1"/>
  <c r="I10" i="32"/>
  <c r="T20" i="9"/>
  <c r="J19" i="9"/>
  <c r="H22" i="9"/>
  <c r="S22" i="9" s="1"/>
  <c r="S19" i="9"/>
  <c r="Y6" i="29"/>
  <c r="X5" i="27"/>
  <c r="X6" i="27" s="1"/>
  <c r="X7" i="29"/>
  <c r="AL6" i="29"/>
  <c r="AK5" i="27"/>
  <c r="AY6" i="29"/>
  <c r="AX5" i="27"/>
  <c r="BL6" i="29"/>
  <c r="BK5" i="27"/>
  <c r="K9" i="29"/>
  <c r="K7" i="27"/>
  <c r="K8" i="27" s="1"/>
  <c r="L8" i="29"/>
  <c r="AS78" i="31"/>
  <c r="AR77" i="31"/>
  <c r="T77" i="31"/>
  <c r="U78" i="31"/>
  <c r="L11" i="32"/>
  <c r="L15" i="27"/>
  <c r="M16" i="29"/>
  <c r="BI64" i="28"/>
  <c r="AV64" i="28"/>
  <c r="O37" i="24"/>
  <c r="O46" i="24" s="1"/>
  <c r="O55" i="34" s="1"/>
  <c r="N46" i="24"/>
  <c r="N55" i="34" s="1"/>
  <c r="V55" i="34" s="1"/>
  <c r="BK41" i="32"/>
  <c r="BH43" i="32"/>
  <c r="BI42" i="32"/>
  <c r="AV43" i="32"/>
  <c r="AW42" i="32"/>
  <c r="AJ43" i="32"/>
  <c r="AK42" i="32"/>
  <c r="BH46" i="32"/>
  <c r="BI45" i="32"/>
  <c r="AW45" i="32"/>
  <c r="AV46" i="32"/>
  <c r="AK45" i="32"/>
  <c r="AJ46" i="32"/>
  <c r="BH37" i="32"/>
  <c r="BH36" i="32" s="1"/>
  <c r="BI47" i="32"/>
  <c r="AV37" i="32"/>
  <c r="AV36" i="32" s="1"/>
  <c r="AW47" i="32"/>
  <c r="BJ8" i="31"/>
  <c r="BJ8" i="30"/>
  <c r="AK8" i="29"/>
  <c r="AJ7" i="27"/>
  <c r="X4" i="35"/>
  <c r="K4" i="35"/>
  <c r="BF25" i="31"/>
  <c r="BF41" i="31" s="1"/>
  <c r="BF25" i="30"/>
  <c r="BF41" i="30" s="1"/>
  <c r="BF79" i="30" s="1"/>
  <c r="BF77" i="30" s="1"/>
  <c r="I93" i="28"/>
  <c r="BS93" i="28" s="1"/>
  <c r="I44" i="28"/>
  <c r="I101" i="28" s="1"/>
  <c r="G35" i="14"/>
  <c r="G23" i="14"/>
  <c r="G24" i="14" s="1"/>
  <c r="H16" i="14" s="1"/>
  <c r="G25" i="14"/>
  <c r="G50" i="14"/>
  <c r="G52" i="14" s="1"/>
  <c r="BI4" i="35"/>
  <c r="BJ24" i="35"/>
  <c r="BK92" i="35"/>
  <c r="AW24" i="35"/>
  <c r="AW4" i="35" s="1"/>
  <c r="AX92" i="35"/>
  <c r="BL23" i="35"/>
  <c r="BN76" i="35"/>
  <c r="BM75" i="35"/>
  <c r="BA76" i="35"/>
  <c r="AZ75" i="35"/>
  <c r="AY23" i="35"/>
  <c r="AN76" i="35"/>
  <c r="AM75" i="35"/>
  <c r="AL24" i="35"/>
  <c r="AL23" i="35"/>
  <c r="AK4" i="35"/>
  <c r="Y24" i="35"/>
  <c r="Y23" i="35"/>
  <c r="AA76" i="35"/>
  <c r="Z75" i="35"/>
  <c r="L24" i="35"/>
  <c r="L23" i="35"/>
  <c r="M75" i="35"/>
  <c r="N76" i="35"/>
  <c r="BP38" i="35"/>
  <c r="AV4" i="35"/>
  <c r="BV4" i="35"/>
  <c r="I24" i="34" s="1"/>
  <c r="BX4" i="35"/>
  <c r="W79" i="34"/>
  <c r="U36" i="34"/>
  <c r="J45" i="24"/>
  <c r="J48" i="24"/>
  <c r="J49" i="24" s="1"/>
  <c r="K48" i="24"/>
  <c r="K49" i="24" s="1"/>
  <c r="K45" i="24"/>
  <c r="O87" i="20"/>
  <c r="O69" i="34"/>
  <c r="P87" i="20"/>
  <c r="P69" i="34"/>
  <c r="L44" i="24"/>
  <c r="L33" i="34"/>
  <c r="U33" i="34" s="1"/>
  <c r="V25" i="30"/>
  <c r="V41" i="30" s="1"/>
  <c r="V79" i="30" s="1"/>
  <c r="V77" i="30" s="1"/>
  <c r="V25" i="31"/>
  <c r="V41" i="31" s="1"/>
  <c r="V79" i="31" s="1"/>
  <c r="W27" i="31"/>
  <c r="W43" i="31" s="1"/>
  <c r="W105" i="27"/>
  <c r="W27" i="30"/>
  <c r="W43" i="30" s="1"/>
  <c r="X107" i="27"/>
  <c r="BG105" i="27"/>
  <c r="X10" i="29"/>
  <c r="W5" i="32"/>
  <c r="W9" i="27"/>
  <c r="AJ10" i="29"/>
  <c r="AI5" i="32"/>
  <c r="AI9" i="27"/>
  <c r="AU5" i="32"/>
  <c r="AV10" i="29"/>
  <c r="AU9" i="27"/>
  <c r="BG5" i="32"/>
  <c r="BG9" i="27"/>
  <c r="BH10" i="29"/>
  <c r="AU7" i="32"/>
  <c r="AV12" i="29"/>
  <c r="AU11" i="27"/>
  <c r="BG7" i="32"/>
  <c r="BH12" i="29"/>
  <c r="BG11" i="27"/>
  <c r="AJ12" i="29"/>
  <c r="AI11" i="27"/>
  <c r="AI7" i="32"/>
  <c r="X12" i="29"/>
  <c r="W11" i="27"/>
  <c r="W7" i="32"/>
  <c r="K24" i="30"/>
  <c r="K40" i="30" s="1"/>
  <c r="K24" i="31"/>
  <c r="K40" i="31" s="1"/>
  <c r="L104" i="27"/>
  <c r="M103" i="27"/>
  <c r="L23" i="30"/>
  <c r="L39" i="30" s="1"/>
  <c r="L23" i="31"/>
  <c r="L39" i="31" s="1"/>
  <c r="AZ24" i="31"/>
  <c r="AZ40" i="31" s="1"/>
  <c r="AZ24" i="30"/>
  <c r="AZ40" i="30" s="1"/>
  <c r="BA23" i="30"/>
  <c r="BA39" i="30" s="1"/>
  <c r="BA104" i="27"/>
  <c r="BA23" i="31"/>
  <c r="BA39" i="31" s="1"/>
  <c r="BB103" i="27"/>
  <c r="BH24" i="31"/>
  <c r="BH40" i="31" s="1"/>
  <c r="BH24" i="30"/>
  <c r="BH40" i="30" s="1"/>
  <c r="BI23" i="31"/>
  <c r="BI39" i="31" s="1"/>
  <c r="BI104" i="27"/>
  <c r="BI23" i="30"/>
  <c r="BI39" i="30" s="1"/>
  <c r="BJ103" i="27"/>
  <c r="AW26" i="30"/>
  <c r="AW42" i="30" s="1"/>
  <c r="AW26" i="31"/>
  <c r="AW42" i="31" s="1"/>
  <c r="AX106" i="27"/>
  <c r="BH26" i="31"/>
  <c r="BH42" i="31" s="1"/>
  <c r="BH26" i="30"/>
  <c r="BH42" i="30" s="1"/>
  <c r="BI106" i="27"/>
  <c r="AH25" i="31"/>
  <c r="AH41" i="31" s="1"/>
  <c r="AH79" i="31" s="1"/>
  <c r="AH77" i="31" s="1"/>
  <c r="AH25" i="30"/>
  <c r="AH41" i="30" s="1"/>
  <c r="AH79" i="30" s="1"/>
  <c r="AH77" i="30" s="1"/>
  <c r="AI105" i="27"/>
  <c r="AI27" i="30"/>
  <c r="AI43" i="30" s="1"/>
  <c r="AI27" i="31"/>
  <c r="AI43" i="31" s="1"/>
  <c r="AJ107" i="27"/>
  <c r="AT25" i="31"/>
  <c r="AT41" i="31" s="1"/>
  <c r="AT79" i="31" s="1"/>
  <c r="AT25" i="30"/>
  <c r="AT41" i="30" s="1"/>
  <c r="AT79" i="30" s="1"/>
  <c r="AT77" i="30" s="1"/>
  <c r="AU105" i="27"/>
  <c r="AU27" i="31"/>
  <c r="AU43" i="31" s="1"/>
  <c r="AU27" i="30"/>
  <c r="AU43" i="30" s="1"/>
  <c r="AV107" i="27"/>
  <c r="BG27" i="30"/>
  <c r="BG43" i="30" s="1"/>
  <c r="BG27" i="31"/>
  <c r="BG43" i="31" s="1"/>
  <c r="BH107" i="27"/>
  <c r="AI28" i="30"/>
  <c r="AI44" i="30" s="1"/>
  <c r="AI28" i="31"/>
  <c r="AI44" i="31" s="1"/>
  <c r="AJ108" i="27"/>
  <c r="AU28" i="31"/>
  <c r="AU44" i="31" s="1"/>
  <c r="AU28" i="30"/>
  <c r="AU44" i="30" s="1"/>
  <c r="AV108" i="27"/>
  <c r="BG28" i="30"/>
  <c r="BG44" i="30" s="1"/>
  <c r="BG28" i="31"/>
  <c r="BG44" i="31" s="1"/>
  <c r="BH108" i="27"/>
  <c r="AJ24" i="30"/>
  <c r="AJ40" i="30" s="1"/>
  <c r="AJ24" i="31"/>
  <c r="AJ40" i="31" s="1"/>
  <c r="AK23" i="30"/>
  <c r="AK39" i="30" s="1"/>
  <c r="AK23" i="31"/>
  <c r="AK39" i="31" s="1"/>
  <c r="AK104" i="27"/>
  <c r="AL103" i="27"/>
  <c r="AK26" i="31"/>
  <c r="AK42" i="31" s="1"/>
  <c r="AK26" i="30"/>
  <c r="AK42" i="30" s="1"/>
  <c r="AL106" i="27"/>
  <c r="BJ10" i="31"/>
  <c r="BJ10" i="30"/>
  <c r="BF79" i="31"/>
  <c r="BF77" i="31" s="1"/>
  <c r="F104" i="34"/>
  <c r="F108" i="34" s="1"/>
  <c r="E125" i="34"/>
  <c r="H101" i="28"/>
  <c r="BS101" i="28" s="1"/>
  <c r="H58" i="28"/>
  <c r="H115" i="28" s="1"/>
  <c r="F61" i="28"/>
  <c r="BR61" i="28" s="1"/>
  <c r="E55" i="20" s="1"/>
  <c r="E124" i="20" s="1"/>
  <c r="F117" i="28"/>
  <c r="BR117" i="28" s="1"/>
  <c r="I10" i="10"/>
  <c r="G131" i="10"/>
  <c r="G148" i="10"/>
  <c r="G127" i="10"/>
  <c r="BH81" i="30"/>
  <c r="AV81" i="30"/>
  <c r="G83" i="10"/>
  <c r="G104" i="10"/>
  <c r="G87" i="10"/>
  <c r="G43" i="10"/>
  <c r="G60" i="10"/>
  <c r="G20" i="10" s="1"/>
  <c r="G39" i="10"/>
  <c r="M39" i="32"/>
  <c r="N38" i="32"/>
  <c r="Z39" i="32"/>
  <c r="AA38" i="32"/>
  <c r="AM39" i="32"/>
  <c r="AN38" i="32"/>
  <c r="AZ39" i="32"/>
  <c r="BA38" i="32"/>
  <c r="BN38" i="32"/>
  <c r="BM39" i="32"/>
  <c r="M37" i="32"/>
  <c r="M36" i="32" s="1"/>
  <c r="N40" i="32"/>
  <c r="Y40" i="32"/>
  <c r="X37" i="32"/>
  <c r="X36" i="32" s="1"/>
  <c r="AL40" i="32"/>
  <c r="AK37" i="32"/>
  <c r="AK36" i="32" s="1"/>
  <c r="AY40" i="32"/>
  <c r="BL40" i="32"/>
  <c r="Z41" i="32"/>
  <c r="Y43" i="32"/>
  <c r="AM41" i="32"/>
  <c r="AZ41" i="32"/>
  <c r="M43" i="32"/>
  <c r="N42" i="32"/>
  <c r="Y46" i="32"/>
  <c r="Z45" i="32"/>
  <c r="N50" i="32"/>
  <c r="Z50" i="32"/>
  <c r="AM50" i="32"/>
  <c r="AZ50" i="32"/>
  <c r="BM50" i="32"/>
  <c r="O52" i="32"/>
  <c r="Z52" i="32"/>
  <c r="AM52" i="32"/>
  <c r="AZ52" i="32"/>
  <c r="BM52" i="32"/>
  <c r="Z75" i="31"/>
  <c r="AM75" i="31"/>
  <c r="AZ75" i="31"/>
  <c r="BM75" i="31"/>
  <c r="L79" i="31"/>
  <c r="M80" i="31"/>
  <c r="Y80" i="31"/>
  <c r="AL80" i="31"/>
  <c r="AY80" i="31"/>
  <c r="BL80" i="31"/>
  <c r="K78" i="31"/>
  <c r="AI78" i="31"/>
  <c r="BH78" i="31"/>
  <c r="N75" i="30"/>
  <c r="Z75" i="30"/>
  <c r="AM75" i="30"/>
  <c r="AZ75" i="30"/>
  <c r="BM75" i="30"/>
  <c r="K79" i="30"/>
  <c r="L80" i="30"/>
  <c r="Y80" i="30"/>
  <c r="AL80" i="30"/>
  <c r="AY80" i="30"/>
  <c r="BL80" i="30"/>
  <c r="BH78" i="30"/>
  <c r="AU78" i="30"/>
  <c r="AI78" i="30"/>
  <c r="W78" i="30"/>
  <c r="K78" i="30"/>
  <c r="J77" i="30"/>
  <c r="L5" i="32"/>
  <c r="L9" i="27"/>
  <c r="M10" i="29"/>
  <c r="L11" i="27"/>
  <c r="L7" i="32"/>
  <c r="M12" i="29"/>
  <c r="K9" i="32"/>
  <c r="K13" i="27"/>
  <c r="L14" i="29"/>
  <c r="X9" i="32"/>
  <c r="X13" i="27"/>
  <c r="Y14" i="29"/>
  <c r="AK9" i="32"/>
  <c r="AK13" i="27"/>
  <c r="AL14" i="29"/>
  <c r="AX9" i="32"/>
  <c r="AX13" i="27"/>
  <c r="AY14" i="29"/>
  <c r="BK9" i="32"/>
  <c r="BK13" i="27"/>
  <c r="BL14" i="29"/>
  <c r="Z33" i="29"/>
  <c r="AM33" i="29"/>
  <c r="AZ33" i="29"/>
  <c r="BM33" i="29"/>
  <c r="L54" i="28"/>
  <c r="L111" i="28" s="1"/>
  <c r="BT111" i="28" s="1"/>
  <c r="M64" i="28"/>
  <c r="Z64" i="28"/>
  <c r="Y54" i="28"/>
  <c r="Y111" i="28" s="1"/>
  <c r="AM64" i="28"/>
  <c r="AL54" i="28"/>
  <c r="AL111" i="28" s="1"/>
  <c r="L47" i="28"/>
  <c r="L104" i="28" s="1"/>
  <c r="BT104" i="28" s="1"/>
  <c r="M65" i="28"/>
  <c r="Y47" i="28"/>
  <c r="Y104" i="28" s="1"/>
  <c r="Z65" i="28"/>
  <c r="AL47" i="28"/>
  <c r="AL104" i="28" s="1"/>
  <c r="AM65" i="28"/>
  <c r="AZ65" i="28"/>
  <c r="BM65" i="28"/>
  <c r="L48" i="28"/>
  <c r="L105" i="28" s="1"/>
  <c r="BT105" i="28" s="1"/>
  <c r="M68" i="28"/>
  <c r="M71" i="28"/>
  <c r="L49" i="28"/>
  <c r="L106" i="28" s="1"/>
  <c r="BT106" i="28" s="1"/>
  <c r="Z71" i="28"/>
  <c r="Y49" i="28"/>
  <c r="Y106" i="28" s="1"/>
  <c r="AM71" i="28"/>
  <c r="AZ71" i="28"/>
  <c r="BM71" i="28"/>
  <c r="M41" i="28"/>
  <c r="M98" i="28" s="1"/>
  <c r="N74" i="28"/>
  <c r="M76" i="28"/>
  <c r="Z76" i="28"/>
  <c r="AM76" i="28"/>
  <c r="AZ76" i="28"/>
  <c r="BM76" i="28"/>
  <c r="M78" i="28"/>
  <c r="Z78" i="28"/>
  <c r="AM78" i="28"/>
  <c r="AZ78" i="28"/>
  <c r="BM78" i="28"/>
  <c r="Z133" i="27"/>
  <c r="AM133" i="27"/>
  <c r="AZ133" i="27"/>
  <c r="BM133" i="27"/>
  <c r="M84" i="31"/>
  <c r="BM84" i="31"/>
  <c r="M84" i="30"/>
  <c r="Z84" i="30"/>
  <c r="AO84" i="30"/>
  <c r="BA84" i="30"/>
  <c r="BM84" i="30"/>
  <c r="N32" i="29"/>
  <c r="Z32" i="29"/>
  <c r="G59" i="28"/>
  <c r="G116" i="28" s="1"/>
  <c r="I58" i="28"/>
  <c r="I115" i="28" s="1"/>
  <c r="J156" i="23"/>
  <c r="J159" i="23" s="1"/>
  <c r="J94" i="20" s="1"/>
  <c r="T94" i="20" s="1"/>
  <c r="J157" i="23"/>
  <c r="J93" i="20" s="1"/>
  <c r="G182" i="6"/>
  <c r="G135" i="6"/>
  <c r="G138" i="6"/>
  <c r="G141" i="6"/>
  <c r="G44" i="6"/>
  <c r="G41" i="6" s="1"/>
  <c r="G134" i="6"/>
  <c r="G137" i="6"/>
  <c r="G140" i="6"/>
  <c r="G84" i="6"/>
  <c r="G77" i="6"/>
  <c r="G80" i="6"/>
  <c r="G75" i="6"/>
  <c r="G83" i="6"/>
  <c r="G78" i="6"/>
  <c r="G85" i="6"/>
  <c r="G81" i="6"/>
  <c r="G86" i="6"/>
  <c r="G82" i="6"/>
  <c r="G76" i="6"/>
  <c r="G79" i="6"/>
  <c r="G161" i="6"/>
  <c r="G160" i="6"/>
  <c r="H40" i="10"/>
  <c r="H33" i="10"/>
  <c r="S9" i="10"/>
  <c r="H10" i="10"/>
  <c r="J9" i="10"/>
  <c r="J34" i="10"/>
  <c r="J35" i="10"/>
  <c r="J41" i="10" s="1"/>
  <c r="J44" i="10" s="1"/>
  <c r="I132" i="10"/>
  <c r="I121" i="10"/>
  <c r="I128" i="10"/>
  <c r="I83" i="10"/>
  <c r="P27" i="10"/>
  <c r="P261" i="23"/>
  <c r="P257" i="23"/>
  <c r="P255" i="23" s="1"/>
  <c r="P64" i="34" s="1"/>
  <c r="P208" i="23"/>
  <c r="P213" i="23"/>
  <c r="P212" i="23"/>
  <c r="P219" i="23"/>
  <c r="P220" i="23"/>
  <c r="P217" i="23"/>
  <c r="P216" i="23"/>
  <c r="P215" i="23"/>
  <c r="P100" i="20"/>
  <c r="W100" i="20" s="1"/>
  <c r="P112" i="20"/>
  <c r="W112" i="20" s="1"/>
  <c r="W113" i="20"/>
  <c r="P105" i="20"/>
  <c r="P167" i="23"/>
  <c r="P62" i="34" s="1"/>
  <c r="P118" i="20"/>
  <c r="P192" i="23"/>
  <c r="P194" i="23" s="1"/>
  <c r="P77" i="34" s="1"/>
  <c r="P69" i="23"/>
  <c r="P102" i="23" s="1"/>
  <c r="P105" i="23"/>
  <c r="P82" i="34" s="1"/>
  <c r="P78" i="34" s="1"/>
  <c r="W86" i="20"/>
  <c r="W80" i="20"/>
  <c r="I83" i="20"/>
  <c r="I60" i="24"/>
  <c r="I82" i="20" s="1"/>
  <c r="N29" i="24"/>
  <c r="N40" i="24"/>
  <c r="P79" i="20"/>
  <c r="W79" i="20" s="1"/>
  <c r="P39" i="24"/>
  <c r="P22" i="24"/>
  <c r="P26" i="24" s="1"/>
  <c r="O28" i="24"/>
  <c r="P37" i="24"/>
  <c r="M43" i="24"/>
  <c r="M36" i="34" s="1"/>
  <c r="M42" i="24"/>
  <c r="M31" i="24"/>
  <c r="M81" i="20" s="1"/>
  <c r="P59" i="20"/>
  <c r="P72" i="20"/>
  <c r="W72" i="20" s="1"/>
  <c r="W9" i="23"/>
  <c r="P10" i="14"/>
  <c r="W9" i="14"/>
  <c r="V58" i="20"/>
  <c r="I39" i="10"/>
  <c r="I44" i="10"/>
  <c r="P116" i="10"/>
  <c r="P117" i="10" s="1"/>
  <c r="P72" i="10"/>
  <c r="P73" i="10" s="1"/>
  <c r="P66" i="20"/>
  <c r="W66" i="20" s="1"/>
  <c r="I33" i="10"/>
  <c r="P16" i="20"/>
  <c r="W10" i="20"/>
  <c r="C6" i="36" s="1"/>
  <c r="P25" i="20"/>
  <c r="W25" i="20" s="1"/>
  <c r="I161" i="6"/>
  <c r="I160" i="6"/>
  <c r="F164" i="6"/>
  <c r="F146" i="6"/>
  <c r="F171" i="6"/>
  <c r="F152" i="6"/>
  <c r="F149" i="6"/>
  <c r="F167" i="6"/>
  <c r="F172" i="6"/>
  <c r="F153" i="6"/>
  <c r="F156" i="6"/>
  <c r="F175" i="6"/>
  <c r="E159" i="6"/>
  <c r="F74" i="6"/>
  <c r="H38" i="6"/>
  <c r="H179" i="6" s="1"/>
  <c r="H36" i="6"/>
  <c r="H178" i="6" s="1"/>
  <c r="F147" i="6"/>
  <c r="F165" i="6"/>
  <c r="F173" i="6"/>
  <c r="F154" i="6"/>
  <c r="F168" i="6"/>
  <c r="F150" i="6"/>
  <c r="H181" i="6"/>
  <c r="H176" i="6"/>
  <c r="H29" i="6"/>
  <c r="H30" i="6" s="1"/>
  <c r="F155" i="6"/>
  <c r="F174" i="6"/>
  <c r="H45" i="6"/>
  <c r="I36" i="6"/>
  <c r="I38" i="6"/>
  <c r="I179" i="6" s="1"/>
  <c r="I58" i="6"/>
  <c r="H58" i="6"/>
  <c r="J34" i="6"/>
  <c r="J25" i="6"/>
  <c r="J27" i="6" s="1"/>
  <c r="F140" i="6"/>
  <c r="F137" i="6"/>
  <c r="F134" i="6"/>
  <c r="E74" i="6"/>
  <c r="E173" i="6"/>
  <c r="E154" i="6"/>
  <c r="E150" i="6"/>
  <c r="E168" i="6"/>
  <c r="E171" i="6"/>
  <c r="E152" i="6"/>
  <c r="E174" i="6"/>
  <c r="E155" i="6"/>
  <c r="E146" i="6"/>
  <c r="E164" i="6"/>
  <c r="E156" i="6"/>
  <c r="E175" i="6"/>
  <c r="E147" i="6"/>
  <c r="E165" i="6"/>
  <c r="E153" i="6"/>
  <c r="E172" i="6"/>
  <c r="E149" i="6"/>
  <c r="E167" i="6"/>
  <c r="W14" i="9"/>
  <c r="P21" i="6"/>
  <c r="W15" i="9"/>
  <c r="W16" i="9"/>
  <c r="M46" i="32" l="1"/>
  <c r="N45" i="32"/>
  <c r="X9" i="29"/>
  <c r="AK6" i="27"/>
  <c r="BS115" i="28"/>
  <c r="AL4" i="35"/>
  <c r="G159" i="6"/>
  <c r="G139" i="6"/>
  <c r="W15" i="29"/>
  <c r="G136" i="6"/>
  <c r="G12" i="10"/>
  <c r="G13" i="10" s="1"/>
  <c r="G62" i="25" s="1"/>
  <c r="M19" i="25"/>
  <c r="U19" i="25"/>
  <c r="D18" i="27"/>
  <c r="J10" i="32"/>
  <c r="J6" i="32"/>
  <c r="J8" i="32" s="1"/>
  <c r="AW8" i="29"/>
  <c r="AV7" i="27"/>
  <c r="BI8" i="29"/>
  <c r="BH7" i="27"/>
  <c r="J85" i="27"/>
  <c r="J86" i="27"/>
  <c r="J10" i="27"/>
  <c r="Y8" i="29"/>
  <c r="X7" i="27"/>
  <c r="X8" i="27" s="1"/>
  <c r="M19" i="9"/>
  <c r="M22" i="9" s="1"/>
  <c r="H87" i="10"/>
  <c r="I104" i="10"/>
  <c r="W6" i="32"/>
  <c r="W8" i="32" s="1"/>
  <c r="W86" i="27"/>
  <c r="W85" i="27"/>
  <c r="W14" i="27"/>
  <c r="W10" i="27"/>
  <c r="J22" i="9"/>
  <c r="T22" i="9" s="1"/>
  <c r="T19" i="9"/>
  <c r="BE4" i="27"/>
  <c r="BE7" i="29"/>
  <c r="BE9" i="29" s="1"/>
  <c r="BG7" i="29"/>
  <c r="BG9" i="29" s="1"/>
  <c r="BG4" i="27"/>
  <c r="BK7" i="29"/>
  <c r="BK4" i="27"/>
  <c r="BN84" i="27"/>
  <c r="BN91" i="27"/>
  <c r="BP10" i="27"/>
  <c r="BP12" i="27" s="1"/>
  <c r="BP14" i="27"/>
  <c r="BF7" i="29"/>
  <c r="BF9" i="29" s="1"/>
  <c r="BF4" i="27"/>
  <c r="BI7" i="29"/>
  <c r="BI9" i="29" s="1"/>
  <c r="BI4" i="27"/>
  <c r="BO84" i="27"/>
  <c r="BO91" i="27"/>
  <c r="BD4" i="27"/>
  <c r="BD7" i="29"/>
  <c r="BD9" i="29" s="1"/>
  <c r="BH7" i="29"/>
  <c r="BH9" i="29" s="1"/>
  <c r="BH4" i="27"/>
  <c r="BJ7" i="29"/>
  <c r="BJ4" i="27"/>
  <c r="BM84" i="27"/>
  <c r="BM91" i="27"/>
  <c r="BE11" i="30"/>
  <c r="BE13" i="30" s="1"/>
  <c r="BE15" i="30"/>
  <c r="BG15" i="30"/>
  <c r="BG11" i="30"/>
  <c r="BG13" i="30" s="1"/>
  <c r="BH11" i="30"/>
  <c r="BH13" i="30" s="1"/>
  <c r="BH15" i="30"/>
  <c r="BP7" i="30"/>
  <c r="BD9" i="30"/>
  <c r="BF15" i="30"/>
  <c r="BF11" i="30"/>
  <c r="BF13" i="30" s="1"/>
  <c r="BF15" i="31"/>
  <c r="BF11" i="31"/>
  <c r="BF13" i="31" s="1"/>
  <c r="BD9" i="31"/>
  <c r="BP7" i="31"/>
  <c r="BH11" i="31"/>
  <c r="BH13" i="31" s="1"/>
  <c r="BH15" i="31"/>
  <c r="BE11" i="31"/>
  <c r="BE13" i="31" s="1"/>
  <c r="BE15" i="31"/>
  <c r="BG15" i="31"/>
  <c r="BG11" i="31"/>
  <c r="BG13" i="31" s="1"/>
  <c r="L114" i="26"/>
  <c r="K114" i="26"/>
  <c r="BF54" i="28"/>
  <c r="BF111" i="28" s="1"/>
  <c r="BF7" i="28"/>
  <c r="BF9" i="28" s="1"/>
  <c r="BF47" i="28"/>
  <c r="BF104" i="28" s="1"/>
  <c r="BI47" i="28"/>
  <c r="BI104" i="28" s="1"/>
  <c r="BI7" i="28"/>
  <c r="BI9" i="28" s="1"/>
  <c r="BK47" i="28"/>
  <c r="BK104" i="28" s="1"/>
  <c r="BK7" i="28"/>
  <c r="BK9" i="28" s="1"/>
  <c r="BM7" i="28"/>
  <c r="BM9" i="28" s="1"/>
  <c r="BO7" i="28"/>
  <c r="BO9" i="28" s="1"/>
  <c r="BD54" i="28"/>
  <c r="BD111" i="28" s="1"/>
  <c r="BD47" i="28"/>
  <c r="BD7" i="28"/>
  <c r="BG54" i="28"/>
  <c r="BG111" i="28" s="1"/>
  <c r="BG7" i="28"/>
  <c r="BG9" i="28" s="1"/>
  <c r="BG47" i="28"/>
  <c r="BG104" i="28" s="1"/>
  <c r="BL7" i="28"/>
  <c r="BL9" i="28" s="1"/>
  <c r="BE54" i="28"/>
  <c r="BE111" i="28" s="1"/>
  <c r="BE7" i="28"/>
  <c r="BE9" i="28" s="1"/>
  <c r="BE47" i="28"/>
  <c r="BH47" i="28"/>
  <c r="BH104" i="28" s="1"/>
  <c r="BH7" i="28"/>
  <c r="BH9" i="28" s="1"/>
  <c r="BJ47" i="28"/>
  <c r="BJ104" i="28" s="1"/>
  <c r="BJ7" i="28"/>
  <c r="BJ9" i="28" s="1"/>
  <c r="BN7" i="28"/>
  <c r="BN9" i="28" s="1"/>
  <c r="AZ84" i="27"/>
  <c r="AZ91" i="27"/>
  <c r="BA84" i="27"/>
  <c r="BA91" i="27"/>
  <c r="BB84" i="27"/>
  <c r="BB91" i="27"/>
  <c r="AR7" i="29"/>
  <c r="AR9" i="29" s="1"/>
  <c r="AR4" i="27"/>
  <c r="AU7" i="29"/>
  <c r="AU9" i="29" s="1"/>
  <c r="AU4" i="27"/>
  <c r="AX7" i="29"/>
  <c r="AX4" i="27"/>
  <c r="BC10" i="27"/>
  <c r="BC12" i="27" s="1"/>
  <c r="BC14" i="27"/>
  <c r="AS4" i="27"/>
  <c r="AS7" i="29"/>
  <c r="AS9" i="29" s="1"/>
  <c r="AV7" i="29"/>
  <c r="AV9" i="29" s="1"/>
  <c r="AV4" i="27"/>
  <c r="AQ7" i="29"/>
  <c r="AQ9" i="29" s="1"/>
  <c r="AQ4" i="27"/>
  <c r="AT7" i="29"/>
  <c r="AT9" i="29" s="1"/>
  <c r="AT4" i="27"/>
  <c r="AW7" i="29"/>
  <c r="AW4" i="27"/>
  <c r="AR11" i="30"/>
  <c r="AR13" i="30" s="1"/>
  <c r="AR15" i="30"/>
  <c r="AU11" i="30"/>
  <c r="AU13" i="30" s="1"/>
  <c r="AU15" i="30"/>
  <c r="AX11" i="30"/>
  <c r="AX13" i="30" s="1"/>
  <c r="AX15" i="30"/>
  <c r="AZ11" i="30"/>
  <c r="AZ13" i="30" s="1"/>
  <c r="AZ15" i="30"/>
  <c r="BC7" i="30"/>
  <c r="AQ9" i="30"/>
  <c r="AT11" i="30"/>
  <c r="AT13" i="30" s="1"/>
  <c r="AT15" i="30"/>
  <c r="AW11" i="30"/>
  <c r="AW13" i="30" s="1"/>
  <c r="AW15" i="30"/>
  <c r="BA15" i="30"/>
  <c r="BA11" i="30"/>
  <c r="BA13" i="30" s="1"/>
  <c r="AS11" i="30"/>
  <c r="AS13" i="30" s="1"/>
  <c r="AS15" i="30"/>
  <c r="AV11" i="30"/>
  <c r="AV13" i="30" s="1"/>
  <c r="AV15" i="30"/>
  <c r="AY11" i="30"/>
  <c r="AY13" i="30" s="1"/>
  <c r="AY15" i="30"/>
  <c r="BB15" i="30"/>
  <c r="BB11" i="30"/>
  <c r="BB13" i="30" s="1"/>
  <c r="BC7" i="31"/>
  <c r="AQ9" i="31"/>
  <c r="AT15" i="31"/>
  <c r="AT11" i="31"/>
  <c r="AT13" i="31" s="1"/>
  <c r="AW15" i="31"/>
  <c r="AW11" i="31"/>
  <c r="AW13" i="31" s="1"/>
  <c r="AZ11" i="31"/>
  <c r="AZ13" i="31" s="1"/>
  <c r="AZ15" i="31"/>
  <c r="AR15" i="31"/>
  <c r="AR11" i="31"/>
  <c r="AR13" i="31" s="1"/>
  <c r="AU11" i="31"/>
  <c r="AU13" i="31" s="1"/>
  <c r="AU15" i="31"/>
  <c r="AY15" i="31"/>
  <c r="AY11" i="31"/>
  <c r="AY13" i="31" s="1"/>
  <c r="BB15" i="31"/>
  <c r="BB11" i="31"/>
  <c r="BB13" i="31" s="1"/>
  <c r="AS15" i="31"/>
  <c r="AS11" i="31"/>
  <c r="AS13" i="31" s="1"/>
  <c r="AV15" i="31"/>
  <c r="AV11" i="31"/>
  <c r="AV13" i="31" s="1"/>
  <c r="AX15" i="31"/>
  <c r="AX11" i="31"/>
  <c r="AX13" i="31" s="1"/>
  <c r="BA15" i="31"/>
  <c r="BA11" i="31"/>
  <c r="BA13" i="31" s="1"/>
  <c r="AS54" i="28"/>
  <c r="AS111" i="28" s="1"/>
  <c r="AS7" i="28"/>
  <c r="AS9" i="28" s="1"/>
  <c r="AS48" i="28" s="1"/>
  <c r="AS105" i="28" s="1"/>
  <c r="AS47" i="28"/>
  <c r="AS104" i="28" s="1"/>
  <c r="AV47" i="28"/>
  <c r="AV104" i="28" s="1"/>
  <c r="AV7" i="28"/>
  <c r="AV9" i="28" s="1"/>
  <c r="AY7" i="28"/>
  <c r="AY9" i="28" s="1"/>
  <c r="BB7" i="28"/>
  <c r="BB9" i="28" s="1"/>
  <c r="AR54" i="28"/>
  <c r="AR111" i="28" s="1"/>
  <c r="AR7" i="28"/>
  <c r="AR9" i="28" s="1"/>
  <c r="AR47" i="28"/>
  <c r="AU47" i="28"/>
  <c r="AU104" i="28" s="1"/>
  <c r="AU7" i="28"/>
  <c r="AU9" i="28" s="1"/>
  <c r="AX47" i="28"/>
  <c r="AX104" i="28" s="1"/>
  <c r="AX7" i="28"/>
  <c r="AX9" i="28" s="1"/>
  <c r="AQ54" i="28"/>
  <c r="AQ111" i="28" s="1"/>
  <c r="AQ47" i="28"/>
  <c r="AQ7" i="28"/>
  <c r="AT54" i="28"/>
  <c r="AT111" i="28" s="1"/>
  <c r="AT7" i="28"/>
  <c r="AT9" i="28" s="1"/>
  <c r="AT47" i="28"/>
  <c r="AT104" i="28" s="1"/>
  <c r="AW47" i="28"/>
  <c r="AW104" i="28" s="1"/>
  <c r="AW7" i="28"/>
  <c r="AW9" i="28" s="1"/>
  <c r="AZ7" i="28"/>
  <c r="AZ9" i="28" s="1"/>
  <c r="BA7" i="28"/>
  <c r="BA9" i="28" s="1"/>
  <c r="V10" i="20"/>
  <c r="N16" i="20"/>
  <c r="V16" i="20" s="1"/>
  <c r="N66" i="20"/>
  <c r="V66" i="20" s="1"/>
  <c r="N25" i="20"/>
  <c r="V25" i="20" s="1"/>
  <c r="N59" i="20"/>
  <c r="N79" i="20"/>
  <c r="V79" i="20" s="1"/>
  <c r="N21" i="6"/>
  <c r="N23" i="6" s="1"/>
  <c r="V14" i="9"/>
  <c r="N27" i="10"/>
  <c r="N29" i="10" s="1"/>
  <c r="V16" i="9"/>
  <c r="N115" i="10"/>
  <c r="N117" i="10" s="1"/>
  <c r="N10" i="14"/>
  <c r="V8" i="14"/>
  <c r="V15" i="9"/>
  <c r="N71" i="10"/>
  <c r="N73" i="10" s="1"/>
  <c r="O24" i="21"/>
  <c r="O9" i="20"/>
  <c r="O10" i="9"/>
  <c r="O22" i="21"/>
  <c r="AE15" i="29"/>
  <c r="AE11" i="29"/>
  <c r="AE13" i="29" s="1"/>
  <c r="AE3" i="32"/>
  <c r="AE6" i="27"/>
  <c r="AE8" i="27" s="1"/>
  <c r="AE91" i="27"/>
  <c r="AE84" i="27"/>
  <c r="AG11" i="29"/>
  <c r="AG13" i="29" s="1"/>
  <c r="AG15" i="29"/>
  <c r="AG3" i="32"/>
  <c r="AG84" i="27"/>
  <c r="AG6" i="27"/>
  <c r="AG8" i="27" s="1"/>
  <c r="AG91" i="27"/>
  <c r="AF84" i="27"/>
  <c r="AF6" i="27"/>
  <c r="AF8" i="27" s="1"/>
  <c r="AF91" i="27"/>
  <c r="AF3" i="32"/>
  <c r="AF15" i="29"/>
  <c r="AF11" i="29"/>
  <c r="AF13" i="29" s="1"/>
  <c r="AI3" i="32"/>
  <c r="AI15" i="29"/>
  <c r="AI11" i="29"/>
  <c r="AI13" i="29" s="1"/>
  <c r="AI6" i="27"/>
  <c r="AI8" i="27" s="1"/>
  <c r="AI91" i="27"/>
  <c r="AI84" i="27"/>
  <c r="AD11" i="29"/>
  <c r="AD13" i="29" s="1"/>
  <c r="AD3" i="32"/>
  <c r="AD15" i="29"/>
  <c r="AD84" i="27"/>
  <c r="AD6" i="27"/>
  <c r="AD8" i="27" s="1"/>
  <c r="AD91" i="27"/>
  <c r="AH15" i="29"/>
  <c r="AH11" i="29"/>
  <c r="AH13" i="29" s="1"/>
  <c r="AH3" i="32"/>
  <c r="AH6" i="27"/>
  <c r="AH8" i="27" s="1"/>
  <c r="AH84" i="27"/>
  <c r="AH91" i="27"/>
  <c r="AJ6" i="27"/>
  <c r="AJ8" i="27" s="1"/>
  <c r="AJ91" i="27"/>
  <c r="AJ84" i="27"/>
  <c r="AP9" i="30"/>
  <c r="AD15" i="30"/>
  <c r="AP15" i="30" s="1"/>
  <c r="AD11" i="30"/>
  <c r="AD11" i="31"/>
  <c r="AP9" i="31"/>
  <c r="AD15" i="31"/>
  <c r="AP15" i="31" s="1"/>
  <c r="AP7" i="28"/>
  <c r="AD9" i="28"/>
  <c r="AG11" i="28"/>
  <c r="AG49" i="28"/>
  <c r="AG106" i="28" s="1"/>
  <c r="AF11" i="28"/>
  <c r="AF49" i="28"/>
  <c r="AF106" i="28" s="1"/>
  <c r="U59" i="20"/>
  <c r="L61" i="20"/>
  <c r="L79" i="10"/>
  <c r="L85" i="10" s="1"/>
  <c r="L78" i="10"/>
  <c r="L122" i="10"/>
  <c r="L123" i="10"/>
  <c r="L129" i="10" s="1"/>
  <c r="L12" i="14"/>
  <c r="L46" i="14" s="1"/>
  <c r="L49" i="14"/>
  <c r="S14" i="27"/>
  <c r="S10" i="27"/>
  <c r="S10" i="32"/>
  <c r="S6" i="32"/>
  <c r="S8" i="32" s="1"/>
  <c r="R6" i="32"/>
  <c r="R8" i="32" s="1"/>
  <c r="R10" i="32"/>
  <c r="R10" i="27"/>
  <c r="R14" i="27"/>
  <c r="U6" i="32"/>
  <c r="U8" i="32" s="1"/>
  <c r="U10" i="32"/>
  <c r="U10" i="27"/>
  <c r="U14" i="27"/>
  <c r="Q10" i="27"/>
  <c r="Q14" i="27"/>
  <c r="AC91" i="27"/>
  <c r="BV91" i="27"/>
  <c r="AC84" i="27"/>
  <c r="BV84" i="27"/>
  <c r="Q10" i="32"/>
  <c r="Q6" i="32"/>
  <c r="Q8" i="32" s="1"/>
  <c r="T6" i="32"/>
  <c r="T8" i="32" s="1"/>
  <c r="T10" i="32"/>
  <c r="T14" i="27"/>
  <c r="T10" i="27"/>
  <c r="V10" i="27"/>
  <c r="V85" i="27"/>
  <c r="V14" i="27"/>
  <c r="V86" i="27"/>
  <c r="AC11" i="30"/>
  <c r="Q13" i="30"/>
  <c r="AC13" i="30" s="1"/>
  <c r="AC11" i="31"/>
  <c r="W13" i="31"/>
  <c r="AC13" i="31" s="1"/>
  <c r="Q48" i="28"/>
  <c r="Q49" i="28"/>
  <c r="Q106" i="28" s="1"/>
  <c r="BV106" i="28" s="1"/>
  <c r="Q11" i="28"/>
  <c r="AC9" i="28"/>
  <c r="J63" i="20"/>
  <c r="T63" i="20" s="1"/>
  <c r="T61" i="20"/>
  <c r="K12" i="14"/>
  <c r="K46" i="14" s="1"/>
  <c r="K49" i="14"/>
  <c r="L20" i="9"/>
  <c r="K20" i="9"/>
  <c r="K71" i="10"/>
  <c r="K73" i="10" s="1"/>
  <c r="K27" i="10"/>
  <c r="K29" i="10" s="1"/>
  <c r="K21" i="6"/>
  <c r="K23" i="6" s="1"/>
  <c r="L21" i="9"/>
  <c r="K21" i="9"/>
  <c r="K115" i="10"/>
  <c r="K117" i="10" s="1"/>
  <c r="E19" i="27"/>
  <c r="F17" i="30"/>
  <c r="F18" i="30" s="1"/>
  <c r="E22" i="30"/>
  <c r="E20" i="30"/>
  <c r="E36" i="30" s="1"/>
  <c r="D53" i="30"/>
  <c r="D56" i="30"/>
  <c r="D57" i="30"/>
  <c r="D105" i="30"/>
  <c r="D55" i="30"/>
  <c r="D43" i="27"/>
  <c r="D58" i="30"/>
  <c r="D99" i="30"/>
  <c r="D27" i="27"/>
  <c r="D30" i="30"/>
  <c r="D29" i="30"/>
  <c r="E20" i="31"/>
  <c r="E36" i="31" s="1"/>
  <c r="E105" i="31" s="1"/>
  <c r="E22" i="31"/>
  <c r="F17" i="31"/>
  <c r="F18" i="31" s="1"/>
  <c r="E20" i="27"/>
  <c r="E99" i="31"/>
  <c r="D53" i="31"/>
  <c r="D56" i="31"/>
  <c r="D58" i="31"/>
  <c r="D99" i="31"/>
  <c r="D57" i="31"/>
  <c r="D44" i="27"/>
  <c r="D55" i="31"/>
  <c r="D105" i="31"/>
  <c r="D29" i="31"/>
  <c r="D28" i="27"/>
  <c r="D30" i="31"/>
  <c r="J17" i="28"/>
  <c r="J18" i="28"/>
  <c r="J50" i="28" s="1"/>
  <c r="J52" i="28"/>
  <c r="J109" i="28" s="1"/>
  <c r="K13" i="28"/>
  <c r="K15" i="28" s="1"/>
  <c r="J16" i="28"/>
  <c r="P38" i="28"/>
  <c r="P95" i="28" s="1"/>
  <c r="J37" i="28"/>
  <c r="J95" i="28"/>
  <c r="BT95" i="28" s="1"/>
  <c r="H104" i="10"/>
  <c r="I87" i="10"/>
  <c r="H83" i="10"/>
  <c r="J121" i="10"/>
  <c r="J128" i="10"/>
  <c r="J131" i="10" s="1"/>
  <c r="J84" i="10"/>
  <c r="J77" i="10"/>
  <c r="AK84" i="27"/>
  <c r="AK91" i="27"/>
  <c r="R41" i="28"/>
  <c r="R98" i="28" s="1"/>
  <c r="R38" i="28"/>
  <c r="U38" i="28"/>
  <c r="U41" i="28"/>
  <c r="U98" i="28" s="1"/>
  <c r="Z38" i="28"/>
  <c r="Z41" i="28"/>
  <c r="Z98" i="28" s="1"/>
  <c r="AA38" i="28"/>
  <c r="AA41" i="28"/>
  <c r="AA98" i="28" s="1"/>
  <c r="T41" i="28"/>
  <c r="T98" i="28" s="1"/>
  <c r="T38" i="28"/>
  <c r="V38" i="28"/>
  <c r="V41" i="28"/>
  <c r="V98" i="28" s="1"/>
  <c r="X38" i="28"/>
  <c r="X41" i="28"/>
  <c r="X98" i="28" s="1"/>
  <c r="AB38" i="28"/>
  <c r="AB41" i="28"/>
  <c r="AB98" i="28" s="1"/>
  <c r="S41" i="28"/>
  <c r="S98" i="28" s="1"/>
  <c r="S38" i="28"/>
  <c r="W38" i="28"/>
  <c r="W41" i="28"/>
  <c r="W98" i="28" s="1"/>
  <c r="Y38" i="28"/>
  <c r="Y41" i="28"/>
  <c r="Y98" i="28" s="1"/>
  <c r="M78" i="10"/>
  <c r="M79" i="10"/>
  <c r="M85" i="10" s="1"/>
  <c r="M122" i="10"/>
  <c r="M123" i="10"/>
  <c r="M129" i="10" s="1"/>
  <c r="BW105" i="28"/>
  <c r="K14" i="27"/>
  <c r="H11" i="10"/>
  <c r="BX111" i="28"/>
  <c r="BL4" i="27"/>
  <c r="BL7" i="29"/>
  <c r="BL47" i="28"/>
  <c r="BL104" i="28" s="1"/>
  <c r="AY4" i="27"/>
  <c r="AY7" i="29"/>
  <c r="AY47" i="28"/>
  <c r="AY104" i="28" s="1"/>
  <c r="N21" i="9"/>
  <c r="V21" i="9" s="1"/>
  <c r="N20" i="9"/>
  <c r="AJ11" i="29"/>
  <c r="AJ13" i="29" s="1"/>
  <c r="AJ3" i="32"/>
  <c r="AJ10" i="32" s="1"/>
  <c r="AJ15" i="29"/>
  <c r="AD104" i="28"/>
  <c r="BX104" i="28" s="1"/>
  <c r="AI11" i="28"/>
  <c r="AI48" i="28"/>
  <c r="AI105" i="28" s="1"/>
  <c r="AI49" i="28"/>
  <c r="AI106" i="28" s="1"/>
  <c r="AM11" i="28"/>
  <c r="AM48" i="28"/>
  <c r="AM105" i="28" s="1"/>
  <c r="AJ11" i="28"/>
  <c r="AJ48" i="28"/>
  <c r="AJ105" i="28" s="1"/>
  <c r="AJ49" i="28"/>
  <c r="AJ106" i="28" s="1"/>
  <c r="AL11" i="28"/>
  <c r="AL48" i="28"/>
  <c r="AL105" i="28" s="1"/>
  <c r="AL49" i="28"/>
  <c r="AL106" i="28" s="1"/>
  <c r="AO11" i="28"/>
  <c r="AO48" i="28"/>
  <c r="AO105" i="28" s="1"/>
  <c r="AE11" i="28"/>
  <c r="AE49" i="28"/>
  <c r="AE106" i="28" s="1"/>
  <c r="AE48" i="28"/>
  <c r="AE105" i="28" s="1"/>
  <c r="AH11" i="28"/>
  <c r="AH48" i="28"/>
  <c r="AH105" i="28" s="1"/>
  <c r="AH49" i="28"/>
  <c r="AH106" i="28" s="1"/>
  <c r="AK11" i="28"/>
  <c r="AK49" i="28"/>
  <c r="AK106" i="28" s="1"/>
  <c r="AK48" i="28"/>
  <c r="AK105" i="28" s="1"/>
  <c r="AN11" i="28"/>
  <c r="AN48" i="28"/>
  <c r="AN105" i="28" s="1"/>
  <c r="L34" i="10"/>
  <c r="L35" i="10"/>
  <c r="L41" i="10" s="1"/>
  <c r="L9" i="10"/>
  <c r="S86" i="27"/>
  <c r="S85" i="27"/>
  <c r="R85" i="27"/>
  <c r="R86" i="27"/>
  <c r="U85" i="27"/>
  <c r="U86" i="27"/>
  <c r="Q86" i="27"/>
  <c r="Q85" i="27"/>
  <c r="T86" i="27"/>
  <c r="T85" i="27"/>
  <c r="H127" i="10"/>
  <c r="H148" i="10"/>
  <c r="H131" i="10"/>
  <c r="V10" i="32"/>
  <c r="V6" i="32"/>
  <c r="V8" i="32" s="1"/>
  <c r="F12" i="32"/>
  <c r="F13" i="32" s="1"/>
  <c r="E15" i="32"/>
  <c r="D18" i="32"/>
  <c r="D22" i="32"/>
  <c r="D87" i="27"/>
  <c r="D89" i="29"/>
  <c r="D47" i="29"/>
  <c r="D86" i="29" s="1"/>
  <c r="D45" i="29"/>
  <c r="D84" i="29" s="1"/>
  <c r="D42" i="27"/>
  <c r="D27" i="29"/>
  <c r="D38" i="27" s="1"/>
  <c r="D34" i="27"/>
  <c r="D38" i="29"/>
  <c r="D39" i="29"/>
  <c r="D78" i="29" s="1"/>
  <c r="E26" i="29"/>
  <c r="E24" i="29"/>
  <c r="E25" i="27"/>
  <c r="E87" i="27" s="1"/>
  <c r="E50" i="29"/>
  <c r="F16" i="27"/>
  <c r="F20" i="29"/>
  <c r="F22" i="29"/>
  <c r="F17" i="27"/>
  <c r="G16" i="27" s="1"/>
  <c r="G17" i="29"/>
  <c r="G18" i="29" s="1"/>
  <c r="Y7" i="29"/>
  <c r="Z6" i="29"/>
  <c r="Y5" i="27"/>
  <c r="Y6" i="27" s="1"/>
  <c r="AM6" i="29"/>
  <c r="AL5" i="27"/>
  <c r="AL6" i="27" s="1"/>
  <c r="AL7" i="29"/>
  <c r="AZ6" i="29"/>
  <c r="AY5" i="27"/>
  <c r="BM6" i="29"/>
  <c r="BL5" i="27"/>
  <c r="K3" i="32"/>
  <c r="K15" i="29"/>
  <c r="K11" i="29"/>
  <c r="K13" i="29" s="1"/>
  <c r="K10" i="27"/>
  <c r="K86" i="27"/>
  <c r="K85" i="27"/>
  <c r="L7" i="27"/>
  <c r="L8" i="27" s="1"/>
  <c r="L9" i="29"/>
  <c r="M8" i="29"/>
  <c r="G42" i="14"/>
  <c r="G36" i="14"/>
  <c r="H33" i="14"/>
  <c r="H18" i="14"/>
  <c r="H29" i="14"/>
  <c r="I28" i="14" s="1"/>
  <c r="G43" i="14"/>
  <c r="G39" i="14"/>
  <c r="G38" i="14"/>
  <c r="G40" i="14" s="1"/>
  <c r="G41" i="14" s="1"/>
  <c r="G26" i="14"/>
  <c r="AS77" i="31"/>
  <c r="AT78" i="31"/>
  <c r="V78" i="31"/>
  <c r="U77" i="31"/>
  <c r="M15" i="27"/>
  <c r="M11" i="32"/>
  <c r="N16" i="29"/>
  <c r="BJ64" i="28"/>
  <c r="BI54" i="28"/>
  <c r="BI111" i="28" s="1"/>
  <c r="AW64" i="28"/>
  <c r="AV54" i="28"/>
  <c r="AV111" i="28" s="1"/>
  <c r="BL41" i="32"/>
  <c r="BI43" i="32"/>
  <c r="BJ42" i="32"/>
  <c r="AW43" i="32"/>
  <c r="AX42" i="32"/>
  <c r="AK43" i="32"/>
  <c r="AL42" i="32"/>
  <c r="BI46" i="32"/>
  <c r="BJ45" i="32"/>
  <c r="AX45" i="32"/>
  <c r="AW46" i="32"/>
  <c r="AK46" i="32"/>
  <c r="AL45" i="32"/>
  <c r="BI37" i="32"/>
  <c r="BI36" i="32" s="1"/>
  <c r="BJ47" i="32"/>
  <c r="AW37" i="32"/>
  <c r="AW36" i="32" s="1"/>
  <c r="AX47" i="32"/>
  <c r="BI15" i="31"/>
  <c r="BJ9" i="31"/>
  <c r="BJ11" i="31" s="1"/>
  <c r="BK8" i="31"/>
  <c r="BI15" i="30"/>
  <c r="BJ9" i="30"/>
  <c r="BJ11" i="30" s="1"/>
  <c r="BK8" i="30"/>
  <c r="AK9" i="29"/>
  <c r="AL8" i="29"/>
  <c r="AK7" i="27"/>
  <c r="AK8" i="27" s="1"/>
  <c r="BK24" i="35"/>
  <c r="BK4" i="35" s="1"/>
  <c r="BL92" i="35"/>
  <c r="AX24" i="35"/>
  <c r="AY92" i="35"/>
  <c r="BO76" i="35"/>
  <c r="BO75" i="35" s="1"/>
  <c r="BN75" i="35"/>
  <c r="BM23" i="35"/>
  <c r="BB76" i="35"/>
  <c r="BB75" i="35" s="1"/>
  <c r="BA75" i="35"/>
  <c r="AZ23" i="35"/>
  <c r="AO76" i="35"/>
  <c r="AO75" i="35" s="1"/>
  <c r="AN75" i="35"/>
  <c r="AM24" i="35"/>
  <c r="AM23" i="35"/>
  <c r="Y4" i="35"/>
  <c r="AA75" i="35"/>
  <c r="AB76" i="35"/>
  <c r="AB75" i="35" s="1"/>
  <c r="Z23" i="35"/>
  <c r="Z24" i="35"/>
  <c r="L4" i="35"/>
  <c r="M23" i="35"/>
  <c r="M24" i="35"/>
  <c r="N75" i="35"/>
  <c r="O76" i="35"/>
  <c r="O75" i="35" s="1"/>
  <c r="BJ4" i="35"/>
  <c r="K24" i="34"/>
  <c r="BH105" i="27"/>
  <c r="BG25" i="30"/>
  <c r="BG41" i="30" s="1"/>
  <c r="BG79" i="30" s="1"/>
  <c r="BG77" i="30" s="1"/>
  <c r="BG25" i="31"/>
  <c r="BG41" i="31" s="1"/>
  <c r="BG79" i="31" s="1"/>
  <c r="BG77" i="31" s="1"/>
  <c r="CB4" i="35"/>
  <c r="P20" i="34"/>
  <c r="W87" i="20"/>
  <c r="J55" i="24"/>
  <c r="J58" i="24"/>
  <c r="K55" i="24"/>
  <c r="K59" i="24" s="1"/>
  <c r="K58" i="24"/>
  <c r="L45" i="24"/>
  <c r="L48" i="24"/>
  <c r="L49" i="24" s="1"/>
  <c r="W69" i="34"/>
  <c r="N30" i="24"/>
  <c r="N51" i="25"/>
  <c r="M44" i="24"/>
  <c r="M33" i="34"/>
  <c r="W25" i="30"/>
  <c r="W41" i="30" s="1"/>
  <c r="W79" i="30" s="1"/>
  <c r="W77" i="30" s="1"/>
  <c r="W25" i="31"/>
  <c r="W41" i="31" s="1"/>
  <c r="W79" i="31" s="1"/>
  <c r="X27" i="31"/>
  <c r="X43" i="31" s="1"/>
  <c r="X27" i="30"/>
  <c r="X43" i="30" s="1"/>
  <c r="X105" i="27"/>
  <c r="Y107" i="27"/>
  <c r="AL26" i="30"/>
  <c r="AL42" i="30" s="1"/>
  <c r="AL26" i="31"/>
  <c r="AL42" i="31" s="1"/>
  <c r="Y10" i="29"/>
  <c r="X9" i="27"/>
  <c r="X5" i="32"/>
  <c r="AK10" i="29"/>
  <c r="AJ5" i="32"/>
  <c r="AJ9" i="27"/>
  <c r="AW10" i="29"/>
  <c r="AV5" i="32"/>
  <c r="AV9" i="27"/>
  <c r="BI10" i="29"/>
  <c r="BH9" i="27"/>
  <c r="BH5" i="32"/>
  <c r="AW12" i="29"/>
  <c r="AV7" i="32"/>
  <c r="AV11" i="27"/>
  <c r="BI12" i="29"/>
  <c r="BH7" i="32"/>
  <c r="BH11" i="27"/>
  <c r="AK12" i="29"/>
  <c r="AJ7" i="32"/>
  <c r="AJ11" i="27"/>
  <c r="Y12" i="29"/>
  <c r="X11" i="27"/>
  <c r="X7" i="32"/>
  <c r="L24" i="31"/>
  <c r="L40" i="31" s="1"/>
  <c r="L24" i="30"/>
  <c r="L40" i="30" s="1"/>
  <c r="M104" i="27"/>
  <c r="N103" i="27"/>
  <c r="M23" i="31"/>
  <c r="M39" i="31" s="1"/>
  <c r="M23" i="30"/>
  <c r="M39" i="30" s="1"/>
  <c r="BA24" i="30"/>
  <c r="BA40" i="30" s="1"/>
  <c r="BA24" i="31"/>
  <c r="BA40" i="31" s="1"/>
  <c r="BB23" i="31"/>
  <c r="BB39" i="31" s="1"/>
  <c r="BB104" i="27"/>
  <c r="BB23" i="30"/>
  <c r="BB39" i="30" s="1"/>
  <c r="BI24" i="31"/>
  <c r="BI40" i="31" s="1"/>
  <c r="BI24" i="30"/>
  <c r="BI40" i="30" s="1"/>
  <c r="BJ104" i="27"/>
  <c r="BJ23" i="30"/>
  <c r="BJ39" i="30" s="1"/>
  <c r="BJ23" i="31"/>
  <c r="BJ39" i="31" s="1"/>
  <c r="BK103" i="27"/>
  <c r="AX26" i="30"/>
  <c r="AX42" i="30" s="1"/>
  <c r="AX26" i="31"/>
  <c r="AX42" i="31" s="1"/>
  <c r="AY106" i="27"/>
  <c r="BI26" i="31"/>
  <c r="BI42" i="31" s="1"/>
  <c r="BI26" i="30"/>
  <c r="BI42" i="30" s="1"/>
  <c r="BJ106" i="27"/>
  <c r="AI25" i="30"/>
  <c r="AI41" i="30" s="1"/>
  <c r="AI79" i="30" s="1"/>
  <c r="AI77" i="30" s="1"/>
  <c r="AI25" i="31"/>
  <c r="AI41" i="31" s="1"/>
  <c r="AI79" i="31" s="1"/>
  <c r="AI77" i="31" s="1"/>
  <c r="AJ105" i="27"/>
  <c r="AJ27" i="31"/>
  <c r="AJ43" i="31" s="1"/>
  <c r="AJ27" i="30"/>
  <c r="AJ43" i="30" s="1"/>
  <c r="AK107" i="27"/>
  <c r="AU25" i="30"/>
  <c r="AU41" i="30" s="1"/>
  <c r="AU79" i="30" s="1"/>
  <c r="AU77" i="30" s="1"/>
  <c r="AU25" i="31"/>
  <c r="AU41" i="31" s="1"/>
  <c r="AU79" i="31" s="1"/>
  <c r="AV105" i="27"/>
  <c r="AV27" i="31"/>
  <c r="AV43" i="31" s="1"/>
  <c r="AV27" i="30"/>
  <c r="AV43" i="30" s="1"/>
  <c r="AW107" i="27"/>
  <c r="BH27" i="31"/>
  <c r="BH43" i="31" s="1"/>
  <c r="BH27" i="30"/>
  <c r="BH43" i="30" s="1"/>
  <c r="BI107" i="27"/>
  <c r="AJ28" i="31"/>
  <c r="AJ44" i="31" s="1"/>
  <c r="AJ28" i="30"/>
  <c r="AJ44" i="30" s="1"/>
  <c r="AK108" i="27"/>
  <c r="AV28" i="30"/>
  <c r="AV44" i="30" s="1"/>
  <c r="AV28" i="31"/>
  <c r="AV44" i="31" s="1"/>
  <c r="AW108" i="27"/>
  <c r="BH28" i="31"/>
  <c r="BH44" i="31" s="1"/>
  <c r="BH28" i="30"/>
  <c r="BH44" i="30" s="1"/>
  <c r="BI108" i="27"/>
  <c r="AK24" i="31"/>
  <c r="AK40" i="31" s="1"/>
  <c r="AK24" i="30"/>
  <c r="AK40" i="30" s="1"/>
  <c r="AL23" i="30"/>
  <c r="AL39" i="30" s="1"/>
  <c r="AL104" i="27"/>
  <c r="AL23" i="31"/>
  <c r="AL39" i="31" s="1"/>
  <c r="AM103" i="27"/>
  <c r="AM106" i="27"/>
  <c r="BK10" i="31"/>
  <c r="BK10" i="30"/>
  <c r="P21" i="34"/>
  <c r="F16" i="34"/>
  <c r="BZ4" i="35"/>
  <c r="F121" i="34"/>
  <c r="G60" i="28"/>
  <c r="H59" i="28"/>
  <c r="I59" i="28" s="1"/>
  <c r="I116" i="28" s="1"/>
  <c r="G21" i="10"/>
  <c r="S10" i="10"/>
  <c r="G146" i="10"/>
  <c r="G130" i="10"/>
  <c r="G124" i="10" s="1"/>
  <c r="G147" i="10"/>
  <c r="BI81" i="30"/>
  <c r="AW81" i="30"/>
  <c r="G103" i="10"/>
  <c r="G86" i="10"/>
  <c r="G80" i="10" s="1"/>
  <c r="G102" i="10"/>
  <c r="G42" i="10"/>
  <c r="G58" i="10"/>
  <c r="G59" i="10"/>
  <c r="G133" i="6"/>
  <c r="G142" i="6" s="1"/>
  <c r="N39" i="32"/>
  <c r="O38" i="32"/>
  <c r="O39" i="32" s="1"/>
  <c r="AA39" i="32"/>
  <c r="AB38" i="32"/>
  <c r="AB39" i="32" s="1"/>
  <c r="AN39" i="32"/>
  <c r="AO38" i="32"/>
  <c r="AO39" i="32" s="1"/>
  <c r="BA39" i="32"/>
  <c r="BB38" i="32"/>
  <c r="BB39" i="32" s="1"/>
  <c r="BO38" i="32"/>
  <c r="BO39" i="32" s="1"/>
  <c r="BN39" i="32"/>
  <c r="N37" i="32"/>
  <c r="N36" i="32" s="1"/>
  <c r="O40" i="32"/>
  <c r="O37" i="32" s="1"/>
  <c r="O36" i="32" s="1"/>
  <c r="Z40" i="32"/>
  <c r="Y37" i="32"/>
  <c r="Y36" i="32" s="1"/>
  <c r="AM40" i="32"/>
  <c r="AL37" i="32"/>
  <c r="AL36" i="32" s="1"/>
  <c r="AZ40" i="32"/>
  <c r="BM40" i="32"/>
  <c r="Z43" i="32"/>
  <c r="AA41" i="32"/>
  <c r="AN41" i="32"/>
  <c r="BA41" i="32"/>
  <c r="N43" i="32"/>
  <c r="O42" i="32"/>
  <c r="O43" i="32" s="1"/>
  <c r="Z46" i="32"/>
  <c r="AA45" i="32"/>
  <c r="O50" i="32"/>
  <c r="AA50" i="32"/>
  <c r="AN50" i="32"/>
  <c r="BA50" i="32"/>
  <c r="BN50" i="32"/>
  <c r="AA52" i="32"/>
  <c r="AN52" i="32"/>
  <c r="BA52" i="32"/>
  <c r="BN52" i="32"/>
  <c r="AA75" i="31"/>
  <c r="AN75" i="31"/>
  <c r="BA75" i="31"/>
  <c r="BN75" i="31"/>
  <c r="M79" i="31"/>
  <c r="N80" i="31"/>
  <c r="Z80" i="31"/>
  <c r="AM80" i="31"/>
  <c r="AZ80" i="31"/>
  <c r="BM80" i="31"/>
  <c r="K77" i="31"/>
  <c r="L78" i="31"/>
  <c r="AJ78" i="31"/>
  <c r="BI78" i="31"/>
  <c r="O75" i="30"/>
  <c r="AA75" i="30"/>
  <c r="AN75" i="30"/>
  <c r="BA75" i="30"/>
  <c r="BN75" i="30"/>
  <c r="L79" i="30"/>
  <c r="M80" i="30"/>
  <c r="Z80" i="30"/>
  <c r="AM80" i="30"/>
  <c r="AZ80" i="30"/>
  <c r="BM80" i="30"/>
  <c r="BI78" i="30"/>
  <c r="AV78" i="30"/>
  <c r="AJ78" i="30"/>
  <c r="X78" i="30"/>
  <c r="K77" i="30"/>
  <c r="L78" i="30"/>
  <c r="X11" i="29"/>
  <c r="X15" i="29"/>
  <c r="X3" i="32"/>
  <c r="M9" i="27"/>
  <c r="M5" i="32"/>
  <c r="N10" i="29"/>
  <c r="M11" i="27"/>
  <c r="M7" i="32"/>
  <c r="N12" i="29"/>
  <c r="L9" i="32"/>
  <c r="L13" i="27"/>
  <c r="M14" i="29"/>
  <c r="Y9" i="32"/>
  <c r="Y13" i="27"/>
  <c r="Z14" i="29"/>
  <c r="AL9" i="32"/>
  <c r="AL13" i="27"/>
  <c r="AM14" i="29"/>
  <c r="AY9" i="32"/>
  <c r="AY13" i="27"/>
  <c r="AZ14" i="29"/>
  <c r="BL9" i="32"/>
  <c r="BL13" i="27"/>
  <c r="BM14" i="29"/>
  <c r="AA33" i="29"/>
  <c r="AN33" i="29"/>
  <c r="BA33" i="29"/>
  <c r="BN33" i="29"/>
  <c r="N64" i="28"/>
  <c r="M54" i="28"/>
  <c r="M111" i="28" s="1"/>
  <c r="AA64" i="28"/>
  <c r="Z54" i="28"/>
  <c r="Z111" i="28" s="1"/>
  <c r="AN64" i="28"/>
  <c r="AM54" i="28"/>
  <c r="AM111" i="28" s="1"/>
  <c r="M47" i="28"/>
  <c r="M104" i="28" s="1"/>
  <c r="N65" i="28"/>
  <c r="AA65" i="28"/>
  <c r="Z47" i="28"/>
  <c r="Z104" i="28" s="1"/>
  <c r="AN65" i="28"/>
  <c r="AM47" i="28"/>
  <c r="AM104" i="28" s="1"/>
  <c r="BA65" i="28"/>
  <c r="AZ47" i="28"/>
  <c r="AZ104" i="28" s="1"/>
  <c r="BM47" i="28"/>
  <c r="BM104" i="28" s="1"/>
  <c r="BN65" i="28"/>
  <c r="M48" i="28"/>
  <c r="M105" i="28" s="1"/>
  <c r="N68" i="28"/>
  <c r="N71" i="28"/>
  <c r="M49" i="28"/>
  <c r="M106" i="28" s="1"/>
  <c r="Z49" i="28"/>
  <c r="Z106" i="28" s="1"/>
  <c r="AA71" i="28"/>
  <c r="AN71" i="28"/>
  <c r="AM49" i="28"/>
  <c r="AM106" i="28" s="1"/>
  <c r="BA71" i="28"/>
  <c r="BN71" i="28"/>
  <c r="N41" i="28"/>
  <c r="N98" i="28" s="1"/>
  <c r="O74" i="28"/>
  <c r="O41" i="28" s="1"/>
  <c r="O98" i="28" s="1"/>
  <c r="N76" i="28"/>
  <c r="AA76" i="28"/>
  <c r="AN76" i="28"/>
  <c r="BA76" i="28"/>
  <c r="BN76" i="28"/>
  <c r="N78" i="28"/>
  <c r="AA78" i="28"/>
  <c r="AN78" i="28"/>
  <c r="BA78" i="28"/>
  <c r="BN78" i="28"/>
  <c r="AA133" i="27"/>
  <c r="AN133" i="27"/>
  <c r="BA133" i="27"/>
  <c r="BN133" i="27"/>
  <c r="N84" i="31"/>
  <c r="BN84" i="31"/>
  <c r="N84" i="30"/>
  <c r="AA84" i="30"/>
  <c r="BB84" i="30"/>
  <c r="BN84" i="30"/>
  <c r="O32" i="29"/>
  <c r="AA32" i="29"/>
  <c r="P260" i="23"/>
  <c r="P259" i="23" s="1"/>
  <c r="P75" i="34" s="1"/>
  <c r="I43" i="10"/>
  <c r="I58" i="10" s="1"/>
  <c r="I60" i="10"/>
  <c r="G74" i="6"/>
  <c r="J10" i="10"/>
  <c r="T9" i="10"/>
  <c r="H39" i="10"/>
  <c r="H60" i="10"/>
  <c r="H43" i="10"/>
  <c r="I159" i="6"/>
  <c r="G154" i="6"/>
  <c r="G173" i="6"/>
  <c r="G147" i="6"/>
  <c r="G165" i="6"/>
  <c r="G158" i="6"/>
  <c r="G150" i="6"/>
  <c r="G168" i="6"/>
  <c r="G153" i="6"/>
  <c r="G172" i="6"/>
  <c r="G174" i="6"/>
  <c r="G155" i="6"/>
  <c r="G156" i="6"/>
  <c r="G175" i="6"/>
  <c r="G171" i="6"/>
  <c r="G170" i="6" s="1"/>
  <c r="G152" i="6"/>
  <c r="G146" i="6"/>
  <c r="G164" i="6"/>
  <c r="G163" i="6" s="1"/>
  <c r="G167" i="6"/>
  <c r="G149" i="6"/>
  <c r="G148" i="6" s="1"/>
  <c r="G169" i="6" s="1"/>
  <c r="P29" i="10"/>
  <c r="M34" i="6"/>
  <c r="M25" i="6"/>
  <c r="M27" i="6" s="1"/>
  <c r="I11" i="10"/>
  <c r="J40" i="10"/>
  <c r="J33" i="10"/>
  <c r="M9" i="10"/>
  <c r="M34" i="10"/>
  <c r="M35" i="10"/>
  <c r="M41" i="10" s="1"/>
  <c r="I131" i="10"/>
  <c r="I148" i="10"/>
  <c r="I127" i="10"/>
  <c r="I12" i="10" s="1"/>
  <c r="I13" i="10" s="1"/>
  <c r="P222" i="23"/>
  <c r="W118" i="20"/>
  <c r="P117" i="20"/>
  <c r="W117" i="20" s="1"/>
  <c r="P102" i="20"/>
  <c r="P65" i="34"/>
  <c r="P177" i="23"/>
  <c r="P74" i="34" s="1"/>
  <c r="J89" i="23"/>
  <c r="J73" i="23"/>
  <c r="O29" i="24"/>
  <c r="O40" i="24"/>
  <c r="W16" i="20"/>
  <c r="P46" i="24"/>
  <c r="P55" i="34" s="1"/>
  <c r="W55" i="34" s="1"/>
  <c r="P28" i="24"/>
  <c r="P61" i="20"/>
  <c r="W59" i="20"/>
  <c r="P18" i="23"/>
  <c r="P22" i="23" s="1"/>
  <c r="P12" i="14"/>
  <c r="P49" i="14"/>
  <c r="W58" i="20"/>
  <c r="P122" i="10"/>
  <c r="P128" i="10" s="1"/>
  <c r="P123" i="10"/>
  <c r="P79" i="10"/>
  <c r="P78" i="10"/>
  <c r="P84" i="10" s="1"/>
  <c r="F145" i="6"/>
  <c r="F163" i="6"/>
  <c r="F170" i="6"/>
  <c r="F151" i="6"/>
  <c r="F148" i="6"/>
  <c r="F169" i="6" s="1"/>
  <c r="F166" i="6" s="1"/>
  <c r="H182" i="6"/>
  <c r="I83" i="6"/>
  <c r="I78" i="6"/>
  <c r="I77" i="6"/>
  <c r="I86" i="6"/>
  <c r="I75" i="6"/>
  <c r="I84" i="6"/>
  <c r="I76" i="6"/>
  <c r="H80" i="6"/>
  <c r="H83" i="6"/>
  <c r="H75" i="6"/>
  <c r="J181" i="6"/>
  <c r="J176" i="6"/>
  <c r="L181" i="6"/>
  <c r="L176" i="6"/>
  <c r="I178" i="6"/>
  <c r="I182" i="6" s="1"/>
  <c r="H161" i="6"/>
  <c r="H160" i="6"/>
  <c r="J38" i="6"/>
  <c r="J179" i="6" s="1"/>
  <c r="J36" i="6"/>
  <c r="J46" i="6"/>
  <c r="J45" i="6"/>
  <c r="J29" i="6"/>
  <c r="J30" i="6" s="1"/>
  <c r="L29" i="6"/>
  <c r="L30" i="6" s="1"/>
  <c r="L46" i="6"/>
  <c r="L45" i="6"/>
  <c r="I79" i="6"/>
  <c r="I81" i="6"/>
  <c r="H76" i="6"/>
  <c r="H82" i="6"/>
  <c r="H79" i="6"/>
  <c r="H77" i="6"/>
  <c r="I80" i="6"/>
  <c r="I158" i="6" s="1"/>
  <c r="I82" i="6"/>
  <c r="I85" i="6"/>
  <c r="H85" i="6"/>
  <c r="H84" i="6"/>
  <c r="H81" i="6"/>
  <c r="H78" i="6"/>
  <c r="H86" i="6"/>
  <c r="J58" i="6"/>
  <c r="P23" i="6"/>
  <c r="I140" i="6"/>
  <c r="E148" i="6"/>
  <c r="E169" i="6" s="1"/>
  <c r="E166" i="6" s="1"/>
  <c r="I134" i="6"/>
  <c r="H140" i="6"/>
  <c r="H134" i="6"/>
  <c r="I137" i="6"/>
  <c r="H137" i="6"/>
  <c r="E44" i="6"/>
  <c r="E41" i="6" s="1"/>
  <c r="F135" i="6"/>
  <c r="F133" i="6" s="1"/>
  <c r="F138" i="6"/>
  <c r="F136" i="6" s="1"/>
  <c r="E141" i="6"/>
  <c r="E139" i="6" s="1"/>
  <c r="F141" i="6"/>
  <c r="F139" i="6" s="1"/>
  <c r="E135" i="6"/>
  <c r="E133" i="6" s="1"/>
  <c r="E138" i="6"/>
  <c r="E136" i="6" s="1"/>
  <c r="E151" i="6"/>
  <c r="E170" i="6"/>
  <c r="E145" i="6"/>
  <c r="E163" i="6"/>
  <c r="O6" i="4"/>
  <c r="N46" i="32" l="1"/>
  <c r="O45" i="32"/>
  <c r="O46" i="32" s="1"/>
  <c r="G117" i="28"/>
  <c r="G61" i="28"/>
  <c r="G145" i="6"/>
  <c r="U21" i="9"/>
  <c r="G151" i="6"/>
  <c r="N19" i="25"/>
  <c r="O19" i="25" s="1"/>
  <c r="AW9" i="29"/>
  <c r="Y9" i="29"/>
  <c r="AY6" i="27"/>
  <c r="BL6" i="27"/>
  <c r="H103" i="10"/>
  <c r="H86" i="10"/>
  <c r="H80" i="10" s="1"/>
  <c r="H102" i="10"/>
  <c r="O10" i="20"/>
  <c r="O8" i="10"/>
  <c r="X10" i="27"/>
  <c r="BH25" i="31"/>
  <c r="BH41" i="31" s="1"/>
  <c r="BH79" i="31" s="1"/>
  <c r="BH77" i="31" s="1"/>
  <c r="BH25" i="30"/>
  <c r="BH41" i="30" s="1"/>
  <c r="AW7" i="27"/>
  <c r="AX8" i="29"/>
  <c r="BJ8" i="29"/>
  <c r="BI7" i="27"/>
  <c r="J92" i="27"/>
  <c r="J12" i="27"/>
  <c r="J93" i="27" s="1"/>
  <c r="X86" i="27"/>
  <c r="X85" i="27"/>
  <c r="X14" i="27"/>
  <c r="W92" i="27"/>
  <c r="W12" i="27"/>
  <c r="W93" i="27" s="1"/>
  <c r="AL9" i="29"/>
  <c r="G44" i="14"/>
  <c r="G47" i="14" s="1"/>
  <c r="H21" i="14"/>
  <c r="H19" i="14"/>
  <c r="AK85" i="27"/>
  <c r="AK86" i="27"/>
  <c r="AK14" i="27"/>
  <c r="Z8" i="29"/>
  <c r="Y7" i="27"/>
  <c r="Y8" i="27" s="1"/>
  <c r="D26" i="27"/>
  <c r="M132" i="10"/>
  <c r="D53" i="27"/>
  <c r="S11" i="10"/>
  <c r="H49" i="20"/>
  <c r="L40" i="10"/>
  <c r="L39" i="10" s="1"/>
  <c r="L33" i="10"/>
  <c r="L10" i="10"/>
  <c r="U10" i="10" s="1"/>
  <c r="U9" i="10"/>
  <c r="E18" i="32"/>
  <c r="E22" i="32"/>
  <c r="D65" i="32"/>
  <c r="D19" i="32"/>
  <c r="D26" i="32"/>
  <c r="D23" i="32"/>
  <c r="D30" i="32"/>
  <c r="D33" i="32"/>
  <c r="D77" i="29"/>
  <c r="D37" i="29"/>
  <c r="E38" i="29"/>
  <c r="E39" i="29"/>
  <c r="E78" i="29" s="1"/>
  <c r="E34" i="27"/>
  <c r="E45" i="29"/>
  <c r="E42" i="27"/>
  <c r="E27" i="29"/>
  <c r="E38" i="27" s="1"/>
  <c r="E89" i="29"/>
  <c r="E47" i="29"/>
  <c r="E86" i="29" s="1"/>
  <c r="F26" i="29"/>
  <c r="F24" i="29"/>
  <c r="F50" i="29"/>
  <c r="F25" i="27"/>
  <c r="F87" i="27" s="1"/>
  <c r="BR87" i="27" s="1"/>
  <c r="BY91" i="27"/>
  <c r="BY84" i="27"/>
  <c r="M88" i="10"/>
  <c r="D41" i="27"/>
  <c r="D89" i="27" s="1"/>
  <c r="H12" i="10"/>
  <c r="J11" i="10"/>
  <c r="AJ6" i="32"/>
  <c r="AJ8" i="32" s="1"/>
  <c r="H105" i="10"/>
  <c r="L14" i="27"/>
  <c r="H20" i="10"/>
  <c r="K35" i="10"/>
  <c r="K41" i="10" s="1"/>
  <c r="K9" i="10"/>
  <c r="K10" i="10" s="1"/>
  <c r="K34" i="10"/>
  <c r="K34" i="6"/>
  <c r="K25" i="6"/>
  <c r="K27" i="6" s="1"/>
  <c r="L34" i="6"/>
  <c r="E18" i="27"/>
  <c r="E99" i="30"/>
  <c r="E105" i="30"/>
  <c r="D64" i="27"/>
  <c r="J107" i="28"/>
  <c r="J46" i="28"/>
  <c r="H147" i="10"/>
  <c r="H130" i="10"/>
  <c r="H124" i="10" s="1"/>
  <c r="H146" i="10"/>
  <c r="E53" i="27"/>
  <c r="E84" i="29"/>
  <c r="Z7" i="29"/>
  <c r="Z9" i="29" s="1"/>
  <c r="Z5" i="27"/>
  <c r="Z6" i="27" s="1"/>
  <c r="AA6" i="29"/>
  <c r="AN6" i="29"/>
  <c r="AM5" i="27"/>
  <c r="AM6" i="27" s="1"/>
  <c r="AM7" i="29"/>
  <c r="BA6" i="29"/>
  <c r="AZ5" i="27"/>
  <c r="AZ6" i="27" s="1"/>
  <c r="AZ7" i="29"/>
  <c r="BN6" i="29"/>
  <c r="BM7" i="29"/>
  <c r="BM5" i="27"/>
  <c r="BM6" i="27" s="1"/>
  <c r="K10" i="32"/>
  <c r="K6" i="32"/>
  <c r="K8" i="32" s="1"/>
  <c r="K92" i="27"/>
  <c r="K12" i="27"/>
  <c r="K93" i="27" s="1"/>
  <c r="L10" i="27"/>
  <c r="L86" i="27"/>
  <c r="BT86" i="27" s="1"/>
  <c r="L85" i="27"/>
  <c r="BT85" i="27" s="1"/>
  <c r="L3" i="32"/>
  <c r="L11" i="29"/>
  <c r="L13" i="29" s="1"/>
  <c r="L15" i="29"/>
  <c r="N8" i="29"/>
  <c r="M7" i="27"/>
  <c r="M8" i="27" s="1"/>
  <c r="M9" i="29"/>
  <c r="BE84" i="27"/>
  <c r="BE6" i="27"/>
  <c r="BE8" i="27" s="1"/>
  <c r="BE91" i="27"/>
  <c r="BE15" i="29"/>
  <c r="BE11" i="29"/>
  <c r="BE13" i="29" s="1"/>
  <c r="BE3" i="32"/>
  <c r="BG11" i="29"/>
  <c r="BG13" i="29" s="1"/>
  <c r="BG3" i="32"/>
  <c r="BG15" i="29"/>
  <c r="BG91" i="27"/>
  <c r="BG6" i="27"/>
  <c r="BG8" i="27" s="1"/>
  <c r="BG84" i="27"/>
  <c r="BK6" i="27"/>
  <c r="BK91" i="27"/>
  <c r="BK84" i="27"/>
  <c r="BF11" i="29"/>
  <c r="BF13" i="29" s="1"/>
  <c r="BF3" i="32"/>
  <c r="BF15" i="29"/>
  <c r="BF6" i="27"/>
  <c r="BF8" i="27" s="1"/>
  <c r="BF91" i="27"/>
  <c r="BF84" i="27"/>
  <c r="BI6" i="27"/>
  <c r="BI91" i="27"/>
  <c r="BI84" i="27"/>
  <c r="BD6" i="27"/>
  <c r="BD8" i="27" s="1"/>
  <c r="BD91" i="27"/>
  <c r="BD84" i="27"/>
  <c r="BD11" i="29"/>
  <c r="BD13" i="29" s="1"/>
  <c r="BD3" i="32"/>
  <c r="BD15" i="29"/>
  <c r="BH6" i="27"/>
  <c r="BH8" i="27" s="1"/>
  <c r="BH91" i="27"/>
  <c r="BH84" i="27"/>
  <c r="BJ6" i="27"/>
  <c r="BJ91" i="27"/>
  <c r="BJ84" i="27"/>
  <c r="BD11" i="30"/>
  <c r="BD13" i="30" s="1"/>
  <c r="BD15" i="30"/>
  <c r="BD15" i="31"/>
  <c r="BD11" i="31"/>
  <c r="BD13" i="31" s="1"/>
  <c r="BD104" i="28"/>
  <c r="BD9" i="28"/>
  <c r="BP7" i="28"/>
  <c r="AR3" i="32"/>
  <c r="AR15" i="29"/>
  <c r="AR11" i="29"/>
  <c r="AR13" i="29" s="1"/>
  <c r="AR6" i="27"/>
  <c r="AR8" i="27" s="1"/>
  <c r="AR91" i="27"/>
  <c r="AR84" i="27"/>
  <c r="AU11" i="29"/>
  <c r="AU13" i="29" s="1"/>
  <c r="AU15" i="29"/>
  <c r="AU3" i="32"/>
  <c r="AU6" i="27"/>
  <c r="AU8" i="27" s="1"/>
  <c r="AU91" i="27"/>
  <c r="AU84" i="27"/>
  <c r="AX6" i="27"/>
  <c r="AX91" i="27"/>
  <c r="AX84" i="27"/>
  <c r="AS91" i="27"/>
  <c r="AS84" i="27"/>
  <c r="AS6" i="27"/>
  <c r="AS8" i="27" s="1"/>
  <c r="AS11" i="29"/>
  <c r="AS13" i="29" s="1"/>
  <c r="AS3" i="32"/>
  <c r="AS15" i="29"/>
  <c r="AV6" i="27"/>
  <c r="AV8" i="27" s="1"/>
  <c r="AV91" i="27"/>
  <c r="AV84" i="27"/>
  <c r="AQ11" i="29"/>
  <c r="AQ13" i="29" s="1"/>
  <c r="AQ3" i="32"/>
  <c r="AQ15" i="29"/>
  <c r="AQ91" i="27"/>
  <c r="AQ84" i="27"/>
  <c r="AQ6" i="27"/>
  <c r="AQ8" i="27" s="1"/>
  <c r="AT11" i="29"/>
  <c r="AT13" i="29" s="1"/>
  <c r="AT15" i="29"/>
  <c r="AT3" i="32"/>
  <c r="AT6" i="27"/>
  <c r="AT8" i="27" s="1"/>
  <c r="AT84" i="27"/>
  <c r="AT91" i="27"/>
  <c r="AW6" i="27"/>
  <c r="AW91" i="27"/>
  <c r="AW84" i="27"/>
  <c r="BC9" i="30"/>
  <c r="AQ11" i="30"/>
  <c r="AQ15" i="30"/>
  <c r="BC15" i="30" s="1"/>
  <c r="BC9" i="31"/>
  <c r="AQ15" i="31"/>
  <c r="BC15" i="31" s="1"/>
  <c r="AQ11" i="31"/>
  <c r="AS11" i="28"/>
  <c r="AS49" i="28"/>
  <c r="AQ104" i="28"/>
  <c r="BC7" i="28"/>
  <c r="AQ9" i="28"/>
  <c r="V59" i="20"/>
  <c r="N61" i="20"/>
  <c r="N123" i="10"/>
  <c r="N129" i="10" s="1"/>
  <c r="N132" i="10" s="1"/>
  <c r="N122" i="10"/>
  <c r="N49" i="14"/>
  <c r="N12" i="14"/>
  <c r="N46" i="14" s="1"/>
  <c r="N78" i="10"/>
  <c r="N79" i="10"/>
  <c r="N85" i="10" s="1"/>
  <c r="N88" i="10" s="1"/>
  <c r="O16" i="9"/>
  <c r="O14" i="9"/>
  <c r="O15" i="9"/>
  <c r="O8" i="14"/>
  <c r="O10" i="14" s="1"/>
  <c r="AE10" i="32"/>
  <c r="AE6" i="32"/>
  <c r="AE8" i="32" s="1"/>
  <c r="AE14" i="27"/>
  <c r="AE10" i="27"/>
  <c r="AG6" i="32"/>
  <c r="AG8" i="32" s="1"/>
  <c r="AG10" i="32"/>
  <c r="AG10" i="27"/>
  <c r="AG14" i="27"/>
  <c r="AF10" i="27"/>
  <c r="AF14" i="27"/>
  <c r="AF6" i="32"/>
  <c r="AF8" i="32" s="1"/>
  <c r="AF10" i="32"/>
  <c r="AI10" i="32"/>
  <c r="AI6" i="32"/>
  <c r="AI8" i="32" s="1"/>
  <c r="AI10" i="27"/>
  <c r="AI14" i="27"/>
  <c r="AD6" i="32"/>
  <c r="AD8" i="32" s="1"/>
  <c r="AD10" i="32"/>
  <c r="BX84" i="27"/>
  <c r="AP84" i="27"/>
  <c r="AD10" i="27"/>
  <c r="AD14" i="27"/>
  <c r="BX91" i="27"/>
  <c r="AP91" i="27"/>
  <c r="AH6" i="32"/>
  <c r="AH8" i="32" s="1"/>
  <c r="AH10" i="32"/>
  <c r="AH10" i="27"/>
  <c r="AH14" i="27"/>
  <c r="AD13" i="30"/>
  <c r="AP13" i="30" s="1"/>
  <c r="AP11" i="30"/>
  <c r="AD13" i="31"/>
  <c r="AP13" i="31" s="1"/>
  <c r="AP11" i="31"/>
  <c r="AD49" i="28"/>
  <c r="AD106" i="28" s="1"/>
  <c r="BX106" i="28" s="1"/>
  <c r="AD48" i="28"/>
  <c r="AP9" i="28"/>
  <c r="AD11" i="28"/>
  <c r="AG38" i="28"/>
  <c r="AG41" i="28"/>
  <c r="AG98" i="28" s="1"/>
  <c r="AF38" i="28"/>
  <c r="AF41" i="28"/>
  <c r="AF98" i="28" s="1"/>
  <c r="U61" i="20"/>
  <c r="L63" i="20"/>
  <c r="U63" i="20" s="1"/>
  <c r="L77" i="10"/>
  <c r="L84" i="10"/>
  <c r="L121" i="10"/>
  <c r="L128" i="10"/>
  <c r="S92" i="27"/>
  <c r="S12" i="27"/>
  <c r="S93" i="27" s="1"/>
  <c r="R12" i="27"/>
  <c r="R93" i="27" s="1"/>
  <c r="R92" i="27"/>
  <c r="U12" i="27"/>
  <c r="U93" i="27" s="1"/>
  <c r="U92" i="27"/>
  <c r="Q92" i="27"/>
  <c r="Q12" i="27"/>
  <c r="Q93" i="27" s="1"/>
  <c r="T12" i="27"/>
  <c r="T93" i="27" s="1"/>
  <c r="T92" i="27"/>
  <c r="V92" i="27"/>
  <c r="V12" i="27"/>
  <c r="V93" i="27" s="1"/>
  <c r="BV93" i="27" s="1"/>
  <c r="Q105" i="28"/>
  <c r="BV105" i="28" s="1"/>
  <c r="AC48" i="28"/>
  <c r="AC105" i="28" s="1"/>
  <c r="Q15" i="28"/>
  <c r="Q38" i="28"/>
  <c r="Q41" i="28"/>
  <c r="AC11" i="28"/>
  <c r="K19" i="9"/>
  <c r="U20" i="9"/>
  <c r="K78" i="10"/>
  <c r="K79" i="10"/>
  <c r="K85" i="10" s="1"/>
  <c r="K122" i="10"/>
  <c r="K123" i="10"/>
  <c r="K129" i="10" s="1"/>
  <c r="F19" i="27"/>
  <c r="F20" i="30"/>
  <c r="F36" i="30" s="1"/>
  <c r="F22" i="30"/>
  <c r="G17" i="30"/>
  <c r="G18" i="30" s="1"/>
  <c r="E27" i="27"/>
  <c r="E29" i="30"/>
  <c r="E30" i="30"/>
  <c r="F105" i="30"/>
  <c r="F99" i="30"/>
  <c r="E43" i="27"/>
  <c r="D45" i="30"/>
  <c r="D108" i="30"/>
  <c r="D48" i="30"/>
  <c r="D60" i="33"/>
  <c r="D49" i="30"/>
  <c r="D61" i="33"/>
  <c r="D59" i="33"/>
  <c r="D47" i="30"/>
  <c r="D54" i="30"/>
  <c r="D62" i="33"/>
  <c r="D50" i="30"/>
  <c r="D73" i="27"/>
  <c r="D33" i="30"/>
  <c r="D34" i="30"/>
  <c r="D31" i="30"/>
  <c r="D32" i="30"/>
  <c r="E44" i="27"/>
  <c r="E29" i="31"/>
  <c r="E30" i="31"/>
  <c r="E28" i="27"/>
  <c r="F20" i="31"/>
  <c r="F36" i="31" s="1"/>
  <c r="F22" i="31"/>
  <c r="F20" i="27"/>
  <c r="G17" i="31"/>
  <c r="G18" i="31" s="1"/>
  <c r="D108" i="31"/>
  <c r="D45" i="31"/>
  <c r="D69" i="33"/>
  <c r="D48" i="31"/>
  <c r="D50" i="31"/>
  <c r="D71" i="33"/>
  <c r="D49" i="31"/>
  <c r="D70" i="33"/>
  <c r="D54" i="31"/>
  <c r="D52" i="31" s="1"/>
  <c r="D47" i="31"/>
  <c r="D68" i="33"/>
  <c r="D81" i="27"/>
  <c r="D31" i="31"/>
  <c r="D32" i="31"/>
  <c r="D33" i="31"/>
  <c r="D34" i="31"/>
  <c r="K17" i="28"/>
  <c r="K18" i="28"/>
  <c r="K50" i="28" s="1"/>
  <c r="K52" i="28"/>
  <c r="K109" i="28" s="1"/>
  <c r="L13" i="28"/>
  <c r="L15" i="28" s="1"/>
  <c r="K16" i="28"/>
  <c r="J28" i="28"/>
  <c r="J29" i="28"/>
  <c r="J86" i="28" s="1"/>
  <c r="J35" i="28"/>
  <c r="J92" i="28" s="1"/>
  <c r="K53" i="28"/>
  <c r="K110" i="28" s="1"/>
  <c r="K51" i="28"/>
  <c r="K108" i="28" s="1"/>
  <c r="J94" i="28"/>
  <c r="BT94" i="28" s="1"/>
  <c r="G110" i="34" s="1"/>
  <c r="P37" i="28"/>
  <c r="P94" i="28" s="1"/>
  <c r="I102" i="10"/>
  <c r="I86" i="10"/>
  <c r="I80" i="10" s="1"/>
  <c r="I103" i="10"/>
  <c r="J127" i="10"/>
  <c r="J148" i="10"/>
  <c r="J87" i="10"/>
  <c r="J83" i="10"/>
  <c r="J104" i="10"/>
  <c r="R95" i="28"/>
  <c r="R37" i="28"/>
  <c r="R94" i="28" s="1"/>
  <c r="U95" i="28"/>
  <c r="U37" i="28"/>
  <c r="U94" i="28" s="1"/>
  <c r="Z95" i="28"/>
  <c r="Z37" i="28"/>
  <c r="Z94" i="28" s="1"/>
  <c r="AA95" i="28"/>
  <c r="AA37" i="28"/>
  <c r="AA94" i="28" s="1"/>
  <c r="T95" i="28"/>
  <c r="T37" i="28"/>
  <c r="T94" i="28" s="1"/>
  <c r="V95" i="28"/>
  <c r="V37" i="28"/>
  <c r="V94" i="28" s="1"/>
  <c r="X95" i="28"/>
  <c r="X37" i="28"/>
  <c r="X94" i="28" s="1"/>
  <c r="AB95" i="28"/>
  <c r="AB37" i="28"/>
  <c r="AB94" i="28" s="1"/>
  <c r="S95" i="28"/>
  <c r="S37" i="28"/>
  <c r="S94" i="28" s="1"/>
  <c r="W95" i="28"/>
  <c r="W37" i="28"/>
  <c r="W94" i="28" s="1"/>
  <c r="Y95" i="28"/>
  <c r="Y37" i="28"/>
  <c r="Y94" i="28" s="1"/>
  <c r="M77" i="10"/>
  <c r="M84" i="10"/>
  <c r="M121" i="10"/>
  <c r="M128" i="10"/>
  <c r="BL84" i="27"/>
  <c r="BL91" i="27"/>
  <c r="AY91" i="27"/>
  <c r="AY84" i="27"/>
  <c r="V20" i="9"/>
  <c r="N19" i="9"/>
  <c r="AI38" i="28"/>
  <c r="AI41" i="28"/>
  <c r="AI98" i="28" s="1"/>
  <c r="AM38" i="28"/>
  <c r="AM41" i="28"/>
  <c r="AM98" i="28" s="1"/>
  <c r="AJ38" i="28"/>
  <c r="AJ41" i="28"/>
  <c r="AJ98" i="28" s="1"/>
  <c r="AL41" i="28"/>
  <c r="AL98" i="28" s="1"/>
  <c r="AL38" i="28"/>
  <c r="AO41" i="28"/>
  <c r="AO98" i="28" s="1"/>
  <c r="AO38" i="28"/>
  <c r="AE41" i="28"/>
  <c r="AE98" i="28" s="1"/>
  <c r="AE38" i="28"/>
  <c r="AH38" i="28"/>
  <c r="AH41" i="28"/>
  <c r="AH98" i="28" s="1"/>
  <c r="AK38" i="28"/>
  <c r="AK41" i="28"/>
  <c r="AK98" i="28" s="1"/>
  <c r="AN38" i="28"/>
  <c r="AN41" i="28"/>
  <c r="AN98" i="28" s="1"/>
  <c r="BV85" i="27"/>
  <c r="BV86" i="27"/>
  <c r="L19" i="9"/>
  <c r="L22" i="9" s="1"/>
  <c r="BW98" i="28"/>
  <c r="J115" i="34" s="1"/>
  <c r="J114" i="34" s="1"/>
  <c r="BY105" i="28"/>
  <c r="CB111" i="28"/>
  <c r="BZ111" i="28"/>
  <c r="AJ10" i="27"/>
  <c r="BH3" i="32"/>
  <c r="BH11" i="29"/>
  <c r="BH13" i="29" s="1"/>
  <c r="BH15" i="29"/>
  <c r="BF11" i="28"/>
  <c r="BF49" i="28"/>
  <c r="BF106" i="28" s="1"/>
  <c r="BF48" i="28"/>
  <c r="BF105" i="28" s="1"/>
  <c r="BI11" i="28"/>
  <c r="BI49" i="28"/>
  <c r="BI106" i="28" s="1"/>
  <c r="BI48" i="28"/>
  <c r="BI105" i="28" s="1"/>
  <c r="BK11" i="28"/>
  <c r="BK49" i="28"/>
  <c r="BK106" i="28" s="1"/>
  <c r="BK48" i="28"/>
  <c r="BK105" i="28" s="1"/>
  <c r="BM11" i="28"/>
  <c r="BM49" i="28"/>
  <c r="BM106" i="28" s="1"/>
  <c r="BM48" i="28"/>
  <c r="BM105" i="28" s="1"/>
  <c r="BO11" i="28"/>
  <c r="BO48" i="28"/>
  <c r="BO105" i="28" s="1"/>
  <c r="BG11" i="28"/>
  <c r="BG49" i="28"/>
  <c r="BG106" i="28" s="1"/>
  <c r="BG48" i="28"/>
  <c r="BG105" i="28" s="1"/>
  <c r="BL11" i="28"/>
  <c r="BL49" i="28"/>
  <c r="BL106" i="28" s="1"/>
  <c r="BL48" i="28"/>
  <c r="BL105" i="28" s="1"/>
  <c r="BE11" i="28"/>
  <c r="BE48" i="28"/>
  <c r="BE105" i="28" s="1"/>
  <c r="BE49" i="28"/>
  <c r="BE106" i="28" s="1"/>
  <c r="BE104" i="28"/>
  <c r="BH11" i="28"/>
  <c r="BH49" i="28"/>
  <c r="BH106" i="28" s="1"/>
  <c r="BH48" i="28"/>
  <c r="BH105" i="28" s="1"/>
  <c r="BJ11" i="28"/>
  <c r="BJ48" i="28"/>
  <c r="BJ105" i="28" s="1"/>
  <c r="BJ49" i="28"/>
  <c r="BJ106" i="28" s="1"/>
  <c r="BN11" i="28"/>
  <c r="BN48" i="28"/>
  <c r="BN105" i="28" s="1"/>
  <c r="AV3" i="32"/>
  <c r="AV15" i="29"/>
  <c r="AV11" i="29"/>
  <c r="AV13" i="29" s="1"/>
  <c r="AV11" i="28"/>
  <c r="AV49" i="28"/>
  <c r="AV106" i="28" s="1"/>
  <c r="AV48" i="28"/>
  <c r="AV105" i="28" s="1"/>
  <c r="AY11" i="28"/>
  <c r="AY49" i="28"/>
  <c r="AY106" i="28" s="1"/>
  <c r="AY48" i="28"/>
  <c r="AY105" i="28" s="1"/>
  <c r="BB11" i="28"/>
  <c r="BB48" i="28"/>
  <c r="BB105" i="28" s="1"/>
  <c r="AR11" i="28"/>
  <c r="AR49" i="28"/>
  <c r="AR106" i="28" s="1"/>
  <c r="AR48" i="28"/>
  <c r="AR105" i="28" s="1"/>
  <c r="AR104" i="28"/>
  <c r="AU11" i="28"/>
  <c r="AU48" i="28"/>
  <c r="AU105" i="28" s="1"/>
  <c r="AU49" i="28"/>
  <c r="AU106" i="28" s="1"/>
  <c r="AX11" i="28"/>
  <c r="AX49" i="28"/>
  <c r="AX106" i="28" s="1"/>
  <c r="AX48" i="28"/>
  <c r="AX105" i="28" s="1"/>
  <c r="AT11" i="28"/>
  <c r="AT49" i="28"/>
  <c r="AT106" i="28" s="1"/>
  <c r="AT48" i="28"/>
  <c r="AT105" i="28" s="1"/>
  <c r="AW11" i="28"/>
  <c r="AW49" i="28"/>
  <c r="AW106" i="28" s="1"/>
  <c r="AW48" i="28"/>
  <c r="AW105" i="28" s="1"/>
  <c r="AZ11" i="28"/>
  <c r="AZ48" i="28"/>
  <c r="AZ105" i="28" s="1"/>
  <c r="AZ49" i="28"/>
  <c r="AZ106" i="28" s="1"/>
  <c r="BA11" i="28"/>
  <c r="BA48" i="28"/>
  <c r="BA105" i="28" s="1"/>
  <c r="N34" i="6"/>
  <c r="N25" i="6"/>
  <c r="N27" i="6" s="1"/>
  <c r="N34" i="10"/>
  <c r="N35" i="10"/>
  <c r="N41" i="10" s="1"/>
  <c r="N44" i="10" s="1"/>
  <c r="N9" i="10"/>
  <c r="AE86" i="27"/>
  <c r="AE85" i="27"/>
  <c r="AG86" i="27"/>
  <c r="AG85" i="27"/>
  <c r="AF85" i="27"/>
  <c r="AF86" i="27"/>
  <c r="AI85" i="27"/>
  <c r="AI86" i="27"/>
  <c r="AD85" i="27"/>
  <c r="AD86" i="27"/>
  <c r="AH86" i="27"/>
  <c r="AH85" i="27"/>
  <c r="AJ14" i="27"/>
  <c r="AJ86" i="27"/>
  <c r="AJ85" i="27"/>
  <c r="F15" i="32"/>
  <c r="F22" i="32" s="1"/>
  <c r="G12" i="32"/>
  <c r="G13" i="32" s="1"/>
  <c r="G20" i="29"/>
  <c r="G22" i="29"/>
  <c r="G17" i="27"/>
  <c r="H16" i="27" s="1"/>
  <c r="H17" i="29"/>
  <c r="H18" i="29" s="1"/>
  <c r="AU78" i="31"/>
  <c r="AT77" i="31"/>
  <c r="V77" i="31"/>
  <c r="W78" i="31"/>
  <c r="N15" i="27"/>
  <c r="N11" i="32"/>
  <c r="O16" i="29"/>
  <c r="BK64" i="28"/>
  <c r="BJ54" i="28"/>
  <c r="BJ111" i="28" s="1"/>
  <c r="AW54" i="28"/>
  <c r="AW111" i="28" s="1"/>
  <c r="AX64" i="28"/>
  <c r="BM41" i="32"/>
  <c r="BJ43" i="32"/>
  <c r="BK42" i="32"/>
  <c r="AX43" i="32"/>
  <c r="AY42" i="32"/>
  <c r="AL43" i="32"/>
  <c r="AM42" i="32"/>
  <c r="BJ46" i="32"/>
  <c r="BK45" i="32"/>
  <c r="AX46" i="32"/>
  <c r="AY45" i="32"/>
  <c r="AM45" i="32"/>
  <c r="AL46" i="32"/>
  <c r="BJ37" i="32"/>
  <c r="BJ36" i="32" s="1"/>
  <c r="BK47" i="32"/>
  <c r="AX37" i="32"/>
  <c r="AX36" i="32" s="1"/>
  <c r="AY47" i="32"/>
  <c r="BK9" i="31"/>
  <c r="BL8" i="31"/>
  <c r="BK9" i="30"/>
  <c r="BL8" i="30"/>
  <c r="BI15" i="29"/>
  <c r="BI3" i="32"/>
  <c r="BI10" i="32" s="1"/>
  <c r="AK3" i="32"/>
  <c r="AK10" i="32" s="1"/>
  <c r="AK15" i="29"/>
  <c r="AL7" i="27"/>
  <c r="AL8" i="27" s="1"/>
  <c r="AM8" i="29"/>
  <c r="H159" i="6"/>
  <c r="BJ15" i="31"/>
  <c r="BJ15" i="30"/>
  <c r="G105" i="10"/>
  <c r="G16" i="10"/>
  <c r="G17" i="10" s="1"/>
  <c r="BH79" i="30"/>
  <c r="BH77" i="30" s="1"/>
  <c r="G18" i="10"/>
  <c r="G19" i="10" s="1"/>
  <c r="G46" i="34" s="1"/>
  <c r="BL24" i="35"/>
  <c r="BM92" i="35"/>
  <c r="AX4" i="35"/>
  <c r="AY24" i="35"/>
  <c r="AZ92" i="35"/>
  <c r="BO23" i="35"/>
  <c r="BN23" i="35"/>
  <c r="BP23" i="35" s="1"/>
  <c r="BB23" i="35"/>
  <c r="BA23" i="35"/>
  <c r="AO24" i="35"/>
  <c r="AO23" i="35"/>
  <c r="AN24" i="35"/>
  <c r="AP24" i="35" s="1"/>
  <c r="AN23" i="35"/>
  <c r="AM4" i="35"/>
  <c r="AA24" i="35"/>
  <c r="AA23" i="35"/>
  <c r="AB23" i="35"/>
  <c r="AB24" i="35"/>
  <c r="N24" i="35"/>
  <c r="N23" i="35"/>
  <c r="P23" i="35" s="1"/>
  <c r="O23" i="35"/>
  <c r="O24" i="35"/>
  <c r="Z4" i="35"/>
  <c r="M4" i="35"/>
  <c r="O24" i="34"/>
  <c r="M24" i="34"/>
  <c r="BI105" i="27"/>
  <c r="I42" i="10"/>
  <c r="I36" i="10" s="1"/>
  <c r="I59" i="10"/>
  <c r="I61" i="10" s="1"/>
  <c r="I20" i="10"/>
  <c r="I21" i="10" s="1"/>
  <c r="J59" i="24"/>
  <c r="J56" i="24"/>
  <c r="K56" i="24" s="1"/>
  <c r="K83" i="20"/>
  <c r="K60" i="24"/>
  <c r="K82" i="20" s="1"/>
  <c r="L58" i="24"/>
  <c r="L55" i="24"/>
  <c r="L59" i="24" s="1"/>
  <c r="L83" i="20" s="1"/>
  <c r="N47" i="24"/>
  <c r="N43" i="24"/>
  <c r="N36" i="34" s="1"/>
  <c r="V36" i="34" s="1"/>
  <c r="N42" i="24"/>
  <c r="N31" i="24"/>
  <c r="N81" i="20" s="1"/>
  <c r="V81" i="20" s="1"/>
  <c r="M48" i="24"/>
  <c r="M49" i="24" s="1"/>
  <c r="M45" i="24"/>
  <c r="O30" i="24"/>
  <c r="O51" i="25"/>
  <c r="X25" i="30"/>
  <c r="X41" i="30" s="1"/>
  <c r="X79" i="30" s="1"/>
  <c r="X77" i="30" s="1"/>
  <c r="X25" i="31"/>
  <c r="X41" i="31" s="1"/>
  <c r="X79" i="31" s="1"/>
  <c r="Y27" i="30"/>
  <c r="Y43" i="30" s="1"/>
  <c r="Y27" i="31"/>
  <c r="Y43" i="31" s="1"/>
  <c r="Y105" i="27"/>
  <c r="Z107" i="27"/>
  <c r="Y9" i="27"/>
  <c r="Y5" i="32"/>
  <c r="Z10" i="29"/>
  <c r="AK11" i="29"/>
  <c r="AK13" i="29" s="1"/>
  <c r="AL10" i="29"/>
  <c r="AK9" i="27"/>
  <c r="AK10" i="27" s="1"/>
  <c r="AK92" i="27" s="1"/>
  <c r="AK5" i="32"/>
  <c r="AX10" i="29"/>
  <c r="AW9" i="27"/>
  <c r="AW5" i="32"/>
  <c r="BI11" i="29"/>
  <c r="BI13" i="29" s="1"/>
  <c r="BJ10" i="29"/>
  <c r="BI5" i="32"/>
  <c r="BI9" i="27"/>
  <c r="AX12" i="29"/>
  <c r="AW7" i="32"/>
  <c r="AW11" i="27"/>
  <c r="BJ12" i="29"/>
  <c r="BI7" i="32"/>
  <c r="BI11" i="27"/>
  <c r="AK11" i="27"/>
  <c r="AL12" i="29"/>
  <c r="AK7" i="32"/>
  <c r="Z12" i="29"/>
  <c r="Y7" i="32"/>
  <c r="Y11" i="27"/>
  <c r="M24" i="30"/>
  <c r="M40" i="30" s="1"/>
  <c r="M24" i="31"/>
  <c r="M40" i="31" s="1"/>
  <c r="N23" i="31"/>
  <c r="N39" i="31" s="1"/>
  <c r="O103" i="27"/>
  <c r="N104" i="27"/>
  <c r="N23" i="30"/>
  <c r="N39" i="30" s="1"/>
  <c r="BB24" i="31"/>
  <c r="BB40" i="31" s="1"/>
  <c r="BB24" i="30"/>
  <c r="BB40" i="30" s="1"/>
  <c r="BJ24" i="31"/>
  <c r="BJ40" i="31" s="1"/>
  <c r="BJ24" i="30"/>
  <c r="BJ40" i="30" s="1"/>
  <c r="BK23" i="31"/>
  <c r="BK39" i="31" s="1"/>
  <c r="BK23" i="30"/>
  <c r="BK39" i="30" s="1"/>
  <c r="BK104" i="27"/>
  <c r="BL103" i="27"/>
  <c r="AY26" i="31"/>
  <c r="AY42" i="31" s="1"/>
  <c r="AY26" i="30"/>
  <c r="AY42" i="30" s="1"/>
  <c r="AZ106" i="27"/>
  <c r="BJ26" i="30"/>
  <c r="BJ42" i="30" s="1"/>
  <c r="BJ26" i="31"/>
  <c r="BJ42" i="31" s="1"/>
  <c r="BK106" i="27"/>
  <c r="AJ25" i="30"/>
  <c r="AJ41" i="30" s="1"/>
  <c r="AJ79" i="30" s="1"/>
  <c r="AJ77" i="30" s="1"/>
  <c r="AJ25" i="31"/>
  <c r="AJ41" i="31" s="1"/>
  <c r="AJ79" i="31" s="1"/>
  <c r="AJ77" i="31" s="1"/>
  <c r="AK105" i="27"/>
  <c r="AK27" i="31"/>
  <c r="AK43" i="31" s="1"/>
  <c r="AK27" i="30"/>
  <c r="AK43" i="30" s="1"/>
  <c r="AL107" i="27"/>
  <c r="AV25" i="31"/>
  <c r="AV41" i="31" s="1"/>
  <c r="AV79" i="31" s="1"/>
  <c r="AV25" i="30"/>
  <c r="AV41" i="30" s="1"/>
  <c r="AV79" i="30" s="1"/>
  <c r="AV77" i="30" s="1"/>
  <c r="AW105" i="27"/>
  <c r="AW27" i="30"/>
  <c r="AW43" i="30" s="1"/>
  <c r="AW27" i="31"/>
  <c r="AW43" i="31" s="1"/>
  <c r="AX107" i="27"/>
  <c r="BI27" i="31"/>
  <c r="BI43" i="31" s="1"/>
  <c r="BI27" i="30"/>
  <c r="BI43" i="30" s="1"/>
  <c r="BJ107" i="27"/>
  <c r="AK28" i="31"/>
  <c r="AK44" i="31" s="1"/>
  <c r="AK28" i="30"/>
  <c r="AK44" i="30" s="1"/>
  <c r="AL108" i="27"/>
  <c r="AW28" i="31"/>
  <c r="AW44" i="31" s="1"/>
  <c r="AW28" i="30"/>
  <c r="AW44" i="30" s="1"/>
  <c r="AX108" i="27"/>
  <c r="BI28" i="30"/>
  <c r="BI44" i="30" s="1"/>
  <c r="BI28" i="31"/>
  <c r="BI44" i="31" s="1"/>
  <c r="BJ108" i="27"/>
  <c r="AL24" i="30"/>
  <c r="AL40" i="30" s="1"/>
  <c r="AL24" i="31"/>
  <c r="AL40" i="31" s="1"/>
  <c r="AM23" i="31"/>
  <c r="AM39" i="31" s="1"/>
  <c r="AM23" i="30"/>
  <c r="AM39" i="30" s="1"/>
  <c r="AM104" i="27"/>
  <c r="AN103" i="27"/>
  <c r="AM26" i="30"/>
  <c r="AM42" i="30" s="1"/>
  <c r="AM26" i="31"/>
  <c r="AM42" i="31" s="1"/>
  <c r="AN106" i="27"/>
  <c r="BJ13" i="31"/>
  <c r="BL10" i="31"/>
  <c r="BJ13" i="30"/>
  <c r="BL10" i="30"/>
  <c r="W84" i="34"/>
  <c r="F123" i="34"/>
  <c r="H60" i="28"/>
  <c r="H116" i="28"/>
  <c r="BS116" i="28" s="1"/>
  <c r="BU98" i="28"/>
  <c r="H115" i="34" s="1"/>
  <c r="G52" i="34"/>
  <c r="G149" i="10"/>
  <c r="I49" i="20"/>
  <c r="I48" i="20" s="1"/>
  <c r="T10" i="10"/>
  <c r="M10" i="10"/>
  <c r="G26" i="25"/>
  <c r="I62" i="25"/>
  <c r="BJ81" i="30"/>
  <c r="AX81" i="30"/>
  <c r="G61" i="10"/>
  <c r="G36" i="10"/>
  <c r="G14" i="10"/>
  <c r="G15" i="10" s="1"/>
  <c r="AA40" i="32"/>
  <c r="Z37" i="32"/>
  <c r="Z36" i="32" s="1"/>
  <c r="AN40" i="32"/>
  <c r="AM37" i="32"/>
  <c r="AM36" i="32" s="1"/>
  <c r="BA40" i="32"/>
  <c r="BN40" i="32"/>
  <c r="AA43" i="32"/>
  <c r="AB41" i="32"/>
  <c r="AB43" i="32" s="1"/>
  <c r="AO41" i="32"/>
  <c r="BB41" i="32"/>
  <c r="AA46" i="32"/>
  <c r="AB45" i="32"/>
  <c r="AB46" i="32" s="1"/>
  <c r="AB50" i="32"/>
  <c r="AO50" i="32"/>
  <c r="BB50" i="32"/>
  <c r="BO50" i="32"/>
  <c r="AB52" i="32"/>
  <c r="AO52" i="32"/>
  <c r="BB52" i="32"/>
  <c r="BO52" i="32"/>
  <c r="AB75" i="31"/>
  <c r="AO75" i="31"/>
  <c r="BB75" i="31"/>
  <c r="BO75" i="31"/>
  <c r="N79" i="31"/>
  <c r="O80" i="31"/>
  <c r="O79" i="31" s="1"/>
  <c r="AA80" i="31"/>
  <c r="AN80" i="31"/>
  <c r="BA80" i="31"/>
  <c r="BN80" i="31"/>
  <c r="L77" i="31"/>
  <c r="M78" i="31"/>
  <c r="AK78" i="31"/>
  <c r="BJ78" i="31"/>
  <c r="AB75" i="30"/>
  <c r="AO75" i="30"/>
  <c r="BB75" i="30"/>
  <c r="BO75" i="30"/>
  <c r="N80" i="30"/>
  <c r="M79" i="30"/>
  <c r="AA80" i="30"/>
  <c r="AN80" i="30"/>
  <c r="BA80" i="30"/>
  <c r="BN80" i="30"/>
  <c r="BJ78" i="30"/>
  <c r="AW78" i="30"/>
  <c r="AK78" i="30"/>
  <c r="Y78" i="30"/>
  <c r="M78" i="30"/>
  <c r="L77" i="30"/>
  <c r="X13" i="29"/>
  <c r="X10" i="32"/>
  <c r="X6" i="32"/>
  <c r="N9" i="27"/>
  <c r="N5" i="32"/>
  <c r="O10" i="29"/>
  <c r="N7" i="32"/>
  <c r="N11" i="27"/>
  <c r="O12" i="29"/>
  <c r="M9" i="32"/>
  <c r="M13" i="27"/>
  <c r="N14" i="29"/>
  <c r="Z9" i="32"/>
  <c r="Z13" i="27"/>
  <c r="AA14" i="29"/>
  <c r="AM9" i="32"/>
  <c r="AM13" i="27"/>
  <c r="AN14" i="29"/>
  <c r="AZ9" i="32"/>
  <c r="AZ13" i="27"/>
  <c r="BA14" i="29"/>
  <c r="BM9" i="32"/>
  <c r="BM13" i="27"/>
  <c r="BN14" i="29"/>
  <c r="AB33" i="29"/>
  <c r="AO33" i="29"/>
  <c r="BB33" i="29"/>
  <c r="BO33" i="29"/>
  <c r="O64" i="28"/>
  <c r="O54" i="28" s="1"/>
  <c r="O111" i="28" s="1"/>
  <c r="N54" i="28"/>
  <c r="N111" i="28" s="1"/>
  <c r="AA54" i="28"/>
  <c r="AA111" i="28" s="1"/>
  <c r="AB64" i="28"/>
  <c r="AB54" i="28" s="1"/>
  <c r="AB111" i="28" s="1"/>
  <c r="AO64" i="28"/>
  <c r="AO54" i="28" s="1"/>
  <c r="AO111" i="28" s="1"/>
  <c r="AN54" i="28"/>
  <c r="O65" i="28"/>
  <c r="O47" i="28" s="1"/>
  <c r="O104" i="28" s="1"/>
  <c r="N47" i="28"/>
  <c r="N104" i="28" s="1"/>
  <c r="AA47" i="28"/>
  <c r="AA104" i="28" s="1"/>
  <c r="AB65" i="28"/>
  <c r="AB47" i="28" s="1"/>
  <c r="AB104" i="28" s="1"/>
  <c r="AN47" i="28"/>
  <c r="AN104" i="28" s="1"/>
  <c r="AO65" i="28"/>
  <c r="AO47" i="28" s="1"/>
  <c r="BA47" i="28"/>
  <c r="BA104" i="28" s="1"/>
  <c r="BB65" i="28"/>
  <c r="BB47" i="28" s="1"/>
  <c r="BB104" i="28" s="1"/>
  <c r="BN47" i="28"/>
  <c r="BN104" i="28" s="1"/>
  <c r="BO65" i="28"/>
  <c r="BO47" i="28" s="1"/>
  <c r="BO104" i="28" s="1"/>
  <c r="N48" i="28"/>
  <c r="N105" i="28" s="1"/>
  <c r="O68" i="28"/>
  <c r="O48" i="28" s="1"/>
  <c r="O105" i="28" s="1"/>
  <c r="O71" i="28"/>
  <c r="O49" i="28" s="1"/>
  <c r="O106" i="28" s="1"/>
  <c r="N49" i="28"/>
  <c r="AA49" i="28"/>
  <c r="AA106" i="28" s="1"/>
  <c r="AB71" i="28"/>
  <c r="AB49" i="28" s="1"/>
  <c r="AB106" i="28" s="1"/>
  <c r="AO71" i="28"/>
  <c r="AO49" i="28" s="1"/>
  <c r="AO106" i="28" s="1"/>
  <c r="AN49" i="28"/>
  <c r="BA49" i="28"/>
  <c r="BA106" i="28" s="1"/>
  <c r="BB71" i="28"/>
  <c r="BB49" i="28" s="1"/>
  <c r="BB106" i="28" s="1"/>
  <c r="BN49" i="28"/>
  <c r="BN106" i="28" s="1"/>
  <c r="BO71" i="28"/>
  <c r="BO49" i="28" s="1"/>
  <c r="BO106" i="28" s="1"/>
  <c r="O76" i="28"/>
  <c r="AB76" i="28"/>
  <c r="AO76" i="28"/>
  <c r="BB76" i="28"/>
  <c r="BO76" i="28"/>
  <c r="O78" i="28"/>
  <c r="AB78" i="28"/>
  <c r="AO78" i="28"/>
  <c r="BB78" i="28"/>
  <c r="BO78" i="28"/>
  <c r="AB133" i="27"/>
  <c r="AO133" i="27"/>
  <c r="BB133" i="27"/>
  <c r="BO133" i="27"/>
  <c r="D37" i="27"/>
  <c r="O84" i="31"/>
  <c r="BO84" i="31"/>
  <c r="O84" i="30"/>
  <c r="AB84" i="30"/>
  <c r="BO84" i="30"/>
  <c r="AB32" i="29"/>
  <c r="P41" i="28"/>
  <c r="P98" i="28" s="1"/>
  <c r="I60" i="28"/>
  <c r="I117" i="28" s="1"/>
  <c r="H59" i="10"/>
  <c r="H58" i="10"/>
  <c r="H42" i="10"/>
  <c r="P9" i="10"/>
  <c r="P35" i="10"/>
  <c r="P41" i="10" s="1"/>
  <c r="P34" i="10"/>
  <c r="P40" i="10" s="1"/>
  <c r="M36" i="6"/>
  <c r="M178" i="6" s="1"/>
  <c r="M38" i="6"/>
  <c r="M179" i="6" s="1"/>
  <c r="M181" i="6"/>
  <c r="M176" i="6"/>
  <c r="M29" i="6"/>
  <c r="M30" i="6" s="1"/>
  <c r="M45" i="6"/>
  <c r="M46" i="6"/>
  <c r="M58" i="6"/>
  <c r="M40" i="10"/>
  <c r="M33" i="10"/>
  <c r="M44" i="10"/>
  <c r="G144" i="6"/>
  <c r="G166" i="6"/>
  <c r="G162" i="6" s="1"/>
  <c r="J39" i="10"/>
  <c r="J60" i="10"/>
  <c r="J43" i="10"/>
  <c r="I130" i="10"/>
  <c r="I146" i="10"/>
  <c r="I147" i="10"/>
  <c r="J146" i="10"/>
  <c r="J147" i="10"/>
  <c r="J130" i="10"/>
  <c r="J124" i="10" s="1"/>
  <c r="P178" i="23"/>
  <c r="P179" i="23" s="1"/>
  <c r="P119" i="20" s="1"/>
  <c r="W61" i="20"/>
  <c r="P63" i="20"/>
  <c r="P40" i="24"/>
  <c r="P29" i="24"/>
  <c r="P24" i="23"/>
  <c r="P25" i="23" s="1"/>
  <c r="P87" i="25" s="1"/>
  <c r="P46" i="23"/>
  <c r="P46" i="14"/>
  <c r="P129" i="10"/>
  <c r="P85" i="10"/>
  <c r="P121" i="10"/>
  <c r="P77" i="10"/>
  <c r="F144" i="6"/>
  <c r="F162" i="6"/>
  <c r="I172" i="6"/>
  <c r="I153" i="6"/>
  <c r="I165" i="6"/>
  <c r="I147" i="6"/>
  <c r="I156" i="6"/>
  <c r="I175" i="6"/>
  <c r="I164" i="6"/>
  <c r="I146" i="6"/>
  <c r="I145" i="6" s="1"/>
  <c r="H158" i="6"/>
  <c r="H168" i="6"/>
  <c r="H150" i="6"/>
  <c r="H153" i="6"/>
  <c r="H172" i="6"/>
  <c r="I154" i="6"/>
  <c r="I173" i="6"/>
  <c r="E162" i="6"/>
  <c r="J178" i="6"/>
  <c r="J182" i="6" s="1"/>
  <c r="G143" i="6"/>
  <c r="J161" i="6"/>
  <c r="J160" i="6"/>
  <c r="J159" i="6" s="1"/>
  <c r="L161" i="6"/>
  <c r="L160" i="6"/>
  <c r="H146" i="6"/>
  <c r="H164" i="6"/>
  <c r="I167" i="6"/>
  <c r="I149" i="6"/>
  <c r="H152" i="6"/>
  <c r="H171" i="6"/>
  <c r="H167" i="6"/>
  <c r="H149" i="6"/>
  <c r="H147" i="6"/>
  <c r="H165" i="6"/>
  <c r="H74" i="6"/>
  <c r="I168" i="6"/>
  <c r="I150" i="6"/>
  <c r="I171" i="6"/>
  <c r="I152" i="6"/>
  <c r="I74" i="6"/>
  <c r="I155" i="6"/>
  <c r="I174" i="6"/>
  <c r="H174" i="6"/>
  <c r="H155" i="6"/>
  <c r="H173" i="6"/>
  <c r="H154" i="6"/>
  <c r="H156" i="6"/>
  <c r="H175" i="6"/>
  <c r="J77" i="6"/>
  <c r="J83" i="6"/>
  <c r="J86" i="6"/>
  <c r="J82" i="6"/>
  <c r="J78" i="6"/>
  <c r="J81" i="6"/>
  <c r="J80" i="6"/>
  <c r="J158" i="6" s="1"/>
  <c r="J85" i="6"/>
  <c r="J76" i="6"/>
  <c r="J79" i="6"/>
  <c r="J75" i="6"/>
  <c r="J84" i="6"/>
  <c r="P25" i="6"/>
  <c r="P27" i="6" s="1"/>
  <c r="J140" i="6"/>
  <c r="E144" i="6"/>
  <c r="J134" i="6"/>
  <c r="J137" i="6"/>
  <c r="F142" i="6"/>
  <c r="E142" i="6"/>
  <c r="I44" i="6"/>
  <c r="I41" i="6" s="1"/>
  <c r="I141" i="6"/>
  <c r="I139" i="6" s="1"/>
  <c r="H44" i="6"/>
  <c r="H41" i="6" s="1"/>
  <c r="I135" i="6"/>
  <c r="I133" i="6" s="1"/>
  <c r="H141" i="6"/>
  <c r="H139" i="6" s="1"/>
  <c r="I138" i="6"/>
  <c r="I136" i="6" s="1"/>
  <c r="H135" i="6"/>
  <c r="H133" i="6" s="1"/>
  <c r="H138" i="6"/>
  <c r="H136" i="6" s="1"/>
  <c r="I6" i="4"/>
  <c r="N6" i="4"/>
  <c r="H6" i="4"/>
  <c r="M6" i="4"/>
  <c r="G6" i="4"/>
  <c r="K6" i="4"/>
  <c r="J6" i="4"/>
  <c r="L6" i="4"/>
  <c r="F6" i="4"/>
  <c r="E6" i="4"/>
  <c r="D6" i="4"/>
  <c r="C6" i="4"/>
  <c r="AB6" i="4"/>
  <c r="O9" i="3"/>
  <c r="H12" i="32" l="1"/>
  <c r="H13" i="32" s="1"/>
  <c r="G15" i="32"/>
  <c r="G25" i="27"/>
  <c r="G87" i="27" s="1"/>
  <c r="G50" i="29"/>
  <c r="G177" i="6"/>
  <c r="G183" i="6" s="1"/>
  <c r="G185" i="6" s="1"/>
  <c r="BU104" i="28"/>
  <c r="BU111" i="28"/>
  <c r="BV92" i="27"/>
  <c r="F18" i="32"/>
  <c r="U83" i="20"/>
  <c r="L159" i="6"/>
  <c r="AC47" i="28"/>
  <c r="AC104" i="28" s="1"/>
  <c r="H149" i="10"/>
  <c r="BC47" i="28"/>
  <c r="BC104" i="28" s="1"/>
  <c r="V19" i="25"/>
  <c r="P19" i="25"/>
  <c r="G26" i="29"/>
  <c r="G24" i="29"/>
  <c r="O16" i="20"/>
  <c r="O25" i="20"/>
  <c r="O79" i="20"/>
  <c r="O59" i="20"/>
  <c r="O61" i="20" s="1"/>
  <c r="O63" i="20" s="1"/>
  <c r="W63" i="20" s="1"/>
  <c r="BI8" i="27"/>
  <c r="AW8" i="27"/>
  <c r="AW10" i="27" s="1"/>
  <c r="AL11" i="29"/>
  <c r="AL13" i="29" s="1"/>
  <c r="AK12" i="27"/>
  <c r="AK93" i="27" s="1"/>
  <c r="AW3" i="32"/>
  <c r="AW15" i="29"/>
  <c r="AW11" i="29"/>
  <c r="AW13" i="29" s="1"/>
  <c r="Y11" i="29"/>
  <c r="Y13" i="29" s="1"/>
  <c r="Y15" i="29"/>
  <c r="Y3" i="32"/>
  <c r="X92" i="27"/>
  <c r="X12" i="27"/>
  <c r="X93" i="27" s="1"/>
  <c r="AX9" i="29"/>
  <c r="AY8" i="29"/>
  <c r="AX7" i="27"/>
  <c r="AX8" i="27" s="1"/>
  <c r="BJ9" i="29"/>
  <c r="BK8" i="29"/>
  <c r="BJ7" i="27"/>
  <c r="BJ8" i="27" s="1"/>
  <c r="AL15" i="29"/>
  <c r="AL3" i="32"/>
  <c r="AL10" i="32" s="1"/>
  <c r="G53" i="14"/>
  <c r="G56" i="14"/>
  <c r="H35" i="14"/>
  <c r="H23" i="14"/>
  <c r="H24" i="14" s="1"/>
  <c r="H50" i="14"/>
  <c r="H52" i="14" s="1"/>
  <c r="E65" i="32"/>
  <c r="E19" i="32"/>
  <c r="E20" i="32" s="1"/>
  <c r="E23" i="32"/>
  <c r="E26" i="32"/>
  <c r="E33" i="32"/>
  <c r="E30" i="32"/>
  <c r="D20" i="32"/>
  <c r="D64" i="32" s="1"/>
  <c r="D62" i="32" s="1"/>
  <c r="D29" i="32"/>
  <c r="D75" i="32"/>
  <c r="D71" i="32"/>
  <c r="D69" i="32" s="1"/>
  <c r="D28" i="32"/>
  <c r="D27" i="32"/>
  <c r="D24" i="32"/>
  <c r="D25" i="32"/>
  <c r="D31" i="32"/>
  <c r="D74" i="32" s="1"/>
  <c r="D73" i="32" s="1"/>
  <c r="D32" i="32"/>
  <c r="D76" i="29"/>
  <c r="D44" i="29"/>
  <c r="E77" i="29"/>
  <c r="E37" i="29"/>
  <c r="F34" i="27"/>
  <c r="F39" i="29"/>
  <c r="F78" i="29" s="1"/>
  <c r="F38" i="29"/>
  <c r="F45" i="29"/>
  <c r="F84" i="29" s="1"/>
  <c r="F27" i="29"/>
  <c r="F38" i="27" s="1"/>
  <c r="F42" i="27"/>
  <c r="BR42" i="27" s="1"/>
  <c r="E44" i="25" s="1"/>
  <c r="F89" i="29"/>
  <c r="F47" i="29"/>
  <c r="F86" i="29" s="1"/>
  <c r="Y86" i="27"/>
  <c r="Y85" i="27"/>
  <c r="Y14" i="27"/>
  <c r="Y10" i="27"/>
  <c r="BI25" i="30"/>
  <c r="BI41" i="30" s="1"/>
  <c r="BI79" i="30" s="1"/>
  <c r="BI77" i="30" s="1"/>
  <c r="BI25" i="31"/>
  <c r="BI41" i="31" s="1"/>
  <c r="BI79" i="31" s="1"/>
  <c r="BI77" i="31" s="1"/>
  <c r="BZ104" i="28"/>
  <c r="D110" i="30"/>
  <c r="D110" i="31"/>
  <c r="H16" i="10"/>
  <c r="N38" i="6"/>
  <c r="N179" i="6" s="1"/>
  <c r="N36" i="6"/>
  <c r="N178" i="6" s="1"/>
  <c r="N181" i="6"/>
  <c r="N176" i="6"/>
  <c r="N29" i="6"/>
  <c r="N30" i="6" s="1"/>
  <c r="N45" i="6"/>
  <c r="N46" i="6"/>
  <c r="N58" i="6"/>
  <c r="M43" i="10"/>
  <c r="H48" i="20"/>
  <c r="S48" i="20" s="1"/>
  <c r="S49" i="20"/>
  <c r="V9" i="10"/>
  <c r="N10" i="10"/>
  <c r="V10" i="10" s="1"/>
  <c r="AA8" i="29"/>
  <c r="Z7" i="27"/>
  <c r="Z8" i="27" s="1"/>
  <c r="N40" i="10"/>
  <c r="N33" i="10"/>
  <c r="AM9" i="29"/>
  <c r="Z11" i="29"/>
  <c r="Z13" i="29" s="1"/>
  <c r="CB104" i="28"/>
  <c r="BY98" i="28"/>
  <c r="L115" i="34" s="1"/>
  <c r="L114" i="34" s="1"/>
  <c r="M14" i="27"/>
  <c r="L11" i="10"/>
  <c r="S12" i="10"/>
  <c r="H13" i="10"/>
  <c r="J49" i="20"/>
  <c r="T11" i="10"/>
  <c r="H108" i="10"/>
  <c r="H106" i="10"/>
  <c r="S20" i="10"/>
  <c r="H21" i="10"/>
  <c r="K44" i="10"/>
  <c r="L44" i="10"/>
  <c r="K40" i="10"/>
  <c r="K33" i="10"/>
  <c r="K38" i="6"/>
  <c r="K179" i="6" s="1"/>
  <c r="K36" i="6"/>
  <c r="K178" i="6" s="1"/>
  <c r="K58" i="6"/>
  <c r="K176" i="6"/>
  <c r="K29" i="6"/>
  <c r="K30" i="6" s="1"/>
  <c r="K181" i="6"/>
  <c r="K46" i="6"/>
  <c r="K45" i="6"/>
  <c r="L58" i="6"/>
  <c r="L36" i="6"/>
  <c r="L178" i="6" s="1"/>
  <c r="L38" i="6"/>
  <c r="L179" i="6" s="1"/>
  <c r="J57" i="28"/>
  <c r="J114" i="28" s="1"/>
  <c r="J103" i="28"/>
  <c r="Z15" i="29"/>
  <c r="Z3" i="32"/>
  <c r="Z10" i="32" s="1"/>
  <c r="AB6" i="29"/>
  <c r="AA5" i="27"/>
  <c r="AA6" i="27" s="1"/>
  <c r="AA7" i="29"/>
  <c r="AO6" i="29"/>
  <c r="AN5" i="27"/>
  <c r="AN6" i="27" s="1"/>
  <c r="AN7" i="29"/>
  <c r="BB6" i="29"/>
  <c r="BA5" i="27"/>
  <c r="BA6" i="27" s="1"/>
  <c r="BA7" i="29"/>
  <c r="BO6" i="29"/>
  <c r="BN5" i="27"/>
  <c r="BN6" i="27" s="1"/>
  <c r="BN7" i="29"/>
  <c r="L12" i="27"/>
  <c r="L93" i="27" s="1"/>
  <c r="BT93" i="27" s="1"/>
  <c r="L92" i="27"/>
  <c r="BT92" i="27" s="1"/>
  <c r="L6" i="32"/>
  <c r="L8" i="32" s="1"/>
  <c r="L10" i="32"/>
  <c r="N9" i="29"/>
  <c r="N7" i="27"/>
  <c r="N8" i="27" s="1"/>
  <c r="O8" i="29"/>
  <c r="M10" i="27"/>
  <c r="M85" i="27"/>
  <c r="M86" i="27"/>
  <c r="M11" i="29"/>
  <c r="M13" i="29" s="1"/>
  <c r="M15" i="29"/>
  <c r="M3" i="32"/>
  <c r="AJ92" i="27"/>
  <c r="AJ12" i="27"/>
  <c r="AJ93" i="27" s="1"/>
  <c r="BE10" i="27"/>
  <c r="BE14" i="27"/>
  <c r="BE6" i="32"/>
  <c r="BE8" i="32" s="1"/>
  <c r="BE10" i="32"/>
  <c r="BG6" i="32"/>
  <c r="BG8" i="32" s="1"/>
  <c r="BG10" i="32"/>
  <c r="BG10" i="27"/>
  <c r="BG14" i="27"/>
  <c r="BF6" i="32"/>
  <c r="BF8" i="32" s="1"/>
  <c r="BF10" i="32"/>
  <c r="BF14" i="27"/>
  <c r="BF10" i="27"/>
  <c r="BD14" i="27"/>
  <c r="BD10" i="27"/>
  <c r="CB91" i="27"/>
  <c r="BP91" i="27"/>
  <c r="CB84" i="27"/>
  <c r="BP84" i="27"/>
  <c r="BD6" i="32"/>
  <c r="BD8" i="32" s="1"/>
  <c r="BD10" i="32"/>
  <c r="BH10" i="27"/>
  <c r="BH14" i="27"/>
  <c r="BD49" i="28"/>
  <c r="BD48" i="28"/>
  <c r="BP9" i="28"/>
  <c r="BD11" i="28"/>
  <c r="AR6" i="32"/>
  <c r="AR8" i="32" s="1"/>
  <c r="AR10" i="32"/>
  <c r="AR10" i="27"/>
  <c r="AR14" i="27"/>
  <c r="AU6" i="32"/>
  <c r="AU8" i="32" s="1"/>
  <c r="AU10" i="32"/>
  <c r="AU10" i="27"/>
  <c r="AU14" i="27"/>
  <c r="AS10" i="27"/>
  <c r="AS14" i="27"/>
  <c r="AS6" i="32"/>
  <c r="AS8" i="32" s="1"/>
  <c r="AS10" i="32"/>
  <c r="AV10" i="27"/>
  <c r="AV14" i="27"/>
  <c r="AQ10" i="32"/>
  <c r="AQ6" i="32"/>
  <c r="AQ8" i="32" s="1"/>
  <c r="BC91" i="27"/>
  <c r="BZ91" i="27"/>
  <c r="BC84" i="27"/>
  <c r="BZ84" i="27"/>
  <c r="AQ14" i="27"/>
  <c r="AQ10" i="27"/>
  <c r="AT6" i="32"/>
  <c r="AT8" i="32" s="1"/>
  <c r="AT10" i="32"/>
  <c r="AT10" i="27"/>
  <c r="AT14" i="27"/>
  <c r="AQ13" i="30"/>
  <c r="BC13" i="30" s="1"/>
  <c r="BC11" i="30"/>
  <c r="AQ13" i="31"/>
  <c r="BC13" i="31" s="1"/>
  <c r="BC11" i="31"/>
  <c r="AS41" i="28"/>
  <c r="AS98" i="28" s="1"/>
  <c r="AS38" i="28"/>
  <c r="AQ49" i="28"/>
  <c r="AQ48" i="28"/>
  <c r="BC9" i="28"/>
  <c r="AQ11" i="28"/>
  <c r="N63" i="20"/>
  <c r="V63" i="20" s="1"/>
  <c r="V61" i="20"/>
  <c r="N121" i="10"/>
  <c r="N128" i="10"/>
  <c r="N77" i="10"/>
  <c r="N84" i="10"/>
  <c r="O21" i="9"/>
  <c r="P21" i="9"/>
  <c r="O115" i="10"/>
  <c r="O117" i="10" s="1"/>
  <c r="O21" i="6"/>
  <c r="O23" i="6" s="1"/>
  <c r="O27" i="10"/>
  <c r="O29" i="10" s="1"/>
  <c r="O20" i="9"/>
  <c r="P20" i="9"/>
  <c r="O71" i="10"/>
  <c r="O73" i="10" s="1"/>
  <c r="O49" i="14"/>
  <c r="O12" i="14"/>
  <c r="O46" i="14" s="1"/>
  <c r="AE12" i="27"/>
  <c r="AE93" i="27" s="1"/>
  <c r="AE92" i="27"/>
  <c r="AG12" i="27"/>
  <c r="AG93" i="27" s="1"/>
  <c r="AG92" i="27"/>
  <c r="AF12" i="27"/>
  <c r="AF93" i="27" s="1"/>
  <c r="AF92" i="27"/>
  <c r="AI92" i="27"/>
  <c r="AI12" i="27"/>
  <c r="AI93" i="27" s="1"/>
  <c r="AD92" i="27"/>
  <c r="AD12" i="27"/>
  <c r="AD93" i="27" s="1"/>
  <c r="AH92" i="27"/>
  <c r="AH12" i="27"/>
  <c r="AH93" i="27" s="1"/>
  <c r="AD105" i="28"/>
  <c r="BX105" i="28" s="1"/>
  <c r="AP48" i="28"/>
  <c r="AP105" i="28" s="1"/>
  <c r="AD15" i="28"/>
  <c r="AD41" i="28"/>
  <c r="AP11" i="28"/>
  <c r="AD38" i="28"/>
  <c r="AG95" i="28"/>
  <c r="AG37" i="28"/>
  <c r="AG94" i="28" s="1"/>
  <c r="AF95" i="28"/>
  <c r="AF37" i="28"/>
  <c r="AF94" i="28" s="1"/>
  <c r="M87" i="10"/>
  <c r="L83" i="10"/>
  <c r="M131" i="10"/>
  <c r="L127" i="10"/>
  <c r="Q18" i="28"/>
  <c r="Q50" i="28" s="1"/>
  <c r="Q52" i="28"/>
  <c r="Q109" i="28" s="1"/>
  <c r="R13" i="28"/>
  <c r="Q16" i="28"/>
  <c r="AC38" i="28"/>
  <c r="AC95" i="28" s="1"/>
  <c r="Q37" i="28"/>
  <c r="Q95" i="28"/>
  <c r="BV95" i="28" s="1"/>
  <c r="AC41" i="28"/>
  <c r="AC98" i="28" s="1"/>
  <c r="Q98" i="28"/>
  <c r="BV98" i="28" s="1"/>
  <c r="I115" i="34" s="1"/>
  <c r="U19" i="9"/>
  <c r="K22" i="9"/>
  <c r="U22" i="9" s="1"/>
  <c r="K77" i="10"/>
  <c r="K84" i="10"/>
  <c r="K128" i="10"/>
  <c r="L148" i="10" s="1"/>
  <c r="K121" i="10"/>
  <c r="L132" i="10"/>
  <c r="K132" i="10"/>
  <c r="G19" i="27"/>
  <c r="G20" i="30"/>
  <c r="G36" i="30" s="1"/>
  <c r="G105" i="30" s="1"/>
  <c r="G22" i="30"/>
  <c r="H17" i="30"/>
  <c r="H18" i="30" s="1"/>
  <c r="F18" i="27"/>
  <c r="G99" i="30"/>
  <c r="F43" i="27"/>
  <c r="F29" i="30"/>
  <c r="F27" i="27"/>
  <c r="F30" i="30"/>
  <c r="E26" i="27"/>
  <c r="E73" i="27"/>
  <c r="E34" i="30"/>
  <c r="E31" i="30"/>
  <c r="E33" i="30"/>
  <c r="E32" i="30"/>
  <c r="E60" i="30"/>
  <c r="E53" i="30" s="1"/>
  <c r="D98" i="30"/>
  <c r="D97" i="30" s="1"/>
  <c r="E63" i="30"/>
  <c r="E56" i="30" s="1"/>
  <c r="E64" i="30"/>
  <c r="E57" i="30" s="1"/>
  <c r="D63" i="33"/>
  <c r="D58" i="33"/>
  <c r="D46" i="30"/>
  <c r="D51" i="30" s="1"/>
  <c r="E62" i="30"/>
  <c r="E55" i="30" s="1"/>
  <c r="D109" i="30"/>
  <c r="D113" i="30"/>
  <c r="D52" i="30"/>
  <c r="E65" i="30"/>
  <c r="E58" i="30" s="1"/>
  <c r="E31" i="31"/>
  <c r="E32" i="31"/>
  <c r="E33" i="31"/>
  <c r="E34" i="31"/>
  <c r="E81" i="27"/>
  <c r="G20" i="31"/>
  <c r="G36" i="31" s="1"/>
  <c r="G22" i="31"/>
  <c r="G20" i="27"/>
  <c r="H17" i="31"/>
  <c r="H18" i="31" s="1"/>
  <c r="G99" i="31"/>
  <c r="G105" i="31"/>
  <c r="F44" i="27"/>
  <c r="BR44" i="27" s="1"/>
  <c r="E46" i="25" s="1"/>
  <c r="E13" i="25" s="1"/>
  <c r="F29" i="31"/>
  <c r="F30" i="31"/>
  <c r="F28" i="27"/>
  <c r="D112" i="31"/>
  <c r="D36" i="27"/>
  <c r="E60" i="31"/>
  <c r="E53" i="31" s="1"/>
  <c r="D98" i="31"/>
  <c r="D97" i="31" s="1"/>
  <c r="D104" i="31" s="1"/>
  <c r="D106" i="31" s="1"/>
  <c r="E63" i="31"/>
  <c r="E56" i="31" s="1"/>
  <c r="E65" i="31"/>
  <c r="E58" i="31" s="1"/>
  <c r="E64" i="31"/>
  <c r="E57" i="31" s="1"/>
  <c r="D109" i="31"/>
  <c r="D113" i="31"/>
  <c r="E62" i="31"/>
  <c r="D46" i="31"/>
  <c r="D51" i="31" s="1"/>
  <c r="D72" i="33"/>
  <c r="D67" i="33"/>
  <c r="K28" i="28"/>
  <c r="K35" i="28"/>
  <c r="K92" i="28" s="1"/>
  <c r="K29" i="28"/>
  <c r="K86" i="28" s="1"/>
  <c r="L17" i="28"/>
  <c r="L18" i="28"/>
  <c r="L50" i="28" s="1"/>
  <c r="L52" i="28"/>
  <c r="L109" i="28" s="1"/>
  <c r="BT109" i="28" s="1"/>
  <c r="M13" i="28"/>
  <c r="L16" i="28"/>
  <c r="BT16" i="28" s="1"/>
  <c r="G86" i="25" s="1"/>
  <c r="L51" i="28"/>
  <c r="L108" i="28" s="1"/>
  <c r="BT108" i="28" s="1"/>
  <c r="L53" i="28"/>
  <c r="L110" i="28" s="1"/>
  <c r="BT110" i="28" s="1"/>
  <c r="J27" i="28"/>
  <c r="J85" i="28"/>
  <c r="S110" i="34"/>
  <c r="G109" i="34"/>
  <c r="S109" i="34" s="1"/>
  <c r="J86" i="10"/>
  <c r="J80" i="10" s="1"/>
  <c r="J102" i="10"/>
  <c r="J103" i="10"/>
  <c r="M83" i="10"/>
  <c r="M104" i="10"/>
  <c r="M148" i="10"/>
  <c r="M127" i="10"/>
  <c r="V19" i="9"/>
  <c r="N22" i="9"/>
  <c r="V22" i="9" s="1"/>
  <c r="AI95" i="28"/>
  <c r="AI37" i="28"/>
  <c r="AI94" i="28" s="1"/>
  <c r="AM95" i="28"/>
  <c r="AM37" i="28"/>
  <c r="AM94" i="28" s="1"/>
  <c r="AJ95" i="28"/>
  <c r="AJ37" i="28"/>
  <c r="AJ94" i="28" s="1"/>
  <c r="AL95" i="28"/>
  <c r="AL37" i="28"/>
  <c r="AL94" i="28" s="1"/>
  <c r="AO95" i="28"/>
  <c r="AO37" i="28"/>
  <c r="AO94" i="28" s="1"/>
  <c r="AE95" i="28"/>
  <c r="AE37" i="28"/>
  <c r="AE94" i="28" s="1"/>
  <c r="AH95" i="28"/>
  <c r="AH37" i="28"/>
  <c r="AH94" i="28" s="1"/>
  <c r="AK95" i="28"/>
  <c r="AK37" i="28"/>
  <c r="AK94" i="28" s="1"/>
  <c r="AN95" i="28"/>
  <c r="AN37" i="28"/>
  <c r="AN94" i="28" s="1"/>
  <c r="BH6" i="32"/>
  <c r="BH8" i="32" s="1"/>
  <c r="BH10" i="32"/>
  <c r="BF38" i="28"/>
  <c r="BF41" i="28"/>
  <c r="BF98" i="28" s="1"/>
  <c r="BI38" i="28"/>
  <c r="BI41" i="28"/>
  <c r="BI98" i="28" s="1"/>
  <c r="BK38" i="28"/>
  <c r="BK41" i="28"/>
  <c r="BK98" i="28" s="1"/>
  <c r="BM41" i="28"/>
  <c r="BM98" i="28" s="1"/>
  <c r="BM38" i="28"/>
  <c r="BO41" i="28"/>
  <c r="BO98" i="28" s="1"/>
  <c r="BO38" i="28"/>
  <c r="BG38" i="28"/>
  <c r="BG41" i="28"/>
  <c r="BG98" i="28" s="1"/>
  <c r="BL41" i="28"/>
  <c r="BL98" i="28" s="1"/>
  <c r="BL38" i="28"/>
  <c r="BE38" i="28"/>
  <c r="BE41" i="28"/>
  <c r="BE98" i="28" s="1"/>
  <c r="BH38" i="28"/>
  <c r="BH41" i="28"/>
  <c r="BH98" i="28" s="1"/>
  <c r="BJ38" i="28"/>
  <c r="BJ41" i="28"/>
  <c r="BJ98" i="28" s="1"/>
  <c r="BN41" i="28"/>
  <c r="BN98" i="28" s="1"/>
  <c r="BN38" i="28"/>
  <c r="AV6" i="32"/>
  <c r="AV8" i="32" s="1"/>
  <c r="AV10" i="32"/>
  <c r="AV38" i="28"/>
  <c r="AV41" i="28"/>
  <c r="AV98" i="28" s="1"/>
  <c r="AY38" i="28"/>
  <c r="AY41" i="28"/>
  <c r="AY98" i="28" s="1"/>
  <c r="BB41" i="28"/>
  <c r="BB98" i="28" s="1"/>
  <c r="BB38" i="28"/>
  <c r="AR41" i="28"/>
  <c r="AR98" i="28" s="1"/>
  <c r="AR38" i="28"/>
  <c r="AU38" i="28"/>
  <c r="AU41" i="28"/>
  <c r="AU98" i="28" s="1"/>
  <c r="AX38" i="28"/>
  <c r="AX41" i="28"/>
  <c r="AX98" i="28" s="1"/>
  <c r="AT38" i="28"/>
  <c r="AT41" i="28"/>
  <c r="AT98" i="28" s="1"/>
  <c r="AW38" i="28"/>
  <c r="AW41" i="28"/>
  <c r="AW98" i="28" s="1"/>
  <c r="AZ38" i="28"/>
  <c r="AZ41" i="28"/>
  <c r="AZ98" i="28" s="1"/>
  <c r="BA38" i="28"/>
  <c r="BA41" i="28"/>
  <c r="BA98" i="28" s="1"/>
  <c r="CC105" i="28"/>
  <c r="CA105" i="28"/>
  <c r="BX85" i="27"/>
  <c r="BX86" i="27"/>
  <c r="M11" i="10"/>
  <c r="M49" i="20" s="1"/>
  <c r="M48" i="20" s="1"/>
  <c r="J20" i="10"/>
  <c r="I18" i="10"/>
  <c r="E41" i="27"/>
  <c r="E89" i="27" s="1"/>
  <c r="J12" i="10"/>
  <c r="CC91" i="27"/>
  <c r="CA91" i="27"/>
  <c r="I105" i="10"/>
  <c r="BW95" i="28"/>
  <c r="CC84" i="27"/>
  <c r="CA84" i="27"/>
  <c r="BW94" i="28"/>
  <c r="J110" i="34" s="1"/>
  <c r="J109" i="34" s="1"/>
  <c r="BE86" i="27"/>
  <c r="BE85" i="27"/>
  <c r="BG86" i="27"/>
  <c r="BG85" i="27"/>
  <c r="BF86" i="27"/>
  <c r="BF85" i="27"/>
  <c r="BD85" i="27"/>
  <c r="BD86" i="27"/>
  <c r="BH86" i="27"/>
  <c r="BH85" i="27"/>
  <c r="AR86" i="27"/>
  <c r="AR85" i="27"/>
  <c r="AU86" i="27"/>
  <c r="AU85" i="27"/>
  <c r="AS86" i="27"/>
  <c r="AS85" i="27"/>
  <c r="AV85" i="27"/>
  <c r="AV86" i="27"/>
  <c r="AQ85" i="27"/>
  <c r="AQ86" i="27"/>
  <c r="AT85" i="27"/>
  <c r="AT86" i="27"/>
  <c r="AS106" i="28"/>
  <c r="K88" i="10"/>
  <c r="L88" i="10"/>
  <c r="F105" i="31"/>
  <c r="F99" i="31"/>
  <c r="K107" i="28"/>
  <c r="K46" i="28"/>
  <c r="H20" i="29"/>
  <c r="H22" i="29"/>
  <c r="H17" i="27"/>
  <c r="I16" i="27" s="1"/>
  <c r="I17" i="29"/>
  <c r="I18" i="29" s="1"/>
  <c r="BK15" i="31"/>
  <c r="BK11" i="31"/>
  <c r="BK13" i="31" s="1"/>
  <c r="BK15" i="30"/>
  <c r="BK11" i="30"/>
  <c r="BK13" i="30" s="1"/>
  <c r="AU77" i="31"/>
  <c r="AV78" i="31"/>
  <c r="W77" i="31"/>
  <c r="X78" i="31"/>
  <c r="O15" i="27"/>
  <c r="O11" i="32"/>
  <c r="Q16" i="29"/>
  <c r="AK6" i="32"/>
  <c r="AK8" i="32" s="1"/>
  <c r="BI6" i="32"/>
  <c r="BI8" i="32" s="1"/>
  <c r="AL86" i="27"/>
  <c r="AL85" i="27"/>
  <c r="AL14" i="27"/>
  <c r="BL64" i="28"/>
  <c r="BK54" i="28"/>
  <c r="AX54" i="28"/>
  <c r="AY64" i="28"/>
  <c r="N4" i="35"/>
  <c r="BN41" i="32"/>
  <c r="BK43" i="32"/>
  <c r="BL42" i="32"/>
  <c r="AY43" i="32"/>
  <c r="AZ42" i="32"/>
  <c r="AM43" i="32"/>
  <c r="AN42" i="32"/>
  <c r="BL45" i="32"/>
  <c r="BK46" i="32"/>
  <c r="AZ45" i="32"/>
  <c r="AY46" i="32"/>
  <c r="AM46" i="32"/>
  <c r="AN45" i="32"/>
  <c r="BK37" i="32"/>
  <c r="BK36" i="32" s="1"/>
  <c r="BL47" i="32"/>
  <c r="AY37" i="32"/>
  <c r="AY36" i="32" s="1"/>
  <c r="AZ47" i="32"/>
  <c r="BL9" i="31"/>
  <c r="BL11" i="31" s="1"/>
  <c r="BM8" i="31"/>
  <c r="BL9" i="30"/>
  <c r="BL11" i="30" s="1"/>
  <c r="BM8" i="30"/>
  <c r="AN8" i="29"/>
  <c r="AM7" i="27"/>
  <c r="AM8" i="27" s="1"/>
  <c r="AC24" i="35"/>
  <c r="AB4" i="35"/>
  <c r="AO4" i="35"/>
  <c r="AP23" i="35"/>
  <c r="G108" i="10"/>
  <c r="G106" i="10"/>
  <c r="G150" i="10"/>
  <c r="G152" i="10"/>
  <c r="BL4" i="35"/>
  <c r="BM24" i="35"/>
  <c r="BN92" i="35"/>
  <c r="AZ24" i="35"/>
  <c r="AZ4" i="35" s="1"/>
  <c r="BA92" i="35"/>
  <c r="BC23" i="35"/>
  <c r="AC23" i="35"/>
  <c r="AA4" i="35"/>
  <c r="AN4" i="35"/>
  <c r="O4" i="35"/>
  <c r="P24" i="35"/>
  <c r="AY4" i="35"/>
  <c r="BT4" i="35"/>
  <c r="G24" i="34" s="1"/>
  <c r="I16" i="10"/>
  <c r="I17" i="10" s="1"/>
  <c r="BJ105" i="27"/>
  <c r="L56" i="24"/>
  <c r="J60" i="24"/>
  <c r="J82" i="20" s="1"/>
  <c r="T82" i="20" s="1"/>
  <c r="J83" i="20"/>
  <c r="T83" i="20" s="1"/>
  <c r="N44" i="24"/>
  <c r="N33" i="34"/>
  <c r="V33" i="34" s="1"/>
  <c r="M58" i="24"/>
  <c r="M55" i="24"/>
  <c r="O47" i="24"/>
  <c r="O43" i="24"/>
  <c r="O36" i="34" s="1"/>
  <c r="O42" i="24"/>
  <c r="O31" i="24"/>
  <c r="O81" i="20" s="1"/>
  <c r="P30" i="24"/>
  <c r="P51" i="25"/>
  <c r="O44" i="24"/>
  <c r="O33" i="34"/>
  <c r="Y25" i="31"/>
  <c r="Y41" i="31" s="1"/>
  <c r="Y79" i="31" s="1"/>
  <c r="Y25" i="30"/>
  <c r="Y41" i="30" s="1"/>
  <c r="Y79" i="30" s="1"/>
  <c r="Y77" i="30" s="1"/>
  <c r="Z27" i="31"/>
  <c r="Z43" i="31" s="1"/>
  <c r="Z27" i="30"/>
  <c r="Z43" i="30" s="1"/>
  <c r="Z105" i="27"/>
  <c r="AA107" i="27"/>
  <c r="Z9" i="27"/>
  <c r="AA10" i="29"/>
  <c r="Z5" i="32"/>
  <c r="AL5" i="32"/>
  <c r="AL9" i="27"/>
  <c r="AL10" i="27" s="1"/>
  <c r="AM10" i="29"/>
  <c r="AX9" i="27"/>
  <c r="AX5" i="32"/>
  <c r="AY10" i="29"/>
  <c r="BK10" i="29"/>
  <c r="BJ9" i="27"/>
  <c r="BJ5" i="32"/>
  <c r="AY12" i="29"/>
  <c r="AX11" i="27"/>
  <c r="AX7" i="32"/>
  <c r="BK12" i="29"/>
  <c r="BJ11" i="27"/>
  <c r="BJ7" i="32"/>
  <c r="AL11" i="27"/>
  <c r="AL7" i="32"/>
  <c r="AM12" i="29"/>
  <c r="Z11" i="27"/>
  <c r="AA12" i="29"/>
  <c r="Z7" i="32"/>
  <c r="O23" i="30"/>
  <c r="O39" i="30" s="1"/>
  <c r="O23" i="31"/>
  <c r="O39" i="31" s="1"/>
  <c r="O104" i="27"/>
  <c r="N24" i="30"/>
  <c r="N40" i="30" s="1"/>
  <c r="N24" i="31"/>
  <c r="N40" i="31" s="1"/>
  <c r="BK24" i="31"/>
  <c r="BK40" i="31" s="1"/>
  <c r="BK24" i="30"/>
  <c r="BK40" i="30" s="1"/>
  <c r="BL23" i="30"/>
  <c r="BL39" i="30" s="1"/>
  <c r="BL23" i="31"/>
  <c r="BL39" i="31" s="1"/>
  <c r="BL104" i="27"/>
  <c r="BM103" i="27"/>
  <c r="AZ26" i="31"/>
  <c r="AZ42" i="31" s="1"/>
  <c r="AZ26" i="30"/>
  <c r="AZ42" i="30" s="1"/>
  <c r="BA106" i="27"/>
  <c r="BK26" i="30"/>
  <c r="BK42" i="30" s="1"/>
  <c r="BK26" i="31"/>
  <c r="BK42" i="31" s="1"/>
  <c r="BL106" i="27"/>
  <c r="AK25" i="31"/>
  <c r="AK41" i="31" s="1"/>
  <c r="AK79" i="31" s="1"/>
  <c r="AK77" i="31" s="1"/>
  <c r="AK25" i="30"/>
  <c r="AK41" i="30" s="1"/>
  <c r="AK79" i="30" s="1"/>
  <c r="AK77" i="30" s="1"/>
  <c r="AL105" i="27"/>
  <c r="AL27" i="31"/>
  <c r="AL43" i="31" s="1"/>
  <c r="AL27" i="30"/>
  <c r="AL43" i="30" s="1"/>
  <c r="AM107" i="27"/>
  <c r="AW25" i="31"/>
  <c r="AW41" i="31" s="1"/>
  <c r="AW79" i="31" s="1"/>
  <c r="AW25" i="30"/>
  <c r="AW41" i="30" s="1"/>
  <c r="AW79" i="30" s="1"/>
  <c r="AW77" i="30" s="1"/>
  <c r="AX105" i="27"/>
  <c r="AX27" i="30"/>
  <c r="AX43" i="30" s="1"/>
  <c r="AX27" i="31"/>
  <c r="AX43" i="31" s="1"/>
  <c r="AY107" i="27"/>
  <c r="BJ27" i="30"/>
  <c r="BJ43" i="30" s="1"/>
  <c r="BJ27" i="31"/>
  <c r="BJ43" i="31" s="1"/>
  <c r="BK107" i="27"/>
  <c r="AL28" i="31"/>
  <c r="AL44" i="31" s="1"/>
  <c r="AL28" i="30"/>
  <c r="AL44" i="30" s="1"/>
  <c r="AM108" i="27"/>
  <c r="AX28" i="31"/>
  <c r="AX44" i="31" s="1"/>
  <c r="AX28" i="30"/>
  <c r="AX44" i="30" s="1"/>
  <c r="AY108" i="27"/>
  <c r="BJ28" i="31"/>
  <c r="BJ44" i="31" s="1"/>
  <c r="BJ28" i="30"/>
  <c r="BJ44" i="30" s="1"/>
  <c r="BK108" i="27"/>
  <c r="AM24" i="31"/>
  <c r="AM40" i="31" s="1"/>
  <c r="AM24" i="30"/>
  <c r="AM40" i="30" s="1"/>
  <c r="AN23" i="30"/>
  <c r="AN39" i="30" s="1"/>
  <c r="AN23" i="31"/>
  <c r="AN39" i="31" s="1"/>
  <c r="AN104" i="27"/>
  <c r="AO103" i="27"/>
  <c r="AN26" i="30"/>
  <c r="AN42" i="30" s="1"/>
  <c r="AN26" i="31"/>
  <c r="AN42" i="31" s="1"/>
  <c r="AO106" i="27"/>
  <c r="BM10" i="31"/>
  <c r="BM10" i="30"/>
  <c r="H114" i="34"/>
  <c r="S115" i="34"/>
  <c r="G51" i="34"/>
  <c r="P17" i="25"/>
  <c r="W17" i="25" s="1"/>
  <c r="G99" i="36" s="1"/>
  <c r="F125" i="34"/>
  <c r="H117" i="28"/>
  <c r="BS117" i="28" s="1"/>
  <c r="H61" i="28"/>
  <c r="AP54" i="28"/>
  <c r="AP111" i="28" s="1"/>
  <c r="AN111" i="28"/>
  <c r="BY111" i="28" s="1"/>
  <c r="AP47" i="28"/>
  <c r="AP104" i="28" s="1"/>
  <c r="AO104" i="28"/>
  <c r="BY104" i="28" s="1"/>
  <c r="P49" i="28"/>
  <c r="P106" i="28" s="1"/>
  <c r="N106" i="28"/>
  <c r="BU106" i="28" s="1"/>
  <c r="AP49" i="28"/>
  <c r="AP106" i="28" s="1"/>
  <c r="AN106" i="28"/>
  <c r="BY106" i="28" s="1"/>
  <c r="BW111" i="28"/>
  <c r="BW104" i="28"/>
  <c r="CA104" i="28"/>
  <c r="CC104" i="28"/>
  <c r="BU105" i="28"/>
  <c r="BW106" i="28"/>
  <c r="CA106" i="28"/>
  <c r="CC106" i="28"/>
  <c r="P54" i="28"/>
  <c r="P111" i="28" s="1"/>
  <c r="BP47" i="28"/>
  <c r="BP104" i="28" s="1"/>
  <c r="I52" i="34"/>
  <c r="H61" i="10"/>
  <c r="H18" i="10"/>
  <c r="H19" i="10" s="1"/>
  <c r="G41" i="34"/>
  <c r="I26" i="25"/>
  <c r="BK81" i="30"/>
  <c r="AY81" i="30"/>
  <c r="G62" i="10"/>
  <c r="G64" i="10"/>
  <c r="I163" i="6"/>
  <c r="AA37" i="32"/>
  <c r="AA36" i="32" s="1"/>
  <c r="AB40" i="32"/>
  <c r="AB37" i="32" s="1"/>
  <c r="AB36" i="32" s="1"/>
  <c r="AO40" i="32"/>
  <c r="AO37" i="32" s="1"/>
  <c r="AO36" i="32" s="1"/>
  <c r="AN37" i="32"/>
  <c r="AN36" i="32" s="1"/>
  <c r="BB40" i="32"/>
  <c r="BO40" i="32"/>
  <c r="AB80" i="31"/>
  <c r="AO80" i="31"/>
  <c r="BB80" i="31"/>
  <c r="BO80" i="31"/>
  <c r="M77" i="31"/>
  <c r="N78" i="31"/>
  <c r="AL78" i="31"/>
  <c r="BK78" i="31"/>
  <c r="O80" i="30"/>
  <c r="O79" i="30" s="1"/>
  <c r="N79" i="30"/>
  <c r="AB80" i="30"/>
  <c r="AO80" i="30"/>
  <c r="BB80" i="30"/>
  <c r="BO80" i="30"/>
  <c r="BK78" i="30"/>
  <c r="AX78" i="30"/>
  <c r="AL78" i="30"/>
  <c r="Z78" i="30"/>
  <c r="N78" i="30"/>
  <c r="M77" i="30"/>
  <c r="X8" i="32"/>
  <c r="O5" i="32"/>
  <c r="O9" i="27"/>
  <c r="O11" i="27"/>
  <c r="O7" i="32"/>
  <c r="N9" i="32"/>
  <c r="N13" i="27"/>
  <c r="O14" i="29"/>
  <c r="AA9" i="32"/>
  <c r="AA13" i="27"/>
  <c r="AB14" i="29"/>
  <c r="AN9" i="32"/>
  <c r="AN13" i="27"/>
  <c r="AO14" i="29"/>
  <c r="BA9" i="32"/>
  <c r="BA13" i="27"/>
  <c r="BB14" i="29"/>
  <c r="BN9" i="32"/>
  <c r="BN13" i="27"/>
  <c r="BO14" i="29"/>
  <c r="P47" i="28"/>
  <c r="P104" i="28" s="1"/>
  <c r="F30" i="32"/>
  <c r="F26" i="32"/>
  <c r="F33" i="32"/>
  <c r="F23" i="32"/>
  <c r="D90" i="27"/>
  <c r="D88" i="27"/>
  <c r="I61" i="28"/>
  <c r="BS61" i="28" s="1"/>
  <c r="F55" i="20" s="1"/>
  <c r="F124" i="20" s="1"/>
  <c r="AC54" i="28"/>
  <c r="AC111" i="28" s="1"/>
  <c r="P48" i="28"/>
  <c r="P105" i="28" s="1"/>
  <c r="AC49" i="28"/>
  <c r="AC106" i="28" s="1"/>
  <c r="H145" i="6"/>
  <c r="P10" i="10"/>
  <c r="W9" i="10"/>
  <c r="M182" i="6"/>
  <c r="P39" i="10"/>
  <c r="P33" i="10"/>
  <c r="P11" i="10" s="1"/>
  <c r="H36" i="10"/>
  <c r="H14" i="10"/>
  <c r="H15" i="10" s="1"/>
  <c r="M39" i="10"/>
  <c r="M60" i="10"/>
  <c r="M161" i="6"/>
  <c r="M160" i="6"/>
  <c r="M140" i="6"/>
  <c r="M134" i="6"/>
  <c r="M137" i="6"/>
  <c r="M86" i="6"/>
  <c r="M80" i="6"/>
  <c r="M78" i="6"/>
  <c r="M85" i="6"/>
  <c r="M82" i="6"/>
  <c r="M76" i="6"/>
  <c r="M79" i="6"/>
  <c r="M75" i="6"/>
  <c r="M81" i="6"/>
  <c r="M77" i="6"/>
  <c r="M83" i="6"/>
  <c r="M84" i="6"/>
  <c r="G50" i="20"/>
  <c r="J42" i="10"/>
  <c r="J58" i="10"/>
  <c r="J59" i="10"/>
  <c r="I14" i="10"/>
  <c r="I15" i="10" s="1"/>
  <c r="I124" i="10"/>
  <c r="I149" i="10"/>
  <c r="J149" i="10"/>
  <c r="L60" i="24"/>
  <c r="L82" i="20" s="1"/>
  <c r="U82" i="20" s="1"/>
  <c r="P127" i="10"/>
  <c r="P83" i="10"/>
  <c r="I62" i="10"/>
  <c r="I64" i="10"/>
  <c r="I65" i="10" s="1"/>
  <c r="H148" i="6"/>
  <c r="H169" i="6" s="1"/>
  <c r="H166" i="6" s="1"/>
  <c r="F177" i="6"/>
  <c r="J74" i="6"/>
  <c r="E177" i="6"/>
  <c r="I170" i="6"/>
  <c r="I151" i="6"/>
  <c r="P181" i="6"/>
  <c r="P176" i="6"/>
  <c r="F183" i="6"/>
  <c r="F185" i="6" s="1"/>
  <c r="H163" i="6"/>
  <c r="E143" i="6"/>
  <c r="I148" i="6"/>
  <c r="H170" i="6"/>
  <c r="H151" i="6"/>
  <c r="P29" i="6"/>
  <c r="P30" i="6" s="1"/>
  <c r="P46" i="6"/>
  <c r="P45" i="6"/>
  <c r="J147" i="6"/>
  <c r="J165" i="6"/>
  <c r="J153" i="6"/>
  <c r="J172" i="6"/>
  <c r="J175" i="6"/>
  <c r="J156" i="6"/>
  <c r="J152" i="6"/>
  <c r="J171" i="6"/>
  <c r="J150" i="6"/>
  <c r="J168" i="6"/>
  <c r="J155" i="6"/>
  <c r="J174" i="6"/>
  <c r="J164" i="6"/>
  <c r="J146" i="6"/>
  <c r="J167" i="6"/>
  <c r="J149" i="6"/>
  <c r="J154" i="6"/>
  <c r="J173" i="6"/>
  <c r="L44" i="6"/>
  <c r="L41" i="6" s="1"/>
  <c r="M135" i="6"/>
  <c r="M138" i="6"/>
  <c r="M44" i="6"/>
  <c r="M41" i="6" s="1"/>
  <c r="M141" i="6"/>
  <c r="H142" i="6"/>
  <c r="I142" i="6"/>
  <c r="F143" i="6"/>
  <c r="J141" i="6"/>
  <c r="J139" i="6" s="1"/>
  <c r="J44" i="6"/>
  <c r="J41" i="6" s="1"/>
  <c r="J138" i="6"/>
  <c r="J136" i="6" s="1"/>
  <c r="J135" i="6"/>
  <c r="J133" i="6" s="1"/>
  <c r="Y6" i="4"/>
  <c r="Z6" i="4"/>
  <c r="V6" i="4"/>
  <c r="W6" i="4"/>
  <c r="U6" i="4"/>
  <c r="T6" i="4"/>
  <c r="Q6" i="4"/>
  <c r="P6" i="4"/>
  <c r="AA6" i="4"/>
  <c r="R6" i="4"/>
  <c r="X6" i="4"/>
  <c r="S6" i="4"/>
  <c r="M9" i="3"/>
  <c r="C9" i="3"/>
  <c r="L9" i="3"/>
  <c r="G9" i="3"/>
  <c r="E9" i="3"/>
  <c r="K9" i="3"/>
  <c r="F9" i="3"/>
  <c r="I9" i="3"/>
  <c r="D9" i="3"/>
  <c r="J9" i="3"/>
  <c r="H9" i="3"/>
  <c r="N9" i="3"/>
  <c r="AB9" i="3"/>
  <c r="AO6" i="4"/>
  <c r="H15" i="32" l="1"/>
  <c r="I12" i="32"/>
  <c r="I13" i="32" s="1"/>
  <c r="G22" i="32"/>
  <c r="G18" i="32"/>
  <c r="G89" i="29"/>
  <c r="G47" i="29"/>
  <c r="G86" i="29" s="1"/>
  <c r="F65" i="32"/>
  <c r="BR18" i="32"/>
  <c r="E60" i="25" s="1"/>
  <c r="F19" i="32"/>
  <c r="H152" i="10"/>
  <c r="H150" i="10"/>
  <c r="G34" i="27"/>
  <c r="G39" i="29"/>
  <c r="G78" i="29" s="1"/>
  <c r="G38" i="29"/>
  <c r="G45" i="29"/>
  <c r="G84" i="29" s="1"/>
  <c r="G42" i="27"/>
  <c r="G27" i="29"/>
  <c r="G38" i="27" s="1"/>
  <c r="BI10" i="27"/>
  <c r="BI14" i="27"/>
  <c r="BI85" i="27"/>
  <c r="CB85" i="27" s="1"/>
  <c r="BI86" i="27"/>
  <c r="CB86" i="27" s="1"/>
  <c r="S18" i="10"/>
  <c r="M159" i="6"/>
  <c r="P19" i="9"/>
  <c r="P22" i="9" s="1"/>
  <c r="P4" i="35"/>
  <c r="AP4" i="35"/>
  <c r="AC4" i="35"/>
  <c r="W19" i="25"/>
  <c r="E64" i="32"/>
  <c r="E62" i="32" s="1"/>
  <c r="D34" i="32"/>
  <c r="F53" i="27"/>
  <c r="BR53" i="27" s="1"/>
  <c r="E57" i="34" s="1"/>
  <c r="AA9" i="29"/>
  <c r="N11" i="10"/>
  <c r="N182" i="6"/>
  <c r="AL6" i="32"/>
  <c r="AL8" i="32" s="1"/>
  <c r="AW14" i="27"/>
  <c r="AW85" i="27"/>
  <c r="AW86" i="27"/>
  <c r="AW10" i="32"/>
  <c r="AW6" i="32"/>
  <c r="AW8" i="32" s="1"/>
  <c r="Y6" i="32"/>
  <c r="Y8" i="32" s="1"/>
  <c r="Y10" i="32"/>
  <c r="AX3" i="32"/>
  <c r="AX15" i="29"/>
  <c r="AX11" i="29"/>
  <c r="AX13" i="29" s="1"/>
  <c r="AY9" i="29"/>
  <c r="AY11" i="29" s="1"/>
  <c r="AY13" i="29" s="1"/>
  <c r="AY7" i="27"/>
  <c r="AY8" i="27" s="1"/>
  <c r="AZ8" i="29"/>
  <c r="BJ15" i="29"/>
  <c r="BJ3" i="32"/>
  <c r="BJ11" i="29"/>
  <c r="BJ13" i="29" s="1"/>
  <c r="BL8" i="29"/>
  <c r="BK7" i="27"/>
  <c r="BK8" i="27" s="1"/>
  <c r="BK9" i="29"/>
  <c r="BK11" i="29" s="1"/>
  <c r="BK13" i="29" s="1"/>
  <c r="G57" i="14"/>
  <c r="G58" i="14" s="1"/>
  <c r="G54" i="14"/>
  <c r="G55" i="14"/>
  <c r="H42" i="14"/>
  <c r="I33" i="14"/>
  <c r="H36" i="14"/>
  <c r="I16" i="14"/>
  <c r="H25" i="14"/>
  <c r="E66" i="32"/>
  <c r="E68" i="32" s="1"/>
  <c r="E52" i="27"/>
  <c r="E25" i="32"/>
  <c r="E24" i="32"/>
  <c r="E75" i="32"/>
  <c r="E28" i="32"/>
  <c r="E27" i="32"/>
  <c r="E71" i="32"/>
  <c r="E69" i="32" s="1"/>
  <c r="E29" i="32"/>
  <c r="E31" i="32"/>
  <c r="E74" i="32" s="1"/>
  <c r="E32" i="32"/>
  <c r="D83" i="29"/>
  <c r="D46" i="29"/>
  <c r="E76" i="29"/>
  <c r="E44" i="29"/>
  <c r="F77" i="29"/>
  <c r="F37" i="29"/>
  <c r="S16" i="10"/>
  <c r="H17" i="10"/>
  <c r="M59" i="10"/>
  <c r="M58" i="10"/>
  <c r="M42" i="10"/>
  <c r="M36" i="10" s="1"/>
  <c r="N60" i="10"/>
  <c r="N43" i="10"/>
  <c r="N39" i="10"/>
  <c r="Y12" i="27"/>
  <c r="Y93" i="27" s="1"/>
  <c r="Y92" i="27"/>
  <c r="Z86" i="27"/>
  <c r="Z85" i="27"/>
  <c r="Z14" i="27"/>
  <c r="D107" i="30"/>
  <c r="D107" i="31"/>
  <c r="N161" i="6"/>
  <c r="N160" i="6"/>
  <c r="N159" i="6" s="1"/>
  <c r="N44" i="6"/>
  <c r="N41" i="6" s="1"/>
  <c r="N137" i="6"/>
  <c r="N140" i="6"/>
  <c r="N134" i="6"/>
  <c r="N75" i="6"/>
  <c r="N86" i="6"/>
  <c r="N81" i="6"/>
  <c r="N77" i="6"/>
  <c r="N78" i="6"/>
  <c r="N84" i="6"/>
  <c r="N83" i="6"/>
  <c r="N82" i="6"/>
  <c r="N80" i="6"/>
  <c r="N76" i="6"/>
  <c r="N85" i="6"/>
  <c r="N79" i="6"/>
  <c r="Z10" i="27"/>
  <c r="AX10" i="27"/>
  <c r="BJ10" i="27"/>
  <c r="AW12" i="27"/>
  <c r="AW93" i="27" s="1"/>
  <c r="AW92" i="27"/>
  <c r="AB8" i="29"/>
  <c r="AB7" i="27" s="1"/>
  <c r="AA7" i="27"/>
  <c r="AA8" i="27" s="1"/>
  <c r="K182" i="6"/>
  <c r="L182" i="6"/>
  <c r="T20" i="10"/>
  <c r="J21" i="10"/>
  <c r="T12" i="10"/>
  <c r="J13" i="10"/>
  <c r="H26" i="29"/>
  <c r="H24" i="29"/>
  <c r="H25" i="27"/>
  <c r="H87" i="27" s="1"/>
  <c r="H50" i="29"/>
  <c r="W21" i="9"/>
  <c r="BX93" i="27"/>
  <c r="G53" i="27"/>
  <c r="E110" i="30"/>
  <c r="E110" i="31"/>
  <c r="N14" i="27"/>
  <c r="CC98" i="28"/>
  <c r="P115" i="34" s="1"/>
  <c r="P114" i="34" s="1"/>
  <c r="Z6" i="32"/>
  <c r="Z8" i="32" s="1"/>
  <c r="AM11" i="29"/>
  <c r="AM13" i="29" s="1"/>
  <c r="AM3" i="32"/>
  <c r="AM10" i="32" s="1"/>
  <c r="AM15" i="29"/>
  <c r="L49" i="20"/>
  <c r="U11" i="10"/>
  <c r="S13" i="10"/>
  <c r="H62" i="25"/>
  <c r="H26" i="25" s="1"/>
  <c r="T49" i="20"/>
  <c r="J48" i="20"/>
  <c r="T48" i="20" s="1"/>
  <c r="H109" i="10"/>
  <c r="H107" i="10"/>
  <c r="S21" i="10"/>
  <c r="H52" i="34"/>
  <c r="L43" i="10"/>
  <c r="K39" i="10"/>
  <c r="K60" i="10"/>
  <c r="L60" i="10"/>
  <c r="K43" i="10"/>
  <c r="K76" i="6"/>
  <c r="K84" i="6"/>
  <c r="K75" i="6"/>
  <c r="K83" i="6"/>
  <c r="K85" i="6"/>
  <c r="K86" i="6"/>
  <c r="K78" i="6"/>
  <c r="K80" i="6"/>
  <c r="K79" i="6"/>
  <c r="K82" i="6"/>
  <c r="K81" i="6"/>
  <c r="K77" i="6"/>
  <c r="K161" i="6"/>
  <c r="K160" i="6"/>
  <c r="K159" i="6" s="1"/>
  <c r="L138" i="6"/>
  <c r="K138" i="6"/>
  <c r="L135" i="6"/>
  <c r="L141" i="6"/>
  <c r="K141" i="6"/>
  <c r="K135" i="6"/>
  <c r="K140" i="6"/>
  <c r="K139" i="6" s="1"/>
  <c r="L134" i="6"/>
  <c r="K44" i="6"/>
  <c r="K41" i="6" s="1"/>
  <c r="K134" i="6"/>
  <c r="K133" i="6" s="1"/>
  <c r="L137" i="6"/>
  <c r="L140" i="6"/>
  <c r="K137" i="6"/>
  <c r="K136" i="6" s="1"/>
  <c r="L76" i="6"/>
  <c r="L84" i="6"/>
  <c r="L77" i="6"/>
  <c r="L78" i="6"/>
  <c r="L75" i="6"/>
  <c r="L82" i="6"/>
  <c r="L83" i="6"/>
  <c r="L85" i="6"/>
  <c r="L79" i="6"/>
  <c r="L86" i="6"/>
  <c r="L81" i="6"/>
  <c r="L80" i="6"/>
  <c r="AB7" i="29"/>
  <c r="AB5" i="27"/>
  <c r="AB6" i="27" s="1"/>
  <c r="AB8" i="27" s="1"/>
  <c r="AO5" i="27"/>
  <c r="AO6" i="27" s="1"/>
  <c r="AO7" i="29"/>
  <c r="AP7" i="29" s="1"/>
  <c r="BB7" i="29"/>
  <c r="BC7" i="29" s="1"/>
  <c r="BB5" i="27"/>
  <c r="BB6" i="27" s="1"/>
  <c r="BO7" i="29"/>
  <c r="BP7" i="29" s="1"/>
  <c r="BO5" i="27"/>
  <c r="BO6" i="27" s="1"/>
  <c r="N11" i="29"/>
  <c r="N13" i="29" s="1"/>
  <c r="N15" i="29"/>
  <c r="N3" i="32"/>
  <c r="N10" i="27"/>
  <c r="N85" i="27"/>
  <c r="N86" i="27"/>
  <c r="O9" i="29"/>
  <c r="O7" i="27"/>
  <c r="O8" i="27" s="1"/>
  <c r="M12" i="27"/>
  <c r="M93" i="27" s="1"/>
  <c r="M92" i="27"/>
  <c r="M6" i="32"/>
  <c r="M8" i="32" s="1"/>
  <c r="M10" i="32"/>
  <c r="AX14" i="27"/>
  <c r="AX85" i="27"/>
  <c r="AX86" i="27"/>
  <c r="BJ14" i="27"/>
  <c r="BJ85" i="27"/>
  <c r="BJ86" i="27"/>
  <c r="BE92" i="27"/>
  <c r="BE12" i="27"/>
  <c r="BE93" i="27" s="1"/>
  <c r="BG92" i="27"/>
  <c r="BG12" i="27"/>
  <c r="BG93" i="27" s="1"/>
  <c r="BF12" i="27"/>
  <c r="BF93" i="27" s="1"/>
  <c r="BF92" i="27"/>
  <c r="BD12" i="27"/>
  <c r="BD93" i="27" s="1"/>
  <c r="BD92" i="27"/>
  <c r="BH12" i="27"/>
  <c r="BH93" i="27" s="1"/>
  <c r="BH92" i="27"/>
  <c r="BD105" i="28"/>
  <c r="CB105" i="28" s="1"/>
  <c r="BP48" i="28"/>
  <c r="BP105" i="28" s="1"/>
  <c r="BP11" i="28"/>
  <c r="BD15" i="28"/>
  <c r="BD41" i="28"/>
  <c r="BD38" i="28"/>
  <c r="AR92" i="27"/>
  <c r="AR12" i="27"/>
  <c r="AR93" i="27" s="1"/>
  <c r="AU12" i="27"/>
  <c r="AU93" i="27" s="1"/>
  <c r="AU92" i="27"/>
  <c r="AS92" i="27"/>
  <c r="AS12" i="27"/>
  <c r="AS93" i="27" s="1"/>
  <c r="AV12" i="27"/>
  <c r="AV93" i="27" s="1"/>
  <c r="AV92" i="27"/>
  <c r="AQ12" i="27"/>
  <c r="AQ93" i="27" s="1"/>
  <c r="AQ92" i="27"/>
  <c r="AT92" i="27"/>
  <c r="AT12" i="27"/>
  <c r="AT93" i="27" s="1"/>
  <c r="AS95" i="28"/>
  <c r="AS37" i="28"/>
  <c r="AS94" i="28" s="1"/>
  <c r="AQ105" i="28"/>
  <c r="BZ105" i="28" s="1"/>
  <c r="BC48" i="28"/>
  <c r="BC105" i="28" s="1"/>
  <c r="AQ15" i="28"/>
  <c r="BC11" i="28"/>
  <c r="AQ38" i="28"/>
  <c r="AQ41" i="28"/>
  <c r="N148" i="10"/>
  <c r="N127" i="10"/>
  <c r="N131" i="10"/>
  <c r="N83" i="10"/>
  <c r="N104" i="10"/>
  <c r="N87" i="10"/>
  <c r="O122" i="10"/>
  <c r="O123" i="10"/>
  <c r="O129" i="10" s="1"/>
  <c r="O25" i="6"/>
  <c r="O27" i="6" s="1"/>
  <c r="O34" i="6"/>
  <c r="P34" i="6"/>
  <c r="O35" i="10"/>
  <c r="O41" i="10" s="1"/>
  <c r="O34" i="10"/>
  <c r="O9" i="10"/>
  <c r="O10" i="10" s="1"/>
  <c r="W20" i="9"/>
  <c r="O19" i="9"/>
  <c r="O78" i="10"/>
  <c r="O79" i="10"/>
  <c r="O85" i="10" s="1"/>
  <c r="AD18" i="28"/>
  <c r="AD50" i="28" s="1"/>
  <c r="AD52" i="28"/>
  <c r="AD109" i="28" s="1"/>
  <c r="AE13" i="28"/>
  <c r="AD16" i="28"/>
  <c r="AP41" i="28"/>
  <c r="AP98" i="28" s="1"/>
  <c r="AD98" i="28"/>
  <c r="BX98" i="28" s="1"/>
  <c r="K115" i="34" s="1"/>
  <c r="AP38" i="28"/>
  <c r="AP95" i="28" s="1"/>
  <c r="AD37" i="28"/>
  <c r="AD95" i="28"/>
  <c r="BX95" i="28" s="1"/>
  <c r="M86" i="10"/>
  <c r="M102" i="10"/>
  <c r="M103" i="10"/>
  <c r="M130" i="10"/>
  <c r="M124" i="10" s="1"/>
  <c r="M147" i="10"/>
  <c r="M146" i="10"/>
  <c r="M149" i="10" s="1"/>
  <c r="Q46" i="28"/>
  <c r="Q107" i="28"/>
  <c r="R53" i="28"/>
  <c r="R110" i="28" s="1"/>
  <c r="R51" i="28"/>
  <c r="R108" i="28" s="1"/>
  <c r="R15" i="28"/>
  <c r="Q94" i="28"/>
  <c r="BV94" i="28" s="1"/>
  <c r="I110" i="34" s="1"/>
  <c r="AC37" i="28"/>
  <c r="AC94" i="28" s="1"/>
  <c r="T115" i="34"/>
  <c r="I114" i="34"/>
  <c r="T114" i="34" s="1"/>
  <c r="L104" i="10"/>
  <c r="K87" i="10"/>
  <c r="K83" i="10"/>
  <c r="K104" i="10"/>
  <c r="L87" i="10"/>
  <c r="K127" i="10"/>
  <c r="K148" i="10"/>
  <c r="L131" i="10"/>
  <c r="K131" i="10"/>
  <c r="H19" i="27"/>
  <c r="H22" i="30"/>
  <c r="H20" i="30"/>
  <c r="H36" i="30" s="1"/>
  <c r="I17" i="30"/>
  <c r="I18" i="30" s="1"/>
  <c r="G18" i="27"/>
  <c r="G43" i="27"/>
  <c r="G27" i="27"/>
  <c r="G30" i="30"/>
  <c r="G29" i="30"/>
  <c r="F26" i="27"/>
  <c r="F73" i="27"/>
  <c r="BR73" i="27" s="1"/>
  <c r="F31" i="30"/>
  <c r="F33" i="30"/>
  <c r="F34" i="30"/>
  <c r="F32" i="30"/>
  <c r="E64" i="27"/>
  <c r="E45" i="30"/>
  <c r="E108" i="30"/>
  <c r="D51" i="27"/>
  <c r="D104" i="30"/>
  <c r="D106" i="30" s="1"/>
  <c r="E48" i="30"/>
  <c r="F63" i="30" s="1"/>
  <c r="F56" i="30" s="1"/>
  <c r="E60" i="33"/>
  <c r="E49" i="30"/>
  <c r="F64" i="30" s="1"/>
  <c r="F57" i="30" s="1"/>
  <c r="E61" i="33"/>
  <c r="E47" i="30"/>
  <c r="E59" i="33"/>
  <c r="E54" i="30"/>
  <c r="D112" i="30"/>
  <c r="D111" i="30" s="1"/>
  <c r="D35" i="27"/>
  <c r="D33" i="27" s="1"/>
  <c r="E50" i="30"/>
  <c r="E62" i="33"/>
  <c r="H20" i="31"/>
  <c r="H36" i="31" s="1"/>
  <c r="H22" i="31"/>
  <c r="H20" i="27"/>
  <c r="I17" i="31"/>
  <c r="I18" i="31" s="1"/>
  <c r="H99" i="31"/>
  <c r="H105" i="31"/>
  <c r="G44" i="27"/>
  <c r="G29" i="31"/>
  <c r="G30" i="31"/>
  <c r="G28" i="27"/>
  <c r="F31" i="31"/>
  <c r="F32" i="31"/>
  <c r="F33" i="31"/>
  <c r="F34" i="31"/>
  <c r="F81" i="27"/>
  <c r="BR81" i="27" s="1"/>
  <c r="E45" i="31"/>
  <c r="E108" i="31"/>
  <c r="E48" i="31"/>
  <c r="F63" i="31" s="1"/>
  <c r="F56" i="31" s="1"/>
  <c r="E69" i="33"/>
  <c r="E50" i="31"/>
  <c r="F65" i="31" s="1"/>
  <c r="F58" i="31" s="1"/>
  <c r="E71" i="33"/>
  <c r="E49" i="31"/>
  <c r="F64" i="31" s="1"/>
  <c r="F57" i="31" s="1"/>
  <c r="E70" i="33"/>
  <c r="K85" i="28"/>
  <c r="K27" i="28"/>
  <c r="L35" i="28"/>
  <c r="L92" i="28" s="1"/>
  <c r="BT92" i="28" s="1"/>
  <c r="G105" i="34" s="1"/>
  <c r="G104" i="34" s="1"/>
  <c r="G16" i="34" s="1"/>
  <c r="L29" i="28"/>
  <c r="L86" i="28" s="1"/>
  <c r="BT86" i="28" s="1"/>
  <c r="G96" i="34" s="1"/>
  <c r="G95" i="34" s="1"/>
  <c r="L28" i="28"/>
  <c r="L46" i="28"/>
  <c r="L107" i="28"/>
  <c r="BT107" i="28" s="1"/>
  <c r="M51" i="28"/>
  <c r="M108" i="28" s="1"/>
  <c r="M53" i="28"/>
  <c r="M110" i="28" s="1"/>
  <c r="M15" i="28"/>
  <c r="G80" i="25"/>
  <c r="G93" i="25" s="1"/>
  <c r="G14" i="25"/>
  <c r="J34" i="28"/>
  <c r="J84" i="28"/>
  <c r="BF95" i="28"/>
  <c r="BF37" i="28"/>
  <c r="BF94" i="28" s="1"/>
  <c r="BI95" i="28"/>
  <c r="BI37" i="28"/>
  <c r="BI94" i="28" s="1"/>
  <c r="BK95" i="28"/>
  <c r="BK37" i="28"/>
  <c r="BK94" i="28" s="1"/>
  <c r="BM95" i="28"/>
  <c r="BM37" i="28"/>
  <c r="BM94" i="28" s="1"/>
  <c r="BO95" i="28"/>
  <c r="BO37" i="28"/>
  <c r="BO94" i="28" s="1"/>
  <c r="BG95" i="28"/>
  <c r="BG37" i="28"/>
  <c r="BG94" i="28" s="1"/>
  <c r="BL95" i="28"/>
  <c r="BL37" i="28"/>
  <c r="BL94" i="28" s="1"/>
  <c r="BE95" i="28"/>
  <c r="BE37" i="28"/>
  <c r="BE94" i="28" s="1"/>
  <c r="BH95" i="28"/>
  <c r="BH37" i="28"/>
  <c r="BH94" i="28" s="1"/>
  <c r="BJ95" i="28"/>
  <c r="BJ37" i="28"/>
  <c r="BJ94" i="28" s="1"/>
  <c r="BN95" i="28"/>
  <c r="BN37" i="28"/>
  <c r="BN94" i="28" s="1"/>
  <c r="AV95" i="28"/>
  <c r="AV37" i="28"/>
  <c r="AV94" i="28" s="1"/>
  <c r="AY95" i="28"/>
  <c r="AY37" i="28"/>
  <c r="AY94" i="28" s="1"/>
  <c r="BB95" i="28"/>
  <c r="BB37" i="28"/>
  <c r="BB94" i="28" s="1"/>
  <c r="AR95" i="28"/>
  <c r="AR37" i="28"/>
  <c r="AR94" i="28" s="1"/>
  <c r="AU95" i="28"/>
  <c r="AU37" i="28"/>
  <c r="AU94" i="28" s="1"/>
  <c r="AX95" i="28"/>
  <c r="AX37" i="28"/>
  <c r="AX94" i="28" s="1"/>
  <c r="AT95" i="28"/>
  <c r="AT37" i="28"/>
  <c r="AT94" i="28" s="1"/>
  <c r="AW95" i="28"/>
  <c r="AW37" i="28"/>
  <c r="AW94" i="28" s="1"/>
  <c r="AZ95" i="28"/>
  <c r="AZ37" i="28"/>
  <c r="AZ94" i="28" s="1"/>
  <c r="BA95" i="28"/>
  <c r="BA37" i="28"/>
  <c r="BA94" i="28" s="1"/>
  <c r="I108" i="10"/>
  <c r="I106" i="10"/>
  <c r="CA98" i="28"/>
  <c r="N115" i="34" s="1"/>
  <c r="N114" i="34" s="1"/>
  <c r="BZ85" i="27"/>
  <c r="BZ86" i="27"/>
  <c r="J105" i="10"/>
  <c r="K11" i="10"/>
  <c r="K49" i="20" s="1"/>
  <c r="K48" i="20" s="1"/>
  <c r="E61" i="30"/>
  <c r="E59" i="30" s="1"/>
  <c r="D111" i="31"/>
  <c r="BY94" i="28"/>
  <c r="L110" i="34" s="1"/>
  <c r="L109" i="34" s="1"/>
  <c r="M12" i="10"/>
  <c r="M13" i="10" s="1"/>
  <c r="M62" i="25" s="1"/>
  <c r="M20" i="10"/>
  <c r="M21" i="10" s="1"/>
  <c r="J18" i="10"/>
  <c r="J16" i="10"/>
  <c r="BX92" i="27"/>
  <c r="L12" i="10"/>
  <c r="D74" i="33"/>
  <c r="BY95" i="28"/>
  <c r="BD106" i="28"/>
  <c r="CB106" i="28" s="1"/>
  <c r="BP49" i="28"/>
  <c r="BP106" i="28" s="1"/>
  <c r="AQ106" i="28"/>
  <c r="BZ106" i="28" s="1"/>
  <c r="BC49" i="28"/>
  <c r="BC106" i="28" s="1"/>
  <c r="BR43" i="27"/>
  <c r="E45" i="25" s="1"/>
  <c r="F41" i="27"/>
  <c r="F89" i="27" s="1"/>
  <c r="BR89" i="27" s="1"/>
  <c r="E61" i="31"/>
  <c r="E59" i="31" s="1"/>
  <c r="E55" i="31"/>
  <c r="K103" i="28"/>
  <c r="K57" i="28"/>
  <c r="K114" i="28" s="1"/>
  <c r="I20" i="29"/>
  <c r="I22" i="29"/>
  <c r="I17" i="27"/>
  <c r="J16" i="27" s="1"/>
  <c r="J17" i="29"/>
  <c r="J18" i="29" s="1"/>
  <c r="AW78" i="31"/>
  <c r="AV77" i="31"/>
  <c r="Y78" i="31"/>
  <c r="X77" i="31"/>
  <c r="Q11" i="32"/>
  <c r="Q15" i="27"/>
  <c r="R16" i="29"/>
  <c r="AM85" i="27"/>
  <c r="AM14" i="27"/>
  <c r="AM86" i="27"/>
  <c r="G151" i="10"/>
  <c r="G153" i="10"/>
  <c r="G154" i="10" s="1"/>
  <c r="BM64" i="28"/>
  <c r="BL54" i="28"/>
  <c r="BL111" i="28" s="1"/>
  <c r="AZ64" i="28"/>
  <c r="AY54" i="28"/>
  <c r="AY111" i="28" s="1"/>
  <c r="BK111" i="28"/>
  <c r="AX111" i="28"/>
  <c r="BO41" i="32"/>
  <c r="BL43" i="32"/>
  <c r="BM42" i="32"/>
  <c r="AZ43" i="32"/>
  <c r="BA42" i="32"/>
  <c r="AN43" i="32"/>
  <c r="AO42" i="32"/>
  <c r="AO43" i="32" s="1"/>
  <c r="BM45" i="32"/>
  <c r="BL46" i="32"/>
  <c r="BA45" i="32"/>
  <c r="AZ46" i="32"/>
  <c r="AN46" i="32"/>
  <c r="AO45" i="32"/>
  <c r="AO46" i="32" s="1"/>
  <c r="BL37" i="32"/>
  <c r="BL36" i="32" s="1"/>
  <c r="BM47" i="32"/>
  <c r="AZ37" i="32"/>
  <c r="AZ36" i="32" s="1"/>
  <c r="BA47" i="32"/>
  <c r="BL15" i="31"/>
  <c r="BM9" i="31"/>
  <c r="BN8" i="31"/>
  <c r="BL15" i="30"/>
  <c r="BM9" i="30"/>
  <c r="BM11" i="30" s="1"/>
  <c r="BM13" i="30" s="1"/>
  <c r="BN8" i="30"/>
  <c r="AO8" i="29"/>
  <c r="AN9" i="29"/>
  <c r="AN7" i="27"/>
  <c r="AN8" i="27" s="1"/>
  <c r="G107" i="10"/>
  <c r="G109" i="10"/>
  <c r="E11" i="25"/>
  <c r="BJ25" i="30"/>
  <c r="BJ41" i="30" s="1"/>
  <c r="BJ25" i="31"/>
  <c r="BJ41" i="31" s="1"/>
  <c r="BN24" i="35"/>
  <c r="BN4" i="35" s="1"/>
  <c r="BO92" i="35"/>
  <c r="BO24" i="35" s="1"/>
  <c r="BO4" i="35" s="1"/>
  <c r="BA24" i="35"/>
  <c r="BB92" i="35"/>
  <c r="BB24" i="35" s="1"/>
  <c r="BB4" i="35" s="1"/>
  <c r="BM4" i="35"/>
  <c r="BP24" i="35"/>
  <c r="H46" i="34"/>
  <c r="S19" i="10"/>
  <c r="N48" i="24"/>
  <c r="N49" i="24" s="1"/>
  <c r="N45" i="24"/>
  <c r="M59" i="24"/>
  <c r="M56" i="24"/>
  <c r="P47" i="24"/>
  <c r="P31" i="24"/>
  <c r="P81" i="20" s="1"/>
  <c r="W81" i="20" s="1"/>
  <c r="P42" i="24"/>
  <c r="P43" i="24"/>
  <c r="P36" i="34" s="1"/>
  <c r="W36" i="34" s="1"/>
  <c r="O45" i="24"/>
  <c r="O48" i="24"/>
  <c r="O49" i="24" s="1"/>
  <c r="Z25" i="31"/>
  <c r="Z41" i="31" s="1"/>
  <c r="Z79" i="31" s="1"/>
  <c r="Z25" i="30"/>
  <c r="Z41" i="30" s="1"/>
  <c r="Z79" i="30" s="1"/>
  <c r="Z77" i="30" s="1"/>
  <c r="AA27" i="30"/>
  <c r="AA43" i="30" s="1"/>
  <c r="AA105" i="27"/>
  <c r="AA27" i="31"/>
  <c r="AA43" i="31" s="1"/>
  <c r="AB107" i="27"/>
  <c r="BK105" i="27"/>
  <c r="BJ79" i="30"/>
  <c r="BJ77" i="30" s="1"/>
  <c r="AL92" i="27"/>
  <c r="AL12" i="27"/>
  <c r="AL93" i="27" s="1"/>
  <c r="AB10" i="29"/>
  <c r="AA9" i="27"/>
  <c r="AA5" i="32"/>
  <c r="AM5" i="32"/>
  <c r="AN10" i="29"/>
  <c r="AM9" i="27"/>
  <c r="AM10" i="27" s="1"/>
  <c r="AY5" i="32"/>
  <c r="AZ10" i="29"/>
  <c r="AY9" i="27"/>
  <c r="BK9" i="27"/>
  <c r="BL10" i="29"/>
  <c r="BK5" i="32"/>
  <c r="AY7" i="32"/>
  <c r="AY11" i="27"/>
  <c r="AZ12" i="29"/>
  <c r="BL12" i="29"/>
  <c r="BK11" i="27"/>
  <c r="BK7" i="32"/>
  <c r="AN12" i="29"/>
  <c r="AM7" i="32"/>
  <c r="AM11" i="27"/>
  <c r="AB12" i="29"/>
  <c r="AA7" i="32"/>
  <c r="AA11" i="27"/>
  <c r="O24" i="30"/>
  <c r="O40" i="30" s="1"/>
  <c r="O24" i="31"/>
  <c r="O40" i="31" s="1"/>
  <c r="BL24" i="31"/>
  <c r="BL40" i="31" s="1"/>
  <c r="BL24" i="30"/>
  <c r="BL40" i="30" s="1"/>
  <c r="BM104" i="27"/>
  <c r="BM23" i="30"/>
  <c r="BM39" i="30" s="1"/>
  <c r="BM23" i="31"/>
  <c r="BM39" i="31" s="1"/>
  <c r="BN103" i="27"/>
  <c r="BA26" i="31"/>
  <c r="BA42" i="31" s="1"/>
  <c r="BA26" i="30"/>
  <c r="BA42" i="30" s="1"/>
  <c r="BB106" i="27"/>
  <c r="BL26" i="30"/>
  <c r="BL42" i="30" s="1"/>
  <c r="BL26" i="31"/>
  <c r="BL42" i="31" s="1"/>
  <c r="BM106" i="27"/>
  <c r="AL25" i="31"/>
  <c r="AL41" i="31" s="1"/>
  <c r="AL79" i="31" s="1"/>
  <c r="AL77" i="31" s="1"/>
  <c r="AL25" i="30"/>
  <c r="AL41" i="30" s="1"/>
  <c r="AL79" i="30" s="1"/>
  <c r="AL77" i="30" s="1"/>
  <c r="AM105" i="27"/>
  <c r="AM27" i="30"/>
  <c r="AM43" i="30" s="1"/>
  <c r="AM27" i="31"/>
  <c r="AM43" i="31" s="1"/>
  <c r="AN107" i="27"/>
  <c r="AX25" i="30"/>
  <c r="AX41" i="30" s="1"/>
  <c r="AX79" i="30" s="1"/>
  <c r="AX77" i="30" s="1"/>
  <c r="AX25" i="31"/>
  <c r="AX41" i="31" s="1"/>
  <c r="AX79" i="31" s="1"/>
  <c r="AY105" i="27"/>
  <c r="AY27" i="30"/>
  <c r="AY43" i="30" s="1"/>
  <c r="AY27" i="31"/>
  <c r="AY43" i="31" s="1"/>
  <c r="AZ107" i="27"/>
  <c r="BK27" i="30"/>
  <c r="BK43" i="30" s="1"/>
  <c r="BK27" i="31"/>
  <c r="BK43" i="31" s="1"/>
  <c r="BL107" i="27"/>
  <c r="AM28" i="30"/>
  <c r="AM44" i="30" s="1"/>
  <c r="AM28" i="31"/>
  <c r="AM44" i="31" s="1"/>
  <c r="AN108" i="27"/>
  <c r="AY28" i="31"/>
  <c r="AY44" i="31" s="1"/>
  <c r="AY28" i="30"/>
  <c r="AY44" i="30" s="1"/>
  <c r="AZ108" i="27"/>
  <c r="BK28" i="30"/>
  <c r="BK44" i="30" s="1"/>
  <c r="BK28" i="31"/>
  <c r="BK44" i="31" s="1"/>
  <c r="BL108" i="27"/>
  <c r="AN24" i="31"/>
  <c r="AN40" i="31" s="1"/>
  <c r="AN24" i="30"/>
  <c r="AN40" i="30" s="1"/>
  <c r="AO104" i="27"/>
  <c r="AO23" i="31"/>
  <c r="AO39" i="31" s="1"/>
  <c r="AO23" i="30"/>
  <c r="AO39" i="30" s="1"/>
  <c r="AO26" i="31"/>
  <c r="AO42" i="31" s="1"/>
  <c r="AO26" i="30"/>
  <c r="AO42" i="30" s="1"/>
  <c r="BL13" i="31"/>
  <c r="BN10" i="31"/>
  <c r="BN10" i="30"/>
  <c r="BJ79" i="31"/>
  <c r="BJ77" i="31" s="1"/>
  <c r="BL13" i="30"/>
  <c r="BU4" i="35"/>
  <c r="S114" i="34"/>
  <c r="G14" i="34"/>
  <c r="I51" i="34"/>
  <c r="G40" i="34"/>
  <c r="H64" i="10"/>
  <c r="H65" i="10" s="1"/>
  <c r="H62" i="10"/>
  <c r="W10" i="10"/>
  <c r="I41" i="34"/>
  <c r="I19" i="10"/>
  <c r="I46" i="34" s="1"/>
  <c r="BL81" i="30"/>
  <c r="AZ81" i="30"/>
  <c r="G65" i="10"/>
  <c r="G63" i="10"/>
  <c r="M74" i="6"/>
  <c r="N77" i="31"/>
  <c r="O78" i="31"/>
  <c r="AM78" i="31"/>
  <c r="BL78" i="31"/>
  <c r="BL78" i="30"/>
  <c r="AY78" i="30"/>
  <c r="AM78" i="30"/>
  <c r="AA78" i="30"/>
  <c r="O78" i="30"/>
  <c r="N77" i="30"/>
  <c r="O9" i="32"/>
  <c r="O13" i="27"/>
  <c r="AB9" i="32"/>
  <c r="AB13" i="27"/>
  <c r="AO9" i="32"/>
  <c r="AO13" i="27"/>
  <c r="BB9" i="32"/>
  <c r="BB13" i="27"/>
  <c r="BO9" i="32"/>
  <c r="BO13" i="27"/>
  <c r="D66" i="32"/>
  <c r="D52" i="27"/>
  <c r="F32" i="32"/>
  <c r="F31" i="32"/>
  <c r="F74" i="32" s="1"/>
  <c r="F75" i="32"/>
  <c r="F71" i="32"/>
  <c r="F29" i="32"/>
  <c r="F28" i="32"/>
  <c r="F27" i="32"/>
  <c r="F24" i="32"/>
  <c r="F25" i="32"/>
  <c r="D83" i="27"/>
  <c r="M139" i="6"/>
  <c r="M136" i="6"/>
  <c r="M133" i="6"/>
  <c r="M142" i="6" s="1"/>
  <c r="M152" i="6"/>
  <c r="M171" i="6"/>
  <c r="M164" i="6"/>
  <c r="M146" i="6"/>
  <c r="M167" i="6"/>
  <c r="M149" i="6"/>
  <c r="M147" i="6"/>
  <c r="M165" i="6"/>
  <c r="M153" i="6"/>
  <c r="M172" i="6"/>
  <c r="M154" i="6"/>
  <c r="M173" i="6"/>
  <c r="S14" i="10"/>
  <c r="M175" i="6"/>
  <c r="M156" i="6"/>
  <c r="M158" i="6"/>
  <c r="M150" i="6"/>
  <c r="M168" i="6"/>
  <c r="M174" i="6"/>
  <c r="M155" i="6"/>
  <c r="J36" i="10"/>
  <c r="J14" i="10"/>
  <c r="J15" i="10" s="1"/>
  <c r="J61" i="10"/>
  <c r="I152" i="10"/>
  <c r="I150" i="10"/>
  <c r="J152" i="10"/>
  <c r="J150" i="10"/>
  <c r="H144" i="6"/>
  <c r="W11" i="10"/>
  <c r="P49" i="20"/>
  <c r="P12" i="10"/>
  <c r="I66" i="10"/>
  <c r="H162" i="6"/>
  <c r="E183" i="6"/>
  <c r="E185" i="6" s="1"/>
  <c r="H143" i="6"/>
  <c r="I169" i="6"/>
  <c r="I166" i="6" s="1"/>
  <c r="I162" i="6" s="1"/>
  <c r="I144" i="6"/>
  <c r="P161" i="6"/>
  <c r="P160" i="6"/>
  <c r="P159" i="6" s="1"/>
  <c r="J151" i="6"/>
  <c r="J170" i="6"/>
  <c r="J145" i="6"/>
  <c r="J163" i="6"/>
  <c r="J148" i="6"/>
  <c r="J169" i="6" s="1"/>
  <c r="J166" i="6" s="1"/>
  <c r="J142" i="6"/>
  <c r="I143" i="6"/>
  <c r="P44" i="6"/>
  <c r="N135" i="6"/>
  <c r="N138" i="6"/>
  <c r="N141" i="6"/>
  <c r="AH6" i="4"/>
  <c r="AC6" i="4"/>
  <c r="AN6" i="4"/>
  <c r="AK6" i="4"/>
  <c r="AJ6" i="4"/>
  <c r="AI6" i="4"/>
  <c r="AE6" i="4"/>
  <c r="AG6" i="4"/>
  <c r="AF6" i="4"/>
  <c r="AM6" i="4"/>
  <c r="AD6" i="4"/>
  <c r="AL6" i="4"/>
  <c r="S9" i="3"/>
  <c r="W9" i="3"/>
  <c r="Y9" i="3"/>
  <c r="V9" i="3"/>
  <c r="P9" i="3"/>
  <c r="Z9" i="3"/>
  <c r="X9" i="3"/>
  <c r="U9" i="3"/>
  <c r="AA9" i="3"/>
  <c r="T9" i="3"/>
  <c r="Q9" i="3"/>
  <c r="R9" i="3"/>
  <c r="AO9" i="3"/>
  <c r="BB6" i="4"/>
  <c r="N12" i="10" l="1"/>
  <c r="AY10" i="27"/>
  <c r="BK10" i="27"/>
  <c r="BK92" i="27" s="1"/>
  <c r="H22" i="32"/>
  <c r="H18" i="32"/>
  <c r="H65" i="32" s="1"/>
  <c r="J12" i="32"/>
  <c r="J13" i="32" s="1"/>
  <c r="I15" i="32"/>
  <c r="G33" i="32"/>
  <c r="G23" i="32"/>
  <c r="G26" i="32"/>
  <c r="G30" i="32"/>
  <c r="G65" i="32"/>
  <c r="G19" i="32"/>
  <c r="G20" i="32" s="1"/>
  <c r="G64" i="32" s="1"/>
  <c r="G62" i="32" s="1"/>
  <c r="E65" i="25"/>
  <c r="E25" i="25"/>
  <c r="E23" i="25" s="1"/>
  <c r="F20" i="32"/>
  <c r="F64" i="32"/>
  <c r="H151" i="10"/>
  <c r="H153" i="10"/>
  <c r="H154" i="10" s="1"/>
  <c r="H155" i="10" s="1"/>
  <c r="G77" i="29"/>
  <c r="G37" i="29"/>
  <c r="G76" i="29" s="1"/>
  <c r="BI12" i="27"/>
  <c r="BI93" i="27" s="1"/>
  <c r="BI92" i="27"/>
  <c r="V11" i="10"/>
  <c r="N49" i="20"/>
  <c r="H41" i="34"/>
  <c r="S17" i="10"/>
  <c r="L139" i="6"/>
  <c r="L136" i="6"/>
  <c r="E73" i="32"/>
  <c r="E79" i="32" s="1"/>
  <c r="N20" i="10"/>
  <c r="N21" i="10" s="1"/>
  <c r="L133" i="6"/>
  <c r="L142" i="6" s="1"/>
  <c r="L143" i="6" s="1"/>
  <c r="M61" i="10"/>
  <c r="M64" i="10" s="1"/>
  <c r="M65" i="10" s="1"/>
  <c r="M66" i="10" s="1"/>
  <c r="E34" i="32"/>
  <c r="AA11" i="29"/>
  <c r="AA13" i="29" s="1"/>
  <c r="AA15" i="29"/>
  <c r="AA3" i="32"/>
  <c r="AX10" i="32"/>
  <c r="AX6" i="32"/>
  <c r="AX8" i="32" s="1"/>
  <c r="AY3" i="32"/>
  <c r="AY15" i="29"/>
  <c r="AY86" i="27"/>
  <c r="AY14" i="27"/>
  <c r="AY85" i="27"/>
  <c r="AZ9" i="29"/>
  <c r="AZ15" i="29" s="1"/>
  <c r="AZ7" i="27"/>
  <c r="AZ8" i="27" s="1"/>
  <c r="BA8" i="29"/>
  <c r="BJ10" i="32"/>
  <c r="BJ6" i="32"/>
  <c r="BJ8" i="32" s="1"/>
  <c r="BL9" i="29"/>
  <c r="BM8" i="29"/>
  <c r="BL7" i="27"/>
  <c r="BL8" i="27" s="1"/>
  <c r="BK85" i="27"/>
  <c r="BK14" i="27"/>
  <c r="BK86" i="27"/>
  <c r="BK15" i="29"/>
  <c r="BK3" i="32"/>
  <c r="BK10" i="32" s="1"/>
  <c r="E46" i="29"/>
  <c r="E85" i="29" s="1"/>
  <c r="E83" i="29"/>
  <c r="F44" i="29"/>
  <c r="F76" i="29"/>
  <c r="N74" i="6"/>
  <c r="K74" i="6"/>
  <c r="D117" i="31"/>
  <c r="L74" i="6"/>
  <c r="I29" i="14"/>
  <c r="J28" i="14" s="1"/>
  <c r="I18" i="14"/>
  <c r="H43" i="14"/>
  <c r="H38" i="14"/>
  <c r="H26" i="14"/>
  <c r="H39" i="14"/>
  <c r="D85" i="29"/>
  <c r="D57" i="29"/>
  <c r="N42" i="10"/>
  <c r="N36" i="10" s="1"/>
  <c r="N59" i="10"/>
  <c r="N58" i="10"/>
  <c r="AM6" i="32"/>
  <c r="AM8" i="32" s="1"/>
  <c r="D54" i="27"/>
  <c r="AA10" i="27"/>
  <c r="AX92" i="27"/>
  <c r="AX12" i="27"/>
  <c r="AX93" i="27" s="1"/>
  <c r="E12" i="25"/>
  <c r="E10" i="25" s="1"/>
  <c r="E42" i="25"/>
  <c r="L20" i="10"/>
  <c r="L21" i="10" s="1"/>
  <c r="L52" i="34" s="1"/>
  <c r="L51" i="34" s="1"/>
  <c r="L14" i="34" s="1"/>
  <c r="N139" i="6"/>
  <c r="N133" i="6"/>
  <c r="N136" i="6"/>
  <c r="N156" i="6"/>
  <c r="N175" i="6"/>
  <c r="N147" i="6"/>
  <c r="N165" i="6"/>
  <c r="N173" i="6"/>
  <c r="N154" i="6"/>
  <c r="N153" i="6"/>
  <c r="N172" i="6"/>
  <c r="N152" i="6"/>
  <c r="N171" i="6"/>
  <c r="N158" i="6"/>
  <c r="N150" i="6"/>
  <c r="N168" i="6"/>
  <c r="N164" i="6"/>
  <c r="N163" i="6" s="1"/>
  <c r="N146" i="6"/>
  <c r="N145" i="6" s="1"/>
  <c r="N155" i="6"/>
  <c r="N174" i="6"/>
  <c r="N149" i="6"/>
  <c r="N148" i="6" s="1"/>
  <c r="N169" i="6" s="1"/>
  <c r="N167" i="6"/>
  <c r="Z92" i="27"/>
  <c r="Z12" i="27"/>
  <c r="Z93" i="27" s="1"/>
  <c r="BJ12" i="27"/>
  <c r="BJ93" i="27" s="1"/>
  <c r="BJ92" i="27"/>
  <c r="AA14" i="27"/>
  <c r="AA85" i="27"/>
  <c r="AA86" i="27"/>
  <c r="T21" i="10"/>
  <c r="J52" i="34"/>
  <c r="T13" i="10"/>
  <c r="J62" i="25"/>
  <c r="J26" i="25" s="1"/>
  <c r="H39" i="29"/>
  <c r="H78" i="29" s="1"/>
  <c r="H34" i="27"/>
  <c r="H38" i="29"/>
  <c r="H45" i="29"/>
  <c r="H27" i="29"/>
  <c r="H38" i="27" s="1"/>
  <c r="H42" i="27"/>
  <c r="H89" i="29"/>
  <c r="H47" i="29"/>
  <c r="H86" i="29" s="1"/>
  <c r="H51" i="34"/>
  <c r="S52" i="34"/>
  <c r="K173" i="6"/>
  <c r="K154" i="6"/>
  <c r="K172" i="6"/>
  <c r="K153" i="6"/>
  <c r="K174" i="6"/>
  <c r="K155" i="6"/>
  <c r="K175" i="6"/>
  <c r="K156" i="6"/>
  <c r="K158" i="6"/>
  <c r="K150" i="6"/>
  <c r="K168" i="6"/>
  <c r="K167" i="6"/>
  <c r="K149" i="6"/>
  <c r="K152" i="6"/>
  <c r="K171" i="6"/>
  <c r="K170" i="6" s="1"/>
  <c r="K147" i="6"/>
  <c r="K165" i="6"/>
  <c r="L167" i="6"/>
  <c r="L149" i="6"/>
  <c r="L156" i="6"/>
  <c r="L175" i="6"/>
  <c r="AC7" i="29"/>
  <c r="AB9" i="29"/>
  <c r="AB86" i="27"/>
  <c r="AB85" i="27"/>
  <c r="N6" i="32"/>
  <c r="N8" i="32" s="1"/>
  <c r="N10" i="32"/>
  <c r="N12" i="27"/>
  <c r="N93" i="27" s="1"/>
  <c r="N92" i="27"/>
  <c r="T16" i="10"/>
  <c r="J17" i="10"/>
  <c r="BM15" i="31"/>
  <c r="BM11" i="31"/>
  <c r="BM13" i="31" s="1"/>
  <c r="D55" i="27"/>
  <c r="P41" i="6"/>
  <c r="L42" i="10"/>
  <c r="L58" i="10"/>
  <c r="L59" i="10"/>
  <c r="K42" i="10"/>
  <c r="K36" i="10" s="1"/>
  <c r="K59" i="10"/>
  <c r="K58" i="10"/>
  <c r="L146" i="6"/>
  <c r="L164" i="6"/>
  <c r="L173" i="6"/>
  <c r="L154" i="6"/>
  <c r="L165" i="6"/>
  <c r="L147" i="6"/>
  <c r="L152" i="6"/>
  <c r="L171" i="6"/>
  <c r="L172" i="6"/>
  <c r="L153" i="6"/>
  <c r="L155" i="6"/>
  <c r="L174" i="6"/>
  <c r="L158" i="6"/>
  <c r="L150" i="6"/>
  <c r="L148" i="6" s="1"/>
  <c r="L169" i="6" s="1"/>
  <c r="L168" i="6"/>
  <c r="H105" i="30"/>
  <c r="H99" i="30"/>
  <c r="D117" i="30"/>
  <c r="O14" i="27"/>
  <c r="AB14" i="27"/>
  <c r="P9" i="29"/>
  <c r="O11" i="29"/>
  <c r="O15" i="29"/>
  <c r="P15" i="29" s="1"/>
  <c r="O3" i="32"/>
  <c r="O10" i="27"/>
  <c r="O86" i="27"/>
  <c r="O85" i="27"/>
  <c r="F48" i="31"/>
  <c r="G63" i="31" s="1"/>
  <c r="G56" i="31" s="1"/>
  <c r="F69" i="33"/>
  <c r="F50" i="31"/>
  <c r="G65" i="31" s="1"/>
  <c r="G58" i="31" s="1"/>
  <c r="F71" i="33"/>
  <c r="F49" i="31"/>
  <c r="G64" i="31" s="1"/>
  <c r="G57" i="31" s="1"/>
  <c r="F70" i="33"/>
  <c r="I26" i="29"/>
  <c r="I24" i="29"/>
  <c r="I25" i="27"/>
  <c r="I87" i="27" s="1"/>
  <c r="BS87" i="27" s="1"/>
  <c r="I50" i="29"/>
  <c r="L48" i="20"/>
  <c r="U48" i="20" s="1"/>
  <c r="U49" i="20"/>
  <c r="K146" i="6"/>
  <c r="K164" i="6"/>
  <c r="F110" i="31"/>
  <c r="CC94" i="28"/>
  <c r="P110" i="34" s="1"/>
  <c r="P109" i="34" s="1"/>
  <c r="V12" i="10"/>
  <c r="N13" i="10"/>
  <c r="V20" i="10"/>
  <c r="F48" i="30"/>
  <c r="F60" i="33"/>
  <c r="F49" i="30"/>
  <c r="F61" i="33"/>
  <c r="BD18" i="28"/>
  <c r="BD50" i="28" s="1"/>
  <c r="BD52" i="28"/>
  <c r="BD109" i="28" s="1"/>
  <c r="BE13" i="28"/>
  <c r="BE15" i="28" s="1"/>
  <c r="BE17" i="28" s="1"/>
  <c r="BD16" i="28"/>
  <c r="BP41" i="28"/>
  <c r="BP98" i="28" s="1"/>
  <c r="BD98" i="28"/>
  <c r="CB98" i="28" s="1"/>
  <c r="O115" i="34" s="1"/>
  <c r="BP38" i="28"/>
  <c r="BP95" i="28" s="1"/>
  <c r="BD37" i="28"/>
  <c r="BD95" i="28"/>
  <c r="CB95" i="28" s="1"/>
  <c r="AQ18" i="28"/>
  <c r="AQ50" i="28" s="1"/>
  <c r="AQ52" i="28"/>
  <c r="AQ109" i="28" s="1"/>
  <c r="AR13" i="28"/>
  <c r="AR15" i="28" s="1"/>
  <c r="AR17" i="28" s="1"/>
  <c r="AQ16" i="28"/>
  <c r="BC38" i="28"/>
  <c r="BC95" i="28" s="1"/>
  <c r="AQ37" i="28"/>
  <c r="AQ95" i="28"/>
  <c r="BZ95" i="28" s="1"/>
  <c r="AQ98" i="28"/>
  <c r="BZ98" i="28" s="1"/>
  <c r="M115" i="34" s="1"/>
  <c r="BC41" i="28"/>
  <c r="BC98" i="28" s="1"/>
  <c r="N130" i="10"/>
  <c r="N124" i="10" s="1"/>
  <c r="N146" i="10"/>
  <c r="N147" i="10"/>
  <c r="N103" i="10"/>
  <c r="N102" i="10"/>
  <c r="N86" i="10"/>
  <c r="O121" i="10"/>
  <c r="O128" i="10"/>
  <c r="P132" i="10"/>
  <c r="O132" i="10"/>
  <c r="P58" i="6"/>
  <c r="O58" i="6"/>
  <c r="O46" i="6"/>
  <c r="O45" i="6"/>
  <c r="O176" i="6"/>
  <c r="O181" i="6"/>
  <c r="O29" i="6"/>
  <c r="O30" i="6" s="1"/>
  <c r="O36" i="6"/>
  <c r="O178" i="6" s="1"/>
  <c r="O38" i="6"/>
  <c r="O179" i="6" s="1"/>
  <c r="P36" i="6"/>
  <c r="P178" i="6" s="1"/>
  <c r="P38" i="6"/>
  <c r="P179" i="6" s="1"/>
  <c r="P44" i="10"/>
  <c r="O44" i="10"/>
  <c r="O33" i="10"/>
  <c r="O40" i="10"/>
  <c r="O60" i="10" s="1"/>
  <c r="W19" i="9"/>
  <c r="O22" i="9"/>
  <c r="W22" i="9" s="1"/>
  <c r="O77" i="10"/>
  <c r="O84" i="10"/>
  <c r="P88" i="10"/>
  <c r="O88" i="10"/>
  <c r="AD46" i="28"/>
  <c r="AD107" i="28"/>
  <c r="AE53" i="28"/>
  <c r="AE110" i="28" s="1"/>
  <c r="AE51" i="28"/>
  <c r="AE108" i="28" s="1"/>
  <c r="AE15" i="28"/>
  <c r="U115" i="34"/>
  <c r="K114" i="34"/>
  <c r="U114" i="34" s="1"/>
  <c r="AD94" i="28"/>
  <c r="BX94" i="28" s="1"/>
  <c r="K110" i="34" s="1"/>
  <c r="AP37" i="28"/>
  <c r="AP94" i="28" s="1"/>
  <c r="M105" i="10"/>
  <c r="M18" i="10"/>
  <c r="M152" i="10"/>
  <c r="Q103" i="28"/>
  <c r="Q57" i="28"/>
  <c r="Q114" i="28" s="1"/>
  <c r="R17" i="28"/>
  <c r="R18" i="28"/>
  <c r="R50" i="28" s="1"/>
  <c r="R52" i="28"/>
  <c r="R109" i="28" s="1"/>
  <c r="S13" i="28"/>
  <c r="S15" i="28" s="1"/>
  <c r="S17" i="28" s="1"/>
  <c r="R16" i="28"/>
  <c r="T110" i="34"/>
  <c r="I109" i="34"/>
  <c r="T109" i="34" s="1"/>
  <c r="K102" i="10"/>
  <c r="K103" i="10"/>
  <c r="K86" i="10"/>
  <c r="L103" i="10"/>
  <c r="L86" i="10"/>
  <c r="L102" i="10"/>
  <c r="L147" i="10"/>
  <c r="L130" i="10"/>
  <c r="L146" i="10"/>
  <c r="K147" i="10"/>
  <c r="K146" i="10"/>
  <c r="K130" i="10"/>
  <c r="K124" i="10" s="1"/>
  <c r="I20" i="30"/>
  <c r="I36" i="30" s="1"/>
  <c r="I99" i="30" s="1"/>
  <c r="I22" i="30"/>
  <c r="I19" i="27"/>
  <c r="J17" i="30"/>
  <c r="J18" i="30" s="1"/>
  <c r="H18" i="27"/>
  <c r="H30" i="30"/>
  <c r="H29" i="30"/>
  <c r="H27" i="27"/>
  <c r="I105" i="30"/>
  <c r="H43" i="27"/>
  <c r="G26" i="27"/>
  <c r="G73" i="27"/>
  <c r="G32" i="30"/>
  <c r="G31" i="30"/>
  <c r="G33" i="30"/>
  <c r="G34" i="30"/>
  <c r="F64" i="27"/>
  <c r="BR64" i="27" s="1"/>
  <c r="E61" i="34" s="1"/>
  <c r="E98" i="30"/>
  <c r="E97" i="30" s="1"/>
  <c r="F60" i="30"/>
  <c r="F53" i="30" s="1"/>
  <c r="E46" i="30"/>
  <c r="E51" i="30" s="1"/>
  <c r="F62" i="30"/>
  <c r="F55" i="30" s="1"/>
  <c r="E58" i="33"/>
  <c r="E63" i="33"/>
  <c r="E109" i="30"/>
  <c r="E107" i="30" s="1"/>
  <c r="E113" i="30"/>
  <c r="E52" i="30"/>
  <c r="F65" i="30"/>
  <c r="F58" i="30" s="1"/>
  <c r="I20" i="31"/>
  <c r="I36" i="31" s="1"/>
  <c r="I105" i="31" s="1"/>
  <c r="I22" i="31"/>
  <c r="I20" i="27"/>
  <c r="J17" i="31"/>
  <c r="J18" i="31" s="1"/>
  <c r="I99" i="31"/>
  <c r="H44" i="27"/>
  <c r="H29" i="31"/>
  <c r="H30" i="31"/>
  <c r="H28" i="27"/>
  <c r="G31" i="31"/>
  <c r="G32" i="31"/>
  <c r="G33" i="31"/>
  <c r="G34" i="31"/>
  <c r="G81" i="27"/>
  <c r="E98" i="31"/>
  <c r="E97" i="31" s="1"/>
  <c r="E104" i="31" s="1"/>
  <c r="F60" i="31"/>
  <c r="F53" i="31" s="1"/>
  <c r="K34" i="28"/>
  <c r="K84" i="28"/>
  <c r="L27" i="28"/>
  <c r="L85" i="28"/>
  <c r="BT85" i="28" s="1"/>
  <c r="G92" i="34" s="1"/>
  <c r="G91" i="34" s="1"/>
  <c r="L103" i="28"/>
  <c r="BT103" i="28" s="1"/>
  <c r="L57" i="28"/>
  <c r="L114" i="28" s="1"/>
  <c r="BT114" i="28" s="1"/>
  <c r="M17" i="28"/>
  <c r="M18" i="28"/>
  <c r="M50" i="28" s="1"/>
  <c r="M52" i="28"/>
  <c r="N13" i="28"/>
  <c r="N15" i="28" s="1"/>
  <c r="N17" i="28" s="1"/>
  <c r="M16" i="28"/>
  <c r="J36" i="28"/>
  <c r="J91" i="28"/>
  <c r="I107" i="10"/>
  <c r="I109" i="10"/>
  <c r="I110" i="10" s="1"/>
  <c r="J108" i="10"/>
  <c r="J106" i="10"/>
  <c r="E39" i="27"/>
  <c r="L13" i="10"/>
  <c r="U12" i="10"/>
  <c r="E40" i="27"/>
  <c r="E68" i="33"/>
  <c r="E54" i="31"/>
  <c r="E47" i="31"/>
  <c r="CB93" i="27"/>
  <c r="CB92" i="27"/>
  <c r="BZ93" i="27"/>
  <c r="BZ92" i="27"/>
  <c r="M16" i="10"/>
  <c r="K12" i="10"/>
  <c r="K13" i="10" s="1"/>
  <c r="K62" i="25" s="1"/>
  <c r="K26" i="25" s="1"/>
  <c r="K20" i="10"/>
  <c r="G41" i="27"/>
  <c r="G89" i="27" s="1"/>
  <c r="F110" i="30"/>
  <c r="CC95" i="28"/>
  <c r="CA94" i="28"/>
  <c r="N110" i="34" s="1"/>
  <c r="N109" i="34" s="1"/>
  <c r="CA95" i="28"/>
  <c r="M80" i="10"/>
  <c r="M14" i="10"/>
  <c r="M15" i="10" s="1"/>
  <c r="M50" i="20" s="1"/>
  <c r="J20" i="29"/>
  <c r="J17" i="27"/>
  <c r="K16" i="27" s="1"/>
  <c r="K17" i="29"/>
  <c r="K18" i="29" s="1"/>
  <c r="J22" i="29"/>
  <c r="AX78" i="31"/>
  <c r="AW77" i="31"/>
  <c r="Z78" i="31"/>
  <c r="Y77" i="31"/>
  <c r="R15" i="27"/>
  <c r="R11" i="32"/>
  <c r="S16" i="29"/>
  <c r="AO7" i="27"/>
  <c r="AO8" i="27" s="1"/>
  <c r="AO9" i="29"/>
  <c r="AN86" i="27"/>
  <c r="AN85" i="27"/>
  <c r="AN14" i="27"/>
  <c r="H22" i="10"/>
  <c r="G110" i="10"/>
  <c r="H110" i="10" s="1"/>
  <c r="H111" i="10" s="1"/>
  <c r="G22" i="10"/>
  <c r="BN64" i="28"/>
  <c r="BM54" i="28"/>
  <c r="AZ54" i="28"/>
  <c r="BA64" i="28"/>
  <c r="BM43" i="32"/>
  <c r="BN42" i="32"/>
  <c r="BA43" i="32"/>
  <c r="BB42" i="32"/>
  <c r="BB43" i="32" s="1"/>
  <c r="BM46" i="32"/>
  <c r="BN45" i="32"/>
  <c r="BA46" i="32"/>
  <c r="BB45" i="32"/>
  <c r="BB46" i="32" s="1"/>
  <c r="BM37" i="32"/>
  <c r="BM36" i="32" s="1"/>
  <c r="BN47" i="32"/>
  <c r="BA37" i="32"/>
  <c r="BA36" i="32" s="1"/>
  <c r="BB47" i="32"/>
  <c r="BB37" i="32" s="1"/>
  <c r="BB36" i="32" s="1"/>
  <c r="BN9" i="31"/>
  <c r="BN11" i="31" s="1"/>
  <c r="BO8" i="31"/>
  <c r="BO9" i="31" s="1"/>
  <c r="BO15" i="31" s="1"/>
  <c r="BN9" i="30"/>
  <c r="BO8" i="30"/>
  <c r="BO9" i="30" s="1"/>
  <c r="BO15" i="30" s="1"/>
  <c r="AN3" i="32"/>
  <c r="AN10" i="32" s="1"/>
  <c r="AN15" i="29"/>
  <c r="BM15" i="30"/>
  <c r="BK25" i="30"/>
  <c r="BK41" i="30" s="1"/>
  <c r="BK25" i="31"/>
  <c r="BK41" i="31" s="1"/>
  <c r="BK79" i="31" s="1"/>
  <c r="BK77" i="31" s="1"/>
  <c r="BC24" i="35"/>
  <c r="BA4" i="35"/>
  <c r="BC4" i="35" s="1"/>
  <c r="BP4" i="35"/>
  <c r="S46" i="34"/>
  <c r="H24" i="34"/>
  <c r="BU5" i="35"/>
  <c r="BL105" i="27"/>
  <c r="N55" i="24"/>
  <c r="N58" i="24"/>
  <c r="M60" i="24"/>
  <c r="M82" i="20" s="1"/>
  <c r="M83" i="20"/>
  <c r="P33" i="34"/>
  <c r="W33" i="34" s="1"/>
  <c r="P44" i="24"/>
  <c r="O58" i="24"/>
  <c r="O55" i="24"/>
  <c r="O59" i="24" s="1"/>
  <c r="O83" i="20" s="1"/>
  <c r="AA25" i="30"/>
  <c r="AA41" i="30" s="1"/>
  <c r="AA79" i="30" s="1"/>
  <c r="AA77" i="30" s="1"/>
  <c r="AA25" i="31"/>
  <c r="AA41" i="31" s="1"/>
  <c r="AA79" i="31" s="1"/>
  <c r="AB27" i="31"/>
  <c r="AB43" i="31" s="1"/>
  <c r="AB105" i="27"/>
  <c r="AB27" i="30"/>
  <c r="AB43" i="30" s="1"/>
  <c r="O77" i="31"/>
  <c r="O77" i="30"/>
  <c r="BK79" i="30"/>
  <c r="BK77" i="30" s="1"/>
  <c r="AM92" i="27"/>
  <c r="AM12" i="27"/>
  <c r="AM93" i="27" s="1"/>
  <c r="AB9" i="27"/>
  <c r="AB10" i="27" s="1"/>
  <c r="AB5" i="32"/>
  <c r="AN11" i="29"/>
  <c r="AN13" i="29" s="1"/>
  <c r="AO10" i="29"/>
  <c r="AN5" i="32"/>
  <c r="AN9" i="27"/>
  <c r="AN10" i="27" s="1"/>
  <c r="AZ11" i="29"/>
  <c r="AZ13" i="29" s="1"/>
  <c r="AZ9" i="27"/>
  <c r="AZ10" i="27" s="1"/>
  <c r="BA10" i="29"/>
  <c r="AZ5" i="32"/>
  <c r="AY12" i="27"/>
  <c r="AY93" i="27" s="1"/>
  <c r="AY92" i="27"/>
  <c r="BK12" i="27"/>
  <c r="BK93" i="27" s="1"/>
  <c r="BL9" i="27"/>
  <c r="BL5" i="32"/>
  <c r="BM10" i="29"/>
  <c r="AZ7" i="32"/>
  <c r="AZ11" i="27"/>
  <c r="BA12" i="29"/>
  <c r="BM12" i="29"/>
  <c r="BL11" i="27"/>
  <c r="BL7" i="32"/>
  <c r="AO12" i="29"/>
  <c r="AN11" i="27"/>
  <c r="AN7" i="32"/>
  <c r="AB11" i="27"/>
  <c r="AB7" i="32"/>
  <c r="BM24" i="31"/>
  <c r="BM40" i="31" s="1"/>
  <c r="BM24" i="30"/>
  <c r="BM40" i="30" s="1"/>
  <c r="BN104" i="27"/>
  <c r="BN23" i="30"/>
  <c r="BN39" i="30" s="1"/>
  <c r="BN23" i="31"/>
  <c r="BN39" i="31" s="1"/>
  <c r="BO103" i="27"/>
  <c r="BB26" i="31"/>
  <c r="BB42" i="31" s="1"/>
  <c r="BB26" i="30"/>
  <c r="BB42" i="30" s="1"/>
  <c r="BM26" i="30"/>
  <c r="BM42" i="30" s="1"/>
  <c r="BM26" i="31"/>
  <c r="BM42" i="31" s="1"/>
  <c r="BN106" i="27"/>
  <c r="AM25" i="30"/>
  <c r="AM41" i="30" s="1"/>
  <c r="AM79" i="30" s="1"/>
  <c r="AM77" i="30" s="1"/>
  <c r="AM25" i="31"/>
  <c r="AM41" i="31" s="1"/>
  <c r="AM79" i="31" s="1"/>
  <c r="AM77" i="31" s="1"/>
  <c r="AN105" i="27"/>
  <c r="AN27" i="31"/>
  <c r="AN43" i="31" s="1"/>
  <c r="AN27" i="30"/>
  <c r="AN43" i="30" s="1"/>
  <c r="AO107" i="27"/>
  <c r="AY25" i="31"/>
  <c r="AY41" i="31" s="1"/>
  <c r="AY79" i="31" s="1"/>
  <c r="AY25" i="30"/>
  <c r="AY41" i="30" s="1"/>
  <c r="AY79" i="30" s="1"/>
  <c r="AY77" i="30" s="1"/>
  <c r="AZ105" i="27"/>
  <c r="AZ27" i="30"/>
  <c r="AZ43" i="30" s="1"/>
  <c r="AZ27" i="31"/>
  <c r="AZ43" i="31" s="1"/>
  <c r="BA107" i="27"/>
  <c r="BL27" i="30"/>
  <c r="BL43" i="30" s="1"/>
  <c r="BL27" i="31"/>
  <c r="BL43" i="31" s="1"/>
  <c r="BM107" i="27"/>
  <c r="AN28" i="30"/>
  <c r="AN44" i="30" s="1"/>
  <c r="AN28" i="31"/>
  <c r="AN44" i="31" s="1"/>
  <c r="AO108" i="27"/>
  <c r="AZ28" i="30"/>
  <c r="AZ44" i="30" s="1"/>
  <c r="AZ28" i="31"/>
  <c r="AZ44" i="31" s="1"/>
  <c r="BA108" i="27"/>
  <c r="BL28" i="31"/>
  <c r="BL44" i="31" s="1"/>
  <c r="BL28" i="30"/>
  <c r="BL44" i="30" s="1"/>
  <c r="BM108" i="27"/>
  <c r="AO24" i="31"/>
  <c r="AO40" i="31" s="1"/>
  <c r="AO24" i="30"/>
  <c r="AO40" i="30" s="1"/>
  <c r="BO10" i="31"/>
  <c r="BO10" i="30"/>
  <c r="S26" i="25"/>
  <c r="C86" i="36" s="1"/>
  <c r="G12" i="34"/>
  <c r="I14" i="34"/>
  <c r="I40" i="34"/>
  <c r="I12" i="34" s="1"/>
  <c r="H40" i="34"/>
  <c r="H12" i="34" s="1"/>
  <c r="S12" i="34" s="1"/>
  <c r="C28" i="36" s="1"/>
  <c r="S41" i="34"/>
  <c r="E57" i="29"/>
  <c r="M52" i="34"/>
  <c r="T18" i="10"/>
  <c r="J19" i="10"/>
  <c r="M26" i="25"/>
  <c r="W12" i="10"/>
  <c r="P13" i="10"/>
  <c r="W13" i="10" s="1"/>
  <c r="BM81" i="30"/>
  <c r="BA81" i="30"/>
  <c r="M148" i="6"/>
  <c r="M169" i="6" s="1"/>
  <c r="M166" i="6" s="1"/>
  <c r="K142" i="6"/>
  <c r="K143" i="6" s="1"/>
  <c r="M163" i="6"/>
  <c r="M145" i="6"/>
  <c r="I151" i="10"/>
  <c r="I153" i="10"/>
  <c r="M170" i="6"/>
  <c r="J151" i="10"/>
  <c r="J153" i="10"/>
  <c r="AN78" i="31"/>
  <c r="BM78" i="31"/>
  <c r="BM78" i="30"/>
  <c r="AZ78" i="30"/>
  <c r="AN78" i="30"/>
  <c r="AB78" i="30"/>
  <c r="D68" i="32"/>
  <c r="G31" i="32"/>
  <c r="G74" i="32" s="1"/>
  <c r="G32" i="32"/>
  <c r="G75" i="32"/>
  <c r="G71" i="32"/>
  <c r="G69" i="32" s="1"/>
  <c r="G29" i="32"/>
  <c r="G28" i="32"/>
  <c r="G27" i="32"/>
  <c r="G24" i="32"/>
  <c r="G25" i="32"/>
  <c r="H30" i="32"/>
  <c r="H26" i="32"/>
  <c r="H33" i="32"/>
  <c r="H23" i="32"/>
  <c r="H19" i="32"/>
  <c r="H20" i="32" s="1"/>
  <c r="I22" i="32"/>
  <c r="I18" i="32"/>
  <c r="K12" i="32"/>
  <c r="J15" i="32"/>
  <c r="K13" i="32"/>
  <c r="F34" i="32"/>
  <c r="F62" i="32"/>
  <c r="G66" i="32"/>
  <c r="G68" i="32" s="1"/>
  <c r="G52" i="27"/>
  <c r="G44" i="29"/>
  <c r="G83" i="29" s="1"/>
  <c r="F69" i="32"/>
  <c r="F73" i="32"/>
  <c r="M151" i="6"/>
  <c r="T14" i="10"/>
  <c r="S15" i="10"/>
  <c r="H50" i="20"/>
  <c r="S50" i="20" s="1"/>
  <c r="H177" i="6"/>
  <c r="H183" i="6" s="1"/>
  <c r="H185" i="6" s="1"/>
  <c r="J62" i="10"/>
  <c r="J64" i="10"/>
  <c r="J65" i="10" s="1"/>
  <c r="I50" i="20"/>
  <c r="W49" i="20"/>
  <c r="P48" i="20"/>
  <c r="I177" i="6"/>
  <c r="I183" i="6" s="1"/>
  <c r="E184" i="6"/>
  <c r="F184" i="6" s="1"/>
  <c r="J144" i="6"/>
  <c r="J162" i="6"/>
  <c r="M143" i="6"/>
  <c r="J143" i="6"/>
  <c r="O3" i="4"/>
  <c r="O4" i="4" s="1"/>
  <c r="H4" i="4" s="1"/>
  <c r="AP6" i="4"/>
  <c r="AV6" i="4"/>
  <c r="AU6" i="4"/>
  <c r="BA6" i="4"/>
  <c r="AY6" i="4"/>
  <c r="AZ6" i="4"/>
  <c r="AX6" i="4"/>
  <c r="AS6" i="4"/>
  <c r="AT6" i="4"/>
  <c r="AQ6" i="4"/>
  <c r="AW6" i="4"/>
  <c r="AR6" i="4"/>
  <c r="AO3" i="3"/>
  <c r="O3" i="3"/>
  <c r="AD9" i="3"/>
  <c r="AE9" i="3"/>
  <c r="AF9" i="3"/>
  <c r="AG9" i="3"/>
  <c r="AH9" i="3"/>
  <c r="AC9" i="3"/>
  <c r="AL9" i="3"/>
  <c r="AN9" i="3"/>
  <c r="AI9" i="3"/>
  <c r="AK9" i="3"/>
  <c r="AM9" i="3"/>
  <c r="AJ9" i="3"/>
  <c r="AB3" i="3"/>
  <c r="AB3" i="4"/>
  <c r="BB9" i="3"/>
  <c r="BO6" i="4"/>
  <c r="N48" i="20" l="1"/>
  <c r="V48" i="20" s="1"/>
  <c r="V49" i="20"/>
  <c r="BL10" i="27"/>
  <c r="AA10" i="32"/>
  <c r="AA6" i="32"/>
  <c r="AA8" i="32" s="1"/>
  <c r="AY10" i="32"/>
  <c r="AY6" i="32"/>
  <c r="AY8" i="32" s="1"/>
  <c r="AZ85" i="27"/>
  <c r="AZ86" i="27"/>
  <c r="AZ14" i="27"/>
  <c r="BA9" i="29"/>
  <c r="BB8" i="29"/>
  <c r="BA7" i="27"/>
  <c r="BA8" i="27" s="1"/>
  <c r="BL3" i="32"/>
  <c r="BL15" i="29"/>
  <c r="BL11" i="29"/>
  <c r="BL13" i="29" s="1"/>
  <c r="BM7" i="27"/>
  <c r="BM8" i="27" s="1"/>
  <c r="BM9" i="29"/>
  <c r="BN8" i="29"/>
  <c r="BL86" i="27"/>
  <c r="BL14" i="27"/>
  <c r="BL85" i="27"/>
  <c r="N170" i="6"/>
  <c r="K145" i="6"/>
  <c r="K144" i="6" s="1"/>
  <c r="K61" i="10"/>
  <c r="N151" i="6"/>
  <c r="N144" i="6" s="1"/>
  <c r="BK6" i="32"/>
  <c r="BK8" i="32" s="1"/>
  <c r="AZ3" i="32"/>
  <c r="AZ10" i="32" s="1"/>
  <c r="K151" i="6"/>
  <c r="N166" i="6"/>
  <c r="N162" i="6" s="1"/>
  <c r="K149" i="10"/>
  <c r="K148" i="6"/>
  <c r="K169" i="6" s="1"/>
  <c r="K166" i="6" s="1"/>
  <c r="N61" i="10"/>
  <c r="H40" i="14"/>
  <c r="F83" i="29"/>
  <c r="F46" i="29"/>
  <c r="L166" i="6"/>
  <c r="K163" i="6"/>
  <c r="K162" i="6" s="1"/>
  <c r="N16" i="10"/>
  <c r="N17" i="10" s="1"/>
  <c r="N41" i="34" s="1"/>
  <c r="N142" i="6"/>
  <c r="N143" i="6" s="1"/>
  <c r="D49" i="27"/>
  <c r="D78" i="27" s="1"/>
  <c r="D130" i="31"/>
  <c r="D131" i="31" s="1"/>
  <c r="D132" i="31" s="1"/>
  <c r="I21" i="14"/>
  <c r="I19" i="14"/>
  <c r="D96" i="29"/>
  <c r="D47" i="27"/>
  <c r="D70" i="29"/>
  <c r="AA12" i="27"/>
  <c r="AA93" i="27" s="1"/>
  <c r="AA92" i="27"/>
  <c r="E9" i="25"/>
  <c r="E55" i="25"/>
  <c r="H84" i="29"/>
  <c r="H53" i="27"/>
  <c r="G9" i="34"/>
  <c r="G90" i="34"/>
  <c r="G103" i="34" s="1"/>
  <c r="G108" i="34" s="1"/>
  <c r="G121" i="34" s="1"/>
  <c r="G123" i="34" s="1"/>
  <c r="L61" i="10"/>
  <c r="S51" i="34"/>
  <c r="H14" i="34"/>
  <c r="S14" i="34" s="1"/>
  <c r="C30" i="36" s="1"/>
  <c r="L163" i="6"/>
  <c r="L151" i="6"/>
  <c r="L145" i="6"/>
  <c r="L144" i="6" s="1"/>
  <c r="L170" i="6"/>
  <c r="BW85" i="27"/>
  <c r="AC85" i="27"/>
  <c r="AC86" i="27"/>
  <c r="BW86" i="27"/>
  <c r="J51" i="34"/>
  <c r="T52" i="34"/>
  <c r="H77" i="29"/>
  <c r="H37" i="29"/>
  <c r="AC9" i="29"/>
  <c r="AB3" i="32"/>
  <c r="AB15" i="29"/>
  <c r="AC15" i="29" s="1"/>
  <c r="AB11" i="29"/>
  <c r="J41" i="34"/>
  <c r="T41" i="34" s="1"/>
  <c r="T17" i="10"/>
  <c r="L149" i="10"/>
  <c r="BP9" i="30"/>
  <c r="M62" i="10"/>
  <c r="L36" i="10"/>
  <c r="G110" i="31"/>
  <c r="D48" i="27"/>
  <c r="D69" i="27" s="1"/>
  <c r="D130" i="30"/>
  <c r="D131" i="30" s="1"/>
  <c r="D132" i="30" s="1"/>
  <c r="O13" i="29"/>
  <c r="P13" i="29" s="1"/>
  <c r="P11" i="29"/>
  <c r="O10" i="32"/>
  <c r="P10" i="32" s="1"/>
  <c r="P3" i="32"/>
  <c r="O6" i="32"/>
  <c r="O12" i="27"/>
  <c r="O93" i="27" s="1"/>
  <c r="O92" i="27"/>
  <c r="P86" i="27"/>
  <c r="BU86" i="27"/>
  <c r="BU85" i="27"/>
  <c r="P85" i="27"/>
  <c r="G69" i="33"/>
  <c r="G48" i="31"/>
  <c r="H63" i="31" s="1"/>
  <c r="H56" i="31" s="1"/>
  <c r="H48" i="31" s="1"/>
  <c r="G50" i="31"/>
  <c r="G71" i="33"/>
  <c r="G70" i="33"/>
  <c r="G49" i="31"/>
  <c r="H64" i="31" s="1"/>
  <c r="H57" i="31" s="1"/>
  <c r="H49" i="31" s="1"/>
  <c r="I38" i="29"/>
  <c r="I39" i="29"/>
  <c r="I78" i="29" s="1"/>
  <c r="I34" i="27"/>
  <c r="I45" i="29"/>
  <c r="I84" i="29" s="1"/>
  <c r="I42" i="27"/>
  <c r="BS42" i="27" s="1"/>
  <c r="F44" i="25" s="1"/>
  <c r="I27" i="29"/>
  <c r="I38" i="27" s="1"/>
  <c r="I89" i="29"/>
  <c r="I47" i="29"/>
  <c r="I86" i="29" s="1"/>
  <c r="N52" i="34"/>
  <c r="V21" i="10"/>
  <c r="G63" i="30"/>
  <c r="G56" i="30" s="1"/>
  <c r="G64" i="30"/>
  <c r="G57" i="30" s="1"/>
  <c r="BO11" i="31"/>
  <c r="BO11" i="30"/>
  <c r="BO13" i="30" s="1"/>
  <c r="I53" i="27"/>
  <c r="V13" i="10"/>
  <c r="N62" i="25"/>
  <c r="N26" i="25" s="1"/>
  <c r="V26" i="25" s="1"/>
  <c r="F86" i="36" s="1"/>
  <c r="N105" i="10"/>
  <c r="N18" i="10"/>
  <c r="N80" i="10"/>
  <c r="N14" i="10"/>
  <c r="K80" i="10"/>
  <c r="K14" i="10"/>
  <c r="L80" i="10"/>
  <c r="L14" i="10"/>
  <c r="L15" i="10" s="1"/>
  <c r="L50" i="20" s="1"/>
  <c r="U50" i="20" s="1"/>
  <c r="E51" i="27"/>
  <c r="E104" i="30"/>
  <c r="E106" i="30" s="1"/>
  <c r="AP9" i="29"/>
  <c r="AO15" i="29"/>
  <c r="AP15" i="29" s="1"/>
  <c r="AO3" i="32"/>
  <c r="BN15" i="30"/>
  <c r="BP15" i="30" s="1"/>
  <c r="BN11" i="30"/>
  <c r="BE28" i="28"/>
  <c r="BE29" i="28"/>
  <c r="BE86" i="28" s="1"/>
  <c r="BE35" i="28"/>
  <c r="BE92" i="28" s="1"/>
  <c r="BE18" i="28"/>
  <c r="BE50" i="28" s="1"/>
  <c r="BE52" i="28"/>
  <c r="BE109" i="28" s="1"/>
  <c r="BF13" i="28"/>
  <c r="BF15" i="28" s="1"/>
  <c r="BF17" i="28" s="1"/>
  <c r="BE16" i="28"/>
  <c r="BD46" i="28"/>
  <c r="BD107" i="28"/>
  <c r="BE53" i="28"/>
  <c r="BE110" i="28" s="1"/>
  <c r="BE51" i="28"/>
  <c r="BE108" i="28" s="1"/>
  <c r="W115" i="34"/>
  <c r="O114" i="34"/>
  <c r="W114" i="34" s="1"/>
  <c r="BD94" i="28"/>
  <c r="CB94" i="28" s="1"/>
  <c r="O110" i="34" s="1"/>
  <c r="BP37" i="28"/>
  <c r="BP94" i="28" s="1"/>
  <c r="AR28" i="28"/>
  <c r="AR35" i="28"/>
  <c r="AR92" i="28" s="1"/>
  <c r="AR29" i="28"/>
  <c r="AR86" i="28" s="1"/>
  <c r="AR18" i="28"/>
  <c r="AR50" i="28" s="1"/>
  <c r="AR52" i="28"/>
  <c r="AR109" i="28" s="1"/>
  <c r="AS13" i="28"/>
  <c r="AS15" i="28" s="1"/>
  <c r="AS17" i="28" s="1"/>
  <c r="AR16" i="28"/>
  <c r="AQ46" i="28"/>
  <c r="AQ107" i="28"/>
  <c r="AR53" i="28"/>
  <c r="AR110" i="28" s="1"/>
  <c r="AR51" i="28"/>
  <c r="AR108" i="28" s="1"/>
  <c r="AQ94" i="28"/>
  <c r="BZ94" i="28" s="1"/>
  <c r="M110" i="34" s="1"/>
  <c r="BC37" i="28"/>
  <c r="BC94" i="28" s="1"/>
  <c r="V115" i="34"/>
  <c r="M114" i="34"/>
  <c r="V114" i="34" s="1"/>
  <c r="O131" i="10"/>
  <c r="P148" i="10"/>
  <c r="O148" i="10"/>
  <c r="O127" i="10"/>
  <c r="P131" i="10"/>
  <c r="P84" i="6"/>
  <c r="P77" i="6"/>
  <c r="P78" i="6"/>
  <c r="P79" i="6"/>
  <c r="P85" i="6"/>
  <c r="P75" i="6"/>
  <c r="P82" i="6"/>
  <c r="P86" i="6"/>
  <c r="P76" i="6"/>
  <c r="P80" i="6"/>
  <c r="P81" i="6"/>
  <c r="P83" i="6"/>
  <c r="O76" i="6"/>
  <c r="O82" i="6"/>
  <c r="O75" i="6"/>
  <c r="O81" i="6"/>
  <c r="O86" i="6"/>
  <c r="O78" i="6"/>
  <c r="O80" i="6"/>
  <c r="O79" i="6"/>
  <c r="O85" i="6"/>
  <c r="O84" i="6"/>
  <c r="O77" i="6"/>
  <c r="O83" i="6"/>
  <c r="O138" i="6"/>
  <c r="O135" i="6"/>
  <c r="P135" i="6"/>
  <c r="P141" i="6"/>
  <c r="P138" i="6"/>
  <c r="O141" i="6"/>
  <c r="O44" i="6"/>
  <c r="O41" i="6" s="1"/>
  <c r="P137" i="6"/>
  <c r="P134" i="6"/>
  <c r="P133" i="6" s="1"/>
  <c r="P140" i="6"/>
  <c r="P139" i="6" s="1"/>
  <c r="O140" i="6"/>
  <c r="O134" i="6"/>
  <c r="O133" i="6" s="1"/>
  <c r="O137" i="6"/>
  <c r="O136" i="6" s="1"/>
  <c r="O160" i="6"/>
  <c r="O161" i="6"/>
  <c r="O43" i="10"/>
  <c r="P43" i="10"/>
  <c r="O39" i="10"/>
  <c r="P60" i="10"/>
  <c r="O104" i="10"/>
  <c r="O83" i="10"/>
  <c r="P104" i="10"/>
  <c r="P87" i="10"/>
  <c r="O87" i="10"/>
  <c r="AD103" i="28"/>
  <c r="AD57" i="28"/>
  <c r="AD114" i="28" s="1"/>
  <c r="AE17" i="28"/>
  <c r="AE18" i="28"/>
  <c r="AE50" i="28" s="1"/>
  <c r="AE52" i="28"/>
  <c r="AE109" i="28" s="1"/>
  <c r="AF13" i="28"/>
  <c r="AF15" i="28" s="1"/>
  <c r="AF17" i="28" s="1"/>
  <c r="AE16" i="28"/>
  <c r="U110" i="34"/>
  <c r="K109" i="34"/>
  <c r="U109" i="34" s="1"/>
  <c r="M108" i="10"/>
  <c r="M106" i="10"/>
  <c r="M153" i="10"/>
  <c r="M154" i="10" s="1"/>
  <c r="M151" i="10"/>
  <c r="R35" i="28"/>
  <c r="R92" i="28" s="1"/>
  <c r="R29" i="28"/>
  <c r="R86" i="28" s="1"/>
  <c r="R28" i="28"/>
  <c r="S35" i="28"/>
  <c r="S92" i="28" s="1"/>
  <c r="S28" i="28"/>
  <c r="S29" i="28"/>
  <c r="S86" i="28" s="1"/>
  <c r="S18" i="28"/>
  <c r="S50" i="28" s="1"/>
  <c r="S52" i="28"/>
  <c r="S109" i="28" s="1"/>
  <c r="T13" i="28"/>
  <c r="T15" i="28" s="1"/>
  <c r="T17" i="28" s="1"/>
  <c r="S16" i="28"/>
  <c r="R46" i="28"/>
  <c r="R107" i="28"/>
  <c r="S53" i="28"/>
  <c r="S110" i="28" s="1"/>
  <c r="S51" i="28"/>
  <c r="S108" i="28" s="1"/>
  <c r="K18" i="10"/>
  <c r="K105" i="10"/>
  <c r="L18" i="10"/>
  <c r="L19" i="10" s="1"/>
  <c r="L46" i="34" s="1"/>
  <c r="L105" i="10"/>
  <c r="I43" i="27"/>
  <c r="I27" i="27"/>
  <c r="I30" i="30"/>
  <c r="I29" i="30"/>
  <c r="J22" i="30"/>
  <c r="J19" i="27"/>
  <c r="J20" i="30"/>
  <c r="J36" i="30" s="1"/>
  <c r="K17" i="30"/>
  <c r="K18" i="30" s="1"/>
  <c r="I18" i="27"/>
  <c r="H33" i="30"/>
  <c r="H31" i="30"/>
  <c r="H34" i="30"/>
  <c r="H32" i="30"/>
  <c r="H26" i="27"/>
  <c r="H73" i="27"/>
  <c r="G64" i="27"/>
  <c r="F108" i="30"/>
  <c r="F45" i="30"/>
  <c r="F59" i="33"/>
  <c r="F54" i="30"/>
  <c r="F47" i="30"/>
  <c r="E112" i="30"/>
  <c r="E111" i="30" s="1"/>
  <c r="E35" i="27"/>
  <c r="F62" i="33"/>
  <c r="F50" i="30"/>
  <c r="J20" i="31"/>
  <c r="J36" i="31" s="1"/>
  <c r="J22" i="31"/>
  <c r="J20" i="27"/>
  <c r="J24" i="27" s="1"/>
  <c r="K17" i="31"/>
  <c r="K18" i="31" s="1"/>
  <c r="J105" i="31"/>
  <c r="J99" i="31"/>
  <c r="I44" i="27"/>
  <c r="BS44" i="27" s="1"/>
  <c r="F46" i="25" s="1"/>
  <c r="F13" i="25" s="1"/>
  <c r="I29" i="31"/>
  <c r="I30" i="31"/>
  <c r="I28" i="27"/>
  <c r="H31" i="31"/>
  <c r="H32" i="31"/>
  <c r="H33" i="31"/>
  <c r="H34" i="31"/>
  <c r="H81" i="27"/>
  <c r="F108" i="31"/>
  <c r="F45" i="31"/>
  <c r="K36" i="28"/>
  <c r="K91" i="28"/>
  <c r="L84" i="28"/>
  <c r="BT84" i="28" s="1"/>
  <c r="L34" i="28"/>
  <c r="N28" i="28"/>
  <c r="N29" i="28"/>
  <c r="N86" i="28" s="1"/>
  <c r="N35" i="28"/>
  <c r="N92" i="28" s="1"/>
  <c r="M28" i="28"/>
  <c r="M29" i="28"/>
  <c r="M86" i="28" s="1"/>
  <c r="M35" i="28"/>
  <c r="M92" i="28" s="1"/>
  <c r="N18" i="28"/>
  <c r="N50" i="28" s="1"/>
  <c r="N52" i="28"/>
  <c r="N109" i="28" s="1"/>
  <c r="O13" i="28"/>
  <c r="O15" i="28" s="1"/>
  <c r="O17" i="28" s="1"/>
  <c r="P17" i="28" s="1"/>
  <c r="N16" i="28"/>
  <c r="M46" i="28"/>
  <c r="M107" i="28"/>
  <c r="N53" i="28"/>
  <c r="N51" i="28"/>
  <c r="J44" i="28"/>
  <c r="J93" i="28"/>
  <c r="J107" i="10"/>
  <c r="J109" i="10"/>
  <c r="U13" i="10"/>
  <c r="L62" i="25"/>
  <c r="L26" i="25" s="1"/>
  <c r="U26" i="25" s="1"/>
  <c r="E86" i="36" s="1"/>
  <c r="E72" i="33"/>
  <c r="E74" i="33" s="1"/>
  <c r="E67" i="33"/>
  <c r="E52" i="31"/>
  <c r="E109" i="31"/>
  <c r="E107" i="31" s="1"/>
  <c r="E54" i="27" s="1"/>
  <c r="E113" i="31"/>
  <c r="E46" i="31"/>
  <c r="E51" i="31" s="1"/>
  <c r="F62" i="31"/>
  <c r="U20" i="10"/>
  <c r="K21" i="10"/>
  <c r="N149" i="10"/>
  <c r="O182" i="6"/>
  <c r="P182" i="6"/>
  <c r="O11" i="10"/>
  <c r="O49" i="20" s="1"/>
  <c r="O48" i="20" s="1"/>
  <c r="K16" i="10"/>
  <c r="L16" i="10"/>
  <c r="L17" i="10" s="1"/>
  <c r="L41" i="34" s="1"/>
  <c r="H41" i="27"/>
  <c r="H89" i="27" s="1"/>
  <c r="G110" i="30"/>
  <c r="F61" i="30"/>
  <c r="F59" i="30" s="1"/>
  <c r="E37" i="27"/>
  <c r="L124" i="10"/>
  <c r="M150" i="10"/>
  <c r="M109" i="28"/>
  <c r="M17" i="10"/>
  <c r="V16" i="10"/>
  <c r="J26" i="29"/>
  <c r="J24" i="29"/>
  <c r="L17" i="29"/>
  <c r="K17" i="27"/>
  <c r="K22" i="29"/>
  <c r="K20" i="29"/>
  <c r="L18" i="29"/>
  <c r="J25" i="27"/>
  <c r="J50" i="29"/>
  <c r="AX77" i="31"/>
  <c r="AY78" i="31"/>
  <c r="Z77" i="31"/>
  <c r="AA78" i="31"/>
  <c r="S11" i="32"/>
  <c r="S15" i="27"/>
  <c r="T16" i="29"/>
  <c r="AO14" i="27"/>
  <c r="AO86" i="27"/>
  <c r="AO85" i="27"/>
  <c r="AO11" i="29"/>
  <c r="AN6" i="32"/>
  <c r="AN8" i="32" s="1"/>
  <c r="H24" i="10"/>
  <c r="H52" i="20" s="1"/>
  <c r="H23" i="10"/>
  <c r="H51" i="20" s="1"/>
  <c r="G23" i="10"/>
  <c r="G51" i="20" s="1"/>
  <c r="G24" i="10"/>
  <c r="S22" i="10"/>
  <c r="BN54" i="28"/>
  <c r="BN111" i="28" s="1"/>
  <c r="BO64" i="28"/>
  <c r="BO54" i="28" s="1"/>
  <c r="BO111" i="28" s="1"/>
  <c r="BM111" i="28"/>
  <c r="AZ111" i="28"/>
  <c r="BA54" i="28"/>
  <c r="BB64" i="28"/>
  <c r="BB54" i="28" s="1"/>
  <c r="BB111" i="28" s="1"/>
  <c r="BN43" i="32"/>
  <c r="BO42" i="32"/>
  <c r="BO43" i="32" s="1"/>
  <c r="BO45" i="32"/>
  <c r="BO46" i="32" s="1"/>
  <c r="BN46" i="32"/>
  <c r="BN37" i="32"/>
  <c r="BN36" i="32" s="1"/>
  <c r="BO47" i="32"/>
  <c r="BO37" i="32" s="1"/>
  <c r="BO36" i="32" s="1"/>
  <c r="BP9" i="31"/>
  <c r="BN15" i="31"/>
  <c r="BP15" i="31" s="1"/>
  <c r="BM14" i="27"/>
  <c r="BM86" i="27"/>
  <c r="BM85" i="27"/>
  <c r="M144" i="6"/>
  <c r="M162" i="6"/>
  <c r="I65" i="32"/>
  <c r="BS18" i="32"/>
  <c r="F60" i="25" s="1"/>
  <c r="BL25" i="30"/>
  <c r="BL41" i="30" s="1"/>
  <c r="BL25" i="31"/>
  <c r="BL41" i="31" s="1"/>
  <c r="BL79" i="31" s="1"/>
  <c r="BL77" i="31" s="1"/>
  <c r="BW4" i="35"/>
  <c r="BL79" i="30"/>
  <c r="BL77" i="30" s="1"/>
  <c r="BN13" i="31"/>
  <c r="N56" i="24"/>
  <c r="O56" i="24" s="1"/>
  <c r="N59" i="24"/>
  <c r="P48" i="24"/>
  <c r="P49" i="24" s="1"/>
  <c r="P45" i="24"/>
  <c r="AB25" i="30"/>
  <c r="AB41" i="30" s="1"/>
  <c r="AB79" i="30" s="1"/>
  <c r="AB77" i="30" s="1"/>
  <c r="AB25" i="31"/>
  <c r="AB41" i="31" s="1"/>
  <c r="AB79" i="31" s="1"/>
  <c r="BM105" i="27"/>
  <c r="AB92" i="27"/>
  <c r="AB12" i="27"/>
  <c r="AB93" i="27" s="1"/>
  <c r="AN92" i="27"/>
  <c r="AN12" i="27"/>
  <c r="AN93" i="27" s="1"/>
  <c r="E46" i="27"/>
  <c r="E92" i="32"/>
  <c r="AO5" i="32"/>
  <c r="AO9" i="27"/>
  <c r="AO10" i="27" s="1"/>
  <c r="AZ12" i="27"/>
  <c r="AZ93" i="27" s="1"/>
  <c r="AZ92" i="27"/>
  <c r="BB10" i="29"/>
  <c r="BA9" i="27"/>
  <c r="BA5" i="32"/>
  <c r="BM9" i="27"/>
  <c r="BM10" i="27" s="1"/>
  <c r="BM5" i="32"/>
  <c r="BN10" i="29"/>
  <c r="BB12" i="29"/>
  <c r="BA7" i="32"/>
  <c r="BA11" i="27"/>
  <c r="BN12" i="29"/>
  <c r="BM7" i="32"/>
  <c r="BM11" i="27"/>
  <c r="AO11" i="27"/>
  <c r="AO7" i="32"/>
  <c r="BN24" i="30"/>
  <c r="BN40" i="30" s="1"/>
  <c r="BN24" i="31"/>
  <c r="BN40" i="31" s="1"/>
  <c r="BO23" i="30"/>
  <c r="BO39" i="30" s="1"/>
  <c r="BO104" i="27"/>
  <c r="BO23" i="31"/>
  <c r="BO39" i="31" s="1"/>
  <c r="BN26" i="31"/>
  <c r="BN42" i="31" s="1"/>
  <c r="BN26" i="30"/>
  <c r="BN42" i="30" s="1"/>
  <c r="BO106" i="27"/>
  <c r="AN25" i="30"/>
  <c r="AN41" i="30" s="1"/>
  <c r="AN79" i="30" s="1"/>
  <c r="AN77" i="30" s="1"/>
  <c r="AN25" i="31"/>
  <c r="AN41" i="31" s="1"/>
  <c r="AN79" i="31" s="1"/>
  <c r="AN77" i="31" s="1"/>
  <c r="AO105" i="27"/>
  <c r="AO27" i="30"/>
  <c r="AO43" i="30" s="1"/>
  <c r="AO27" i="31"/>
  <c r="AO43" i="31" s="1"/>
  <c r="AZ25" i="31"/>
  <c r="AZ41" i="31" s="1"/>
  <c r="AZ79" i="31" s="1"/>
  <c r="AZ25" i="30"/>
  <c r="AZ41" i="30" s="1"/>
  <c r="AZ79" i="30" s="1"/>
  <c r="AZ77" i="30" s="1"/>
  <c r="BA105" i="27"/>
  <c r="BA27" i="30"/>
  <c r="BA43" i="30" s="1"/>
  <c r="BA27" i="31"/>
  <c r="BA43" i="31" s="1"/>
  <c r="BB107" i="27"/>
  <c r="BM27" i="31"/>
  <c r="BM43" i="31" s="1"/>
  <c r="BM27" i="30"/>
  <c r="BM43" i="30" s="1"/>
  <c r="BN107" i="27"/>
  <c r="AO28" i="30"/>
  <c r="AO44" i="30" s="1"/>
  <c r="AO28" i="31"/>
  <c r="AO44" i="31" s="1"/>
  <c r="BA28" i="30"/>
  <c r="BA44" i="30" s="1"/>
  <c r="BA28" i="31"/>
  <c r="BA44" i="31" s="1"/>
  <c r="BB108" i="27"/>
  <c r="BM28" i="31"/>
  <c r="BM44" i="31" s="1"/>
  <c r="BM28" i="30"/>
  <c r="BM44" i="30" s="1"/>
  <c r="BN108" i="27"/>
  <c r="G73" i="32"/>
  <c r="G79" i="32" s="1"/>
  <c r="E96" i="29"/>
  <c r="E47" i="27"/>
  <c r="E70" i="29"/>
  <c r="E109" i="29" s="1"/>
  <c r="T26" i="25"/>
  <c r="D86" i="36" s="1"/>
  <c r="BY4" i="35"/>
  <c r="S40" i="34"/>
  <c r="M51" i="34"/>
  <c r="T19" i="10"/>
  <c r="J46" i="34"/>
  <c r="M19" i="10"/>
  <c r="P62" i="25"/>
  <c r="BN81" i="30"/>
  <c r="BB81" i="30"/>
  <c r="I154" i="10"/>
  <c r="J154" i="10" s="1"/>
  <c r="J155" i="10" s="1"/>
  <c r="I22" i="10"/>
  <c r="AO78" i="31"/>
  <c r="BN78" i="31"/>
  <c r="BN78" i="30"/>
  <c r="BA78" i="30"/>
  <c r="AO78" i="30"/>
  <c r="E106" i="31"/>
  <c r="D79" i="32"/>
  <c r="H32" i="32"/>
  <c r="H31" i="32"/>
  <c r="H75" i="32"/>
  <c r="H71" i="32"/>
  <c r="H29" i="32"/>
  <c r="H28" i="32"/>
  <c r="H27" i="32"/>
  <c r="H74" i="32"/>
  <c r="H24" i="32"/>
  <c r="H25" i="32"/>
  <c r="H64" i="32"/>
  <c r="I33" i="32"/>
  <c r="I30" i="32"/>
  <c r="I26" i="32"/>
  <c r="I23" i="32"/>
  <c r="I19" i="32"/>
  <c r="J18" i="32"/>
  <c r="J65" i="32" s="1"/>
  <c r="J22" i="32"/>
  <c r="L12" i="32"/>
  <c r="K15" i="32"/>
  <c r="L13" i="32"/>
  <c r="F52" i="27"/>
  <c r="BR52" i="27" s="1"/>
  <c r="E50" i="34" s="1"/>
  <c r="F66" i="32"/>
  <c r="G46" i="29"/>
  <c r="G85" i="29" s="1"/>
  <c r="G34" i="32"/>
  <c r="J50" i="20"/>
  <c r="T50" i="20" s="1"/>
  <c r="T15" i="10"/>
  <c r="J66" i="10"/>
  <c r="J67" i="10" s="1"/>
  <c r="W48" i="20"/>
  <c r="W105" i="20"/>
  <c r="O60" i="24"/>
  <c r="O82" i="20" s="1"/>
  <c r="J177" i="6"/>
  <c r="I184" i="6"/>
  <c r="I185" i="6"/>
  <c r="G184" i="6"/>
  <c r="H184" i="6" s="1"/>
  <c r="H186" i="6" s="1"/>
  <c r="H187" i="6" s="1"/>
  <c r="C4" i="4"/>
  <c r="C3" i="4" s="1"/>
  <c r="C9" i="4" s="1"/>
  <c r="F4" i="4"/>
  <c r="L4" i="4"/>
  <c r="J4" i="4"/>
  <c r="O9" i="4"/>
  <c r="O7" i="4"/>
  <c r="O11" i="4" s="1"/>
  <c r="N4" i="4"/>
  <c r="I4" i="4"/>
  <c r="K4" i="4"/>
  <c r="G4" i="4"/>
  <c r="D4" i="4"/>
  <c r="D3" i="4" s="1"/>
  <c r="M4" i="4"/>
  <c r="E4" i="4"/>
  <c r="AB4" i="4"/>
  <c r="AB7" i="4"/>
  <c r="AB11" i="4" s="1"/>
  <c r="AB9" i="4"/>
  <c r="BN6" i="4"/>
  <c r="BK6" i="4"/>
  <c r="BC6" i="4"/>
  <c r="BG6" i="4"/>
  <c r="BI6" i="4"/>
  <c r="BJ6" i="4"/>
  <c r="BE6" i="4"/>
  <c r="BH6" i="4"/>
  <c r="BD6" i="4"/>
  <c r="BF6" i="4"/>
  <c r="BL6" i="4"/>
  <c r="BM6" i="4"/>
  <c r="V3" i="3"/>
  <c r="V6" i="3" s="1"/>
  <c r="V8" i="3" s="1"/>
  <c r="V10" i="3" s="1"/>
  <c r="Q3" i="3"/>
  <c r="Q6" i="3" s="1"/>
  <c r="Q8" i="3" s="1"/>
  <c r="Q10" i="3" s="1"/>
  <c r="U3" i="3"/>
  <c r="U6" i="3" s="1"/>
  <c r="U8" i="3" s="1"/>
  <c r="U10" i="3" s="1"/>
  <c r="X3" i="3"/>
  <c r="X6" i="3" s="1"/>
  <c r="X8" i="3" s="1"/>
  <c r="X10" i="3" s="1"/>
  <c r="T3" i="3"/>
  <c r="T6" i="3" s="1"/>
  <c r="T8" i="3" s="1"/>
  <c r="T10" i="3" s="1"/>
  <c r="Z3" i="3"/>
  <c r="Z6" i="3" s="1"/>
  <c r="Z8" i="3" s="1"/>
  <c r="Z10" i="3" s="1"/>
  <c r="P3" i="3"/>
  <c r="P6" i="3" s="1"/>
  <c r="W3" i="3"/>
  <c r="W6" i="3" s="1"/>
  <c r="W8" i="3" s="1"/>
  <c r="W10" i="3" s="1"/>
  <c r="AA3" i="3"/>
  <c r="AA6" i="3" s="1"/>
  <c r="AA8" i="3" s="1"/>
  <c r="AA10" i="3" s="1"/>
  <c r="S3" i="3"/>
  <c r="S6" i="3" s="1"/>
  <c r="S8" i="3" s="1"/>
  <c r="S10" i="3" s="1"/>
  <c r="Y3" i="3"/>
  <c r="Y6" i="3" s="1"/>
  <c r="Y8" i="3" s="1"/>
  <c r="Y10" i="3" s="1"/>
  <c r="R3" i="3"/>
  <c r="R6" i="3" s="1"/>
  <c r="R8" i="3" s="1"/>
  <c r="R10" i="3" s="1"/>
  <c r="M3" i="3"/>
  <c r="M6" i="3" s="1"/>
  <c r="M8" i="3" s="1"/>
  <c r="M10" i="3" s="1"/>
  <c r="H3" i="3"/>
  <c r="H6" i="3" s="1"/>
  <c r="H8" i="3" s="1"/>
  <c r="H10" i="3" s="1"/>
  <c r="K3" i="3"/>
  <c r="K6" i="3" s="1"/>
  <c r="K8" i="3" s="1"/>
  <c r="K10" i="3" s="1"/>
  <c r="J3" i="3"/>
  <c r="J6" i="3" s="1"/>
  <c r="J8" i="3" s="1"/>
  <c r="J10" i="3" s="1"/>
  <c r="F3" i="3"/>
  <c r="F6" i="3" s="1"/>
  <c r="F8" i="3" s="1"/>
  <c r="F10" i="3" s="1"/>
  <c r="G3" i="3"/>
  <c r="G6" i="3" s="1"/>
  <c r="G8" i="3" s="1"/>
  <c r="G10" i="3" s="1"/>
  <c r="C3" i="3"/>
  <c r="C6" i="3" s="1"/>
  <c r="E3" i="3"/>
  <c r="E6" i="3" s="1"/>
  <c r="E8" i="3" s="1"/>
  <c r="E10" i="3" s="1"/>
  <c r="L3" i="3"/>
  <c r="L6" i="3" s="1"/>
  <c r="L8" i="3" s="1"/>
  <c r="L10" i="3" s="1"/>
  <c r="I3" i="3"/>
  <c r="I6" i="3" s="1"/>
  <c r="I8" i="3" s="1"/>
  <c r="I10" i="3" s="1"/>
  <c r="D3" i="3"/>
  <c r="D6" i="3" s="1"/>
  <c r="D8" i="3" s="1"/>
  <c r="D10" i="3" s="1"/>
  <c r="N3" i="3"/>
  <c r="N6" i="3" s="1"/>
  <c r="N8" i="3" s="1"/>
  <c r="N10" i="3" s="1"/>
  <c r="AY9" i="3"/>
  <c r="AR9" i="3"/>
  <c r="AT9" i="3"/>
  <c r="AU9" i="3"/>
  <c r="AX9" i="3"/>
  <c r="AW9" i="3"/>
  <c r="AP9" i="3"/>
  <c r="AS9" i="3"/>
  <c r="AZ9" i="3"/>
  <c r="AV9" i="3"/>
  <c r="AQ9" i="3"/>
  <c r="BA9" i="3"/>
  <c r="AD3" i="3"/>
  <c r="AD6" i="3" s="1"/>
  <c r="AD8" i="3" s="1"/>
  <c r="AD10" i="3" s="1"/>
  <c r="AI3" i="3"/>
  <c r="AI6" i="3" s="1"/>
  <c r="AI8" i="3" s="1"/>
  <c r="AI10" i="3" s="1"/>
  <c r="AM3" i="3"/>
  <c r="AM6" i="3" s="1"/>
  <c r="AM8" i="3" s="1"/>
  <c r="AM10" i="3" s="1"/>
  <c r="AN3" i="3"/>
  <c r="AN6" i="3" s="1"/>
  <c r="AN8" i="3" s="1"/>
  <c r="AN10" i="3" s="1"/>
  <c r="AJ3" i="3"/>
  <c r="AJ6" i="3" s="1"/>
  <c r="AJ8" i="3" s="1"/>
  <c r="AJ10" i="3" s="1"/>
  <c r="AG3" i="3"/>
  <c r="AG6" i="3" s="1"/>
  <c r="AG8" i="3" s="1"/>
  <c r="AG10" i="3" s="1"/>
  <c r="AL3" i="3"/>
  <c r="AL6" i="3" s="1"/>
  <c r="AL8" i="3" s="1"/>
  <c r="AL10" i="3" s="1"/>
  <c r="AF3" i="3"/>
  <c r="AF6" i="3" s="1"/>
  <c r="AF8" i="3" s="1"/>
  <c r="AF10" i="3" s="1"/>
  <c r="AH3" i="3"/>
  <c r="AH6" i="3" s="1"/>
  <c r="AH8" i="3" s="1"/>
  <c r="AH10" i="3" s="1"/>
  <c r="AE3" i="3"/>
  <c r="AE6" i="3" s="1"/>
  <c r="AE8" i="3" s="1"/>
  <c r="AE10" i="3" s="1"/>
  <c r="AC3" i="3"/>
  <c r="AC6" i="3" s="1"/>
  <c r="AK3" i="3"/>
  <c r="AK6" i="3" s="1"/>
  <c r="AK8" i="3" s="1"/>
  <c r="AK10" i="3" s="1"/>
  <c r="BO9" i="3"/>
  <c r="BS53" i="27" l="1"/>
  <c r="F57" i="34" s="1"/>
  <c r="BA10" i="27"/>
  <c r="BL92" i="27"/>
  <c r="BL12" i="27"/>
  <c r="BL93" i="27" s="1"/>
  <c r="BA11" i="29"/>
  <c r="BA13" i="29" s="1"/>
  <c r="BA3" i="32"/>
  <c r="BA15" i="29"/>
  <c r="BB9" i="29"/>
  <c r="BB11" i="29" s="1"/>
  <c r="BB7" i="27"/>
  <c r="BB8" i="27" s="1"/>
  <c r="BA85" i="27"/>
  <c r="BA86" i="27"/>
  <c r="BA14" i="27"/>
  <c r="BL10" i="32"/>
  <c r="BL6" i="32"/>
  <c r="BL8" i="32" s="1"/>
  <c r="BM15" i="29"/>
  <c r="BM3" i="32"/>
  <c r="BM11" i="29"/>
  <c r="BM13" i="29" s="1"/>
  <c r="BN7" i="27"/>
  <c r="BN8" i="27" s="1"/>
  <c r="BO8" i="29"/>
  <c r="BN9" i="29"/>
  <c r="BN11" i="29" s="1"/>
  <c r="BN13" i="29" s="1"/>
  <c r="K64" i="10"/>
  <c r="K65" i="10" s="1"/>
  <c r="K66" i="10" s="1"/>
  <c r="K62" i="10"/>
  <c r="K150" i="10"/>
  <c r="K152" i="10"/>
  <c r="N64" i="10"/>
  <c r="N65" i="10" s="1"/>
  <c r="N66" i="10" s="1"/>
  <c r="N67" i="10" s="1"/>
  <c r="N62" i="10"/>
  <c r="H41" i="14"/>
  <c r="H44" i="14"/>
  <c r="H47" i="14" s="1"/>
  <c r="I23" i="14"/>
  <c r="I24" i="14" s="1"/>
  <c r="I35" i="14"/>
  <c r="I50" i="14"/>
  <c r="I52" i="14" s="1"/>
  <c r="BP54" i="28"/>
  <c r="BP111" i="28" s="1"/>
  <c r="AZ6" i="32"/>
  <c r="AZ8" i="32" s="1"/>
  <c r="N177" i="6"/>
  <c r="N183" i="6" s="1"/>
  <c r="O139" i="6"/>
  <c r="O142" i="6" s="1"/>
  <c r="O143" i="6" s="1"/>
  <c r="L162" i="6"/>
  <c r="L177" i="6" s="1"/>
  <c r="L183" i="6" s="1"/>
  <c r="L185" i="6" s="1"/>
  <c r="F57" i="29"/>
  <c r="F85" i="29"/>
  <c r="P20" i="10"/>
  <c r="P21" i="10" s="1"/>
  <c r="P52" i="34" s="1"/>
  <c r="P51" i="34" s="1"/>
  <c r="P14" i="34" s="1"/>
  <c r="D109" i="29"/>
  <c r="D71" i="29"/>
  <c r="L62" i="10"/>
  <c r="L64" i="10"/>
  <c r="L65" i="10" s="1"/>
  <c r="G61" i="33"/>
  <c r="G49" i="30"/>
  <c r="H64" i="30" s="1"/>
  <c r="H57" i="30" s="1"/>
  <c r="P136" i="6"/>
  <c r="J14" i="34"/>
  <c r="T14" i="34" s="1"/>
  <c r="D30" i="36" s="1"/>
  <c r="T51" i="34"/>
  <c r="H76" i="29"/>
  <c r="H44" i="29"/>
  <c r="AC3" i="32"/>
  <c r="AB10" i="32"/>
  <c r="AC10" i="32" s="1"/>
  <c r="AB6" i="32"/>
  <c r="AB13" i="29"/>
  <c r="AC13" i="29" s="1"/>
  <c r="AC11" i="29"/>
  <c r="L150" i="10"/>
  <c r="L152" i="10"/>
  <c r="N51" i="34"/>
  <c r="V52" i="34"/>
  <c r="G60" i="33"/>
  <c r="G48" i="30"/>
  <c r="H63" i="30" s="1"/>
  <c r="H56" i="30" s="1"/>
  <c r="P142" i="6"/>
  <c r="P143" i="6" s="1"/>
  <c r="M177" i="6"/>
  <c r="M183" i="6" s="1"/>
  <c r="K177" i="6"/>
  <c r="K183" i="6" s="1"/>
  <c r="P9" i="32"/>
  <c r="O8" i="32"/>
  <c r="P8" i="32" s="1"/>
  <c r="P6" i="32"/>
  <c r="P5" i="32" s="1"/>
  <c r="P93" i="27"/>
  <c r="BU93" i="27"/>
  <c r="P92" i="27"/>
  <c r="BU92" i="27"/>
  <c r="H65" i="31"/>
  <c r="H58" i="31" s="1"/>
  <c r="I77" i="29"/>
  <c r="I37" i="29"/>
  <c r="BO13" i="31"/>
  <c r="BP13" i="31" s="1"/>
  <c r="BP11" i="31"/>
  <c r="N19" i="10"/>
  <c r="V18" i="10"/>
  <c r="N15" i="10"/>
  <c r="V14" i="10"/>
  <c r="K15" i="10"/>
  <c r="U14" i="10"/>
  <c r="AP3" i="32"/>
  <c r="AO10" i="32"/>
  <c r="AP10" i="32" s="1"/>
  <c r="BP11" i="30"/>
  <c r="BN13" i="30"/>
  <c r="BP13" i="30" s="1"/>
  <c r="M41" i="34"/>
  <c r="V41" i="34" s="1"/>
  <c r="V17" i="10"/>
  <c r="N106" i="10"/>
  <c r="N108" i="10"/>
  <c r="AO6" i="32"/>
  <c r="BE85" i="28"/>
  <c r="BE27" i="28"/>
  <c r="BF28" i="28"/>
  <c r="BF29" i="28"/>
  <c r="BF86" i="28" s="1"/>
  <c r="BF35" i="28"/>
  <c r="BF92" i="28" s="1"/>
  <c r="BF18" i="28"/>
  <c r="BF50" i="28" s="1"/>
  <c r="BF52" i="28"/>
  <c r="BF109" i="28" s="1"/>
  <c r="BG13" i="28"/>
  <c r="BG15" i="28" s="1"/>
  <c r="BG17" i="28" s="1"/>
  <c r="BF16" i="28"/>
  <c r="BE46" i="28"/>
  <c r="BE107" i="28"/>
  <c r="BF53" i="28"/>
  <c r="BF110" i="28" s="1"/>
  <c r="BF51" i="28"/>
  <c r="BF108" i="28" s="1"/>
  <c r="BD57" i="28"/>
  <c r="BD114" i="28" s="1"/>
  <c r="BD103" i="28"/>
  <c r="W110" i="34"/>
  <c r="O109" i="34"/>
  <c r="W109" i="34" s="1"/>
  <c r="AR27" i="28"/>
  <c r="AR85" i="28"/>
  <c r="AS28" i="28"/>
  <c r="AS29" i="28"/>
  <c r="AS86" i="28" s="1"/>
  <c r="AS35" i="28"/>
  <c r="AS92" i="28" s="1"/>
  <c r="AS18" i="28"/>
  <c r="AS50" i="28" s="1"/>
  <c r="AS52" i="28"/>
  <c r="AS109" i="28" s="1"/>
  <c r="AT13" i="28"/>
  <c r="AS16" i="28"/>
  <c r="AR46" i="28"/>
  <c r="AR107" i="28"/>
  <c r="AS53" i="28"/>
  <c r="AS110" i="28" s="1"/>
  <c r="AS51" i="28"/>
  <c r="AS108" i="28" s="1"/>
  <c r="AQ57" i="28"/>
  <c r="AQ114" i="28" s="1"/>
  <c r="AQ103" i="28"/>
  <c r="V110" i="34"/>
  <c r="M109" i="34"/>
  <c r="V109" i="34" s="1"/>
  <c r="O146" i="10"/>
  <c r="O147" i="10"/>
  <c r="O130" i="10"/>
  <c r="O124" i="10" s="1"/>
  <c r="P146" i="10"/>
  <c r="P130" i="10"/>
  <c r="P124" i="10" s="1"/>
  <c r="P147" i="10"/>
  <c r="P173" i="6"/>
  <c r="P154" i="6"/>
  <c r="P147" i="6"/>
  <c r="P165" i="6"/>
  <c r="P167" i="6"/>
  <c r="P149" i="6"/>
  <c r="P174" i="6"/>
  <c r="P155" i="6"/>
  <c r="P152" i="6"/>
  <c r="P171" i="6"/>
  <c r="P156" i="6"/>
  <c r="P175" i="6"/>
  <c r="P164" i="6"/>
  <c r="P146" i="6"/>
  <c r="P168" i="6"/>
  <c r="P150" i="6"/>
  <c r="P158" i="6"/>
  <c r="P153" i="6"/>
  <c r="P172" i="6"/>
  <c r="O164" i="6"/>
  <c r="O146" i="6"/>
  <c r="O152" i="6"/>
  <c r="O171" i="6"/>
  <c r="O156" i="6"/>
  <c r="O175" i="6"/>
  <c r="O150" i="6"/>
  <c r="O168" i="6"/>
  <c r="O158" i="6"/>
  <c r="O149" i="6"/>
  <c r="O148" i="6" s="1"/>
  <c r="O169" i="6" s="1"/>
  <c r="O167" i="6"/>
  <c r="O155" i="6"/>
  <c r="O174" i="6"/>
  <c r="O154" i="6"/>
  <c r="O173" i="6"/>
  <c r="O147" i="6"/>
  <c r="O165" i="6"/>
  <c r="O153" i="6"/>
  <c r="O172" i="6"/>
  <c r="O59" i="10"/>
  <c r="O42" i="10"/>
  <c r="O58" i="10"/>
  <c r="P58" i="10"/>
  <c r="P59" i="10"/>
  <c r="P42" i="10"/>
  <c r="P86" i="10"/>
  <c r="P80" i="10" s="1"/>
  <c r="P102" i="10"/>
  <c r="P103" i="10"/>
  <c r="O102" i="10"/>
  <c r="O103" i="10"/>
  <c r="O86" i="10"/>
  <c r="O80" i="10" s="1"/>
  <c r="AE35" i="28"/>
  <c r="AE92" i="28" s="1"/>
  <c r="AE29" i="28"/>
  <c r="AE86" i="28" s="1"/>
  <c r="AE28" i="28"/>
  <c r="AF29" i="28"/>
  <c r="AF86" i="28" s="1"/>
  <c r="AF28" i="28"/>
  <c r="AF35" i="28"/>
  <c r="AF92" i="28" s="1"/>
  <c r="AF18" i="28"/>
  <c r="AF50" i="28" s="1"/>
  <c r="AF52" i="28"/>
  <c r="AF109" i="28" s="1"/>
  <c r="AG13" i="28"/>
  <c r="AG15" i="28" s="1"/>
  <c r="AG17" i="28" s="1"/>
  <c r="AF16" i="28"/>
  <c r="AE46" i="28"/>
  <c r="AE107" i="28"/>
  <c r="AF53" i="28"/>
  <c r="AF110" i="28" s="1"/>
  <c r="AF51" i="28"/>
  <c r="AF108" i="28" s="1"/>
  <c r="M109" i="10"/>
  <c r="M107" i="10"/>
  <c r="R85" i="28"/>
  <c r="R27" i="28"/>
  <c r="S85" i="28"/>
  <c r="S27" i="28"/>
  <c r="T28" i="28"/>
  <c r="T29" i="28"/>
  <c r="T86" i="28" s="1"/>
  <c r="T35" i="28"/>
  <c r="T92" i="28" s="1"/>
  <c r="T18" i="28"/>
  <c r="T50" i="28" s="1"/>
  <c r="T52" i="28"/>
  <c r="T109" i="28" s="1"/>
  <c r="U13" i="28"/>
  <c r="U15" i="28" s="1"/>
  <c r="U17" i="28" s="1"/>
  <c r="T16" i="28"/>
  <c r="S46" i="28"/>
  <c r="S107" i="28"/>
  <c r="T53" i="28"/>
  <c r="T110" i="28" s="1"/>
  <c r="T51" i="28"/>
  <c r="T108" i="28" s="1"/>
  <c r="R103" i="28"/>
  <c r="R57" i="28"/>
  <c r="R114" i="28" s="1"/>
  <c r="K106" i="10"/>
  <c r="K108" i="10"/>
  <c r="L108" i="10"/>
  <c r="L106" i="10"/>
  <c r="I26" i="27"/>
  <c r="I73" i="27"/>
  <c r="BS73" i="27" s="1"/>
  <c r="I31" i="30"/>
  <c r="I34" i="30"/>
  <c r="I32" i="30"/>
  <c r="I33" i="30"/>
  <c r="K20" i="30"/>
  <c r="K36" i="30" s="1"/>
  <c r="L17" i="30"/>
  <c r="L18" i="30" s="1"/>
  <c r="K19" i="27"/>
  <c r="K22" i="30"/>
  <c r="J27" i="27"/>
  <c r="J30" i="30"/>
  <c r="J29" i="30"/>
  <c r="J18" i="27"/>
  <c r="J22" i="27" s="1"/>
  <c r="J23" i="27"/>
  <c r="J43" i="27"/>
  <c r="H64" i="27"/>
  <c r="G60" i="30"/>
  <c r="G53" i="30" s="1"/>
  <c r="F98" i="30"/>
  <c r="F97" i="30" s="1"/>
  <c r="F63" i="33"/>
  <c r="F58" i="33"/>
  <c r="F113" i="30"/>
  <c r="F109" i="30"/>
  <c r="F107" i="30" s="1"/>
  <c r="F52" i="30"/>
  <c r="G62" i="30"/>
  <c r="G55" i="30" s="1"/>
  <c r="F46" i="30"/>
  <c r="F51" i="30" s="1"/>
  <c r="G65" i="30"/>
  <c r="G58" i="30" s="1"/>
  <c r="K22" i="31"/>
  <c r="K20" i="27"/>
  <c r="K24" i="27" s="1"/>
  <c r="K20" i="31"/>
  <c r="K36" i="31" s="1"/>
  <c r="L17" i="31"/>
  <c r="L18" i="31" s="1"/>
  <c r="J44" i="27"/>
  <c r="J30" i="31"/>
  <c r="J29" i="31"/>
  <c r="J28" i="27"/>
  <c r="I31" i="31"/>
  <c r="I33" i="31"/>
  <c r="I32" i="31"/>
  <c r="I34" i="31"/>
  <c r="I81" i="27"/>
  <c r="BS81" i="27" s="1"/>
  <c r="G60" i="31"/>
  <c r="G53" i="31" s="1"/>
  <c r="F98" i="31"/>
  <c r="F97" i="31" s="1"/>
  <c r="F104" i="31" s="1"/>
  <c r="F106" i="31" s="1"/>
  <c r="K44" i="28"/>
  <c r="K93" i="28"/>
  <c r="L91" i="28"/>
  <c r="BT91" i="28" s="1"/>
  <c r="L36" i="28"/>
  <c r="N27" i="28"/>
  <c r="N85" i="28"/>
  <c r="M85" i="28"/>
  <c r="M27" i="28"/>
  <c r="O28" i="28"/>
  <c r="O29" i="28"/>
  <c r="O35" i="28"/>
  <c r="P15" i="28"/>
  <c r="O18" i="28"/>
  <c r="O52" i="28"/>
  <c r="O16" i="28"/>
  <c r="N107" i="28"/>
  <c r="N46" i="28"/>
  <c r="O53" i="28"/>
  <c r="O110" i="28" s="1"/>
  <c r="O51" i="28"/>
  <c r="O108" i="28" s="1"/>
  <c r="P13" i="28"/>
  <c r="M57" i="28"/>
  <c r="M114" i="28" s="1"/>
  <c r="M103" i="28"/>
  <c r="P53" i="28"/>
  <c r="P110" i="28" s="1"/>
  <c r="N110" i="28"/>
  <c r="P51" i="28"/>
  <c r="P108" i="28" s="1"/>
  <c r="N108" i="28"/>
  <c r="J58" i="28"/>
  <c r="J101" i="28"/>
  <c r="E36" i="27"/>
  <c r="E33" i="27" s="1"/>
  <c r="E112" i="31"/>
  <c r="E111" i="31" s="1"/>
  <c r="F61" i="31"/>
  <c r="F59" i="31" s="1"/>
  <c r="F55" i="31"/>
  <c r="U21" i="10"/>
  <c r="K52" i="34"/>
  <c r="N152" i="10"/>
  <c r="N150" i="10"/>
  <c r="U16" i="10"/>
  <c r="K17" i="10"/>
  <c r="F39" i="27"/>
  <c r="E88" i="27"/>
  <c r="E90" i="27"/>
  <c r="P74" i="6"/>
  <c r="O74" i="6"/>
  <c r="O159" i="6"/>
  <c r="O20" i="10"/>
  <c r="O12" i="10"/>
  <c r="O13" i="10" s="1"/>
  <c r="O62" i="25" s="1"/>
  <c r="O26" i="25" s="1"/>
  <c r="H110" i="30"/>
  <c r="H110" i="31"/>
  <c r="U18" i="10"/>
  <c r="K19" i="10"/>
  <c r="BS43" i="27"/>
  <c r="F45" i="25" s="1"/>
  <c r="I41" i="27"/>
  <c r="I89" i="27" s="1"/>
  <c r="BS89" i="27" s="1"/>
  <c r="J99" i="30"/>
  <c r="J105" i="30"/>
  <c r="J110" i="10"/>
  <c r="J111" i="10" s="1"/>
  <c r="J22" i="10"/>
  <c r="J39" i="29"/>
  <c r="J78" i="29" s="1"/>
  <c r="J38" i="29"/>
  <c r="J34" i="27"/>
  <c r="J45" i="29"/>
  <c r="J42" i="27"/>
  <c r="J25" i="29"/>
  <c r="J27" i="29"/>
  <c r="J38" i="27" s="1"/>
  <c r="L16" i="27"/>
  <c r="K50" i="29"/>
  <c r="K25" i="27"/>
  <c r="K87" i="27" s="1"/>
  <c r="K24" i="29"/>
  <c r="K26" i="29"/>
  <c r="K34" i="27" s="1"/>
  <c r="L17" i="27"/>
  <c r="M16" i="27" s="1"/>
  <c r="L20" i="29"/>
  <c r="L22" i="29"/>
  <c r="M17" i="29"/>
  <c r="M18" i="29" s="1"/>
  <c r="J87" i="27"/>
  <c r="J47" i="29"/>
  <c r="J86" i="29" s="1"/>
  <c r="J89" i="29"/>
  <c r="AP11" i="29"/>
  <c r="AO13" i="29"/>
  <c r="AP13" i="29" s="1"/>
  <c r="G52" i="20"/>
  <c r="S52" i="20" s="1"/>
  <c r="S24" i="10"/>
  <c r="S23" i="10" s="1"/>
  <c r="S51" i="20" s="1"/>
  <c r="AZ78" i="31"/>
  <c r="AY77" i="31"/>
  <c r="AA77" i="31"/>
  <c r="AB78" i="31"/>
  <c r="AB77" i="31" s="1"/>
  <c r="T15" i="27"/>
  <c r="T11" i="32"/>
  <c r="U16" i="29"/>
  <c r="AP86" i="27"/>
  <c r="BY86" i="27"/>
  <c r="AP85" i="27"/>
  <c r="BY85" i="27"/>
  <c r="CC111" i="28"/>
  <c r="BA111" i="28"/>
  <c r="CA111" i="28" s="1"/>
  <c r="BC54" i="28"/>
  <c r="BC111" i="28" s="1"/>
  <c r="BB3" i="32"/>
  <c r="BB15" i="29"/>
  <c r="BC15" i="29" s="1"/>
  <c r="BC9" i="29"/>
  <c r="BB86" i="27"/>
  <c r="CA86" i="27" s="1"/>
  <c r="BB85" i="27"/>
  <c r="BB14" i="27"/>
  <c r="BN14" i="27"/>
  <c r="BN86" i="27"/>
  <c r="BN85" i="27"/>
  <c r="BO9" i="29"/>
  <c r="BO7" i="27"/>
  <c r="BO8" i="27" s="1"/>
  <c r="BP9" i="29"/>
  <c r="BN15" i="29"/>
  <c r="BN3" i="32"/>
  <c r="F65" i="25"/>
  <c r="F25" i="25"/>
  <c r="F23" i="25" s="1"/>
  <c r="F11" i="25"/>
  <c r="E45" i="34"/>
  <c r="J24" i="34"/>
  <c r="BW5" i="35"/>
  <c r="L24" i="34"/>
  <c r="BY5" i="35"/>
  <c r="CA4" i="35"/>
  <c r="BN105" i="27"/>
  <c r="BM25" i="30"/>
  <c r="BM41" i="30" s="1"/>
  <c r="BM79" i="30" s="1"/>
  <c r="BM77" i="30" s="1"/>
  <c r="BM25" i="31"/>
  <c r="BM41" i="31" s="1"/>
  <c r="BM79" i="31" s="1"/>
  <c r="BM77" i="31" s="1"/>
  <c r="CC4" i="35"/>
  <c r="N60" i="24"/>
  <c r="N82" i="20" s="1"/>
  <c r="V82" i="20" s="1"/>
  <c r="N83" i="20"/>
  <c r="V83" i="20" s="1"/>
  <c r="P55" i="24"/>
  <c r="P58" i="24"/>
  <c r="BW92" i="27"/>
  <c r="AC92" i="27"/>
  <c r="BW93" i="27"/>
  <c r="AC93" i="27"/>
  <c r="AO12" i="27"/>
  <c r="AO93" i="27" s="1"/>
  <c r="AO92" i="27"/>
  <c r="BB9" i="27"/>
  <c r="BB5" i="32"/>
  <c r="BM12" i="27"/>
  <c r="BM93" i="27" s="1"/>
  <c r="BM92" i="27"/>
  <c r="BO10" i="29"/>
  <c r="BN9" i="27"/>
  <c r="BN5" i="32"/>
  <c r="BB11" i="27"/>
  <c r="BB7" i="32"/>
  <c r="BO12" i="29"/>
  <c r="BN11" i="27"/>
  <c r="BN7" i="32"/>
  <c r="BO24" i="31"/>
  <c r="BO40" i="31" s="1"/>
  <c r="BO24" i="30"/>
  <c r="BO40" i="30" s="1"/>
  <c r="BO26" i="30"/>
  <c r="BO42" i="30" s="1"/>
  <c r="BO26" i="31"/>
  <c r="BO42" i="31" s="1"/>
  <c r="AO25" i="30"/>
  <c r="AO41" i="30" s="1"/>
  <c r="AO79" i="30" s="1"/>
  <c r="AO77" i="30" s="1"/>
  <c r="AO25" i="31"/>
  <c r="AO41" i="31" s="1"/>
  <c r="AO79" i="31" s="1"/>
  <c r="AO77" i="31" s="1"/>
  <c r="BA25" i="30"/>
  <c r="BA41" i="30" s="1"/>
  <c r="BA79" i="30" s="1"/>
  <c r="BA77" i="30" s="1"/>
  <c r="BA25" i="31"/>
  <c r="BA41" i="31" s="1"/>
  <c r="BA79" i="31" s="1"/>
  <c r="BB105" i="27"/>
  <c r="BB27" i="30"/>
  <c r="BB43" i="30" s="1"/>
  <c r="BB27" i="31"/>
  <c r="BB43" i="31" s="1"/>
  <c r="BN27" i="31"/>
  <c r="BN43" i="31" s="1"/>
  <c r="BN27" i="30"/>
  <c r="BN43" i="30" s="1"/>
  <c r="BO107" i="27"/>
  <c r="BB28" i="30"/>
  <c r="BB44" i="30" s="1"/>
  <c r="BB28" i="31"/>
  <c r="BB44" i="31" s="1"/>
  <c r="BN28" i="30"/>
  <c r="BN44" i="30" s="1"/>
  <c r="BN28" i="31"/>
  <c r="BN44" i="31" s="1"/>
  <c r="BO108" i="27"/>
  <c r="G92" i="32"/>
  <c r="G46" i="27"/>
  <c r="M14" i="34"/>
  <c r="G125" i="34"/>
  <c r="T46" i="34"/>
  <c r="M46" i="34"/>
  <c r="P26" i="25"/>
  <c r="BO81" i="30"/>
  <c r="O12" i="4"/>
  <c r="I23" i="10"/>
  <c r="I51" i="20" s="1"/>
  <c r="I24" i="10"/>
  <c r="BO78" i="31"/>
  <c r="BO78" i="30"/>
  <c r="BB78" i="30"/>
  <c r="D133" i="31"/>
  <c r="D133" i="30"/>
  <c r="E117" i="30"/>
  <c r="D46" i="27"/>
  <c r="D92" i="32"/>
  <c r="H69" i="32"/>
  <c r="H73" i="32"/>
  <c r="H34" i="32"/>
  <c r="H62" i="32"/>
  <c r="I31" i="32"/>
  <c r="I74" i="32" s="1"/>
  <c r="I32" i="32"/>
  <c r="I75" i="32"/>
  <c r="I71" i="32"/>
  <c r="I29" i="32"/>
  <c r="I28" i="32"/>
  <c r="I27" i="32"/>
  <c r="I24" i="32"/>
  <c r="I25" i="32"/>
  <c r="J19" i="32"/>
  <c r="J20" i="32" s="1"/>
  <c r="J30" i="32"/>
  <c r="J26" i="32"/>
  <c r="J33" i="32"/>
  <c r="J23" i="32"/>
  <c r="K18" i="32"/>
  <c r="K65" i="32" s="1"/>
  <c r="K22" i="32"/>
  <c r="M12" i="32"/>
  <c r="M13" i="32" s="1"/>
  <c r="L15" i="32"/>
  <c r="F68" i="32"/>
  <c r="G57" i="29"/>
  <c r="G96" i="29" s="1"/>
  <c r="I64" i="31"/>
  <c r="I57" i="31" s="1"/>
  <c r="H70" i="33"/>
  <c r="I63" i="31"/>
  <c r="I56" i="31" s="1"/>
  <c r="H69" i="33"/>
  <c r="I20" i="32"/>
  <c r="I64" i="32" s="1"/>
  <c r="J183" i="6"/>
  <c r="C7" i="4"/>
  <c r="C13" i="4" s="1"/>
  <c r="AO3" i="4"/>
  <c r="AB12" i="4"/>
  <c r="S4" i="4"/>
  <c r="U4" i="4"/>
  <c r="Q4" i="4"/>
  <c r="X4" i="4"/>
  <c r="T4" i="4"/>
  <c r="R4" i="4"/>
  <c r="Z4" i="4"/>
  <c r="V4" i="4"/>
  <c r="Y4" i="4"/>
  <c r="W4" i="4"/>
  <c r="P4" i="4"/>
  <c r="P3" i="4" s="1"/>
  <c r="AA4" i="4"/>
  <c r="C11" i="4"/>
  <c r="C12" i="4" s="1"/>
  <c r="D7" i="4"/>
  <c r="E3" i="4"/>
  <c r="D9" i="4"/>
  <c r="AC8" i="3"/>
  <c r="AO6" i="3"/>
  <c r="BO3" i="3"/>
  <c r="BL9" i="3"/>
  <c r="BI9" i="3"/>
  <c r="BM9" i="3"/>
  <c r="BK9" i="3"/>
  <c r="BH9" i="3"/>
  <c r="BJ9" i="3"/>
  <c r="BG9" i="3"/>
  <c r="BC9" i="3"/>
  <c r="BF9" i="3"/>
  <c r="BD9" i="3"/>
  <c r="BN9" i="3"/>
  <c r="BE9" i="3"/>
  <c r="BB3" i="3"/>
  <c r="C8" i="3"/>
  <c r="O6" i="3"/>
  <c r="P8" i="3"/>
  <c r="AB6" i="3"/>
  <c r="N151" i="10" l="1"/>
  <c r="N153" i="10"/>
  <c r="N154" i="10" s="1"/>
  <c r="N155" i="10" s="1"/>
  <c r="L66" i="10"/>
  <c r="L67" i="10" s="1"/>
  <c r="BB10" i="27"/>
  <c r="BN10" i="27"/>
  <c r="BA12" i="27"/>
  <c r="BA93" i="27" s="1"/>
  <c r="BA92" i="27"/>
  <c r="BA10" i="32"/>
  <c r="BA6" i="32"/>
  <c r="BA8" i="32" s="1"/>
  <c r="BM10" i="32"/>
  <c r="BM6" i="32"/>
  <c r="BM8" i="32" s="1"/>
  <c r="K153" i="10"/>
  <c r="K154" i="10" s="1"/>
  <c r="K151" i="10"/>
  <c r="H56" i="14"/>
  <c r="H53" i="14"/>
  <c r="I25" i="14"/>
  <c r="J16" i="14"/>
  <c r="I42" i="14"/>
  <c r="I36" i="14"/>
  <c r="J33" i="14"/>
  <c r="D110" i="29"/>
  <c r="E71" i="29"/>
  <c r="E110" i="29" s="1"/>
  <c r="D72" i="29"/>
  <c r="BC86" i="27"/>
  <c r="P145" i="6"/>
  <c r="AC9" i="32"/>
  <c r="P163" i="6"/>
  <c r="AP9" i="32"/>
  <c r="F70" i="29"/>
  <c r="F109" i="29" s="1"/>
  <c r="F47" i="27"/>
  <c r="F96" i="29"/>
  <c r="K105" i="30"/>
  <c r="K99" i="30"/>
  <c r="K99" i="31"/>
  <c r="K105" i="31"/>
  <c r="BC85" i="27"/>
  <c r="CA85" i="27"/>
  <c r="P7" i="32"/>
  <c r="BN25" i="30"/>
  <c r="BN41" i="30" s="1"/>
  <c r="BN25" i="31"/>
  <c r="BN41" i="31" s="1"/>
  <c r="H46" i="29"/>
  <c r="H85" i="29" s="1"/>
  <c r="H83" i="29"/>
  <c r="AB8" i="32"/>
  <c r="AC8" i="32" s="1"/>
  <c r="AC6" i="32"/>
  <c r="AC5" i="32" s="1"/>
  <c r="N14" i="34"/>
  <c r="V14" i="34" s="1"/>
  <c r="F30" i="36" s="1"/>
  <c r="V51" i="34"/>
  <c r="L153" i="10"/>
  <c r="L154" i="10" s="1"/>
  <c r="L155" i="10" s="1"/>
  <c r="L151" i="10"/>
  <c r="H48" i="30"/>
  <c r="H60" i="33"/>
  <c r="N46" i="34"/>
  <c r="V46" i="34" s="1"/>
  <c r="V19" i="10"/>
  <c r="V15" i="10"/>
  <c r="N50" i="20"/>
  <c r="V50" i="20" s="1"/>
  <c r="U15" i="10"/>
  <c r="K50" i="20"/>
  <c r="F12" i="25"/>
  <c r="F10" i="25" s="1"/>
  <c r="F42" i="25"/>
  <c r="M185" i="6"/>
  <c r="M184" i="6"/>
  <c r="N184" i="6" s="1"/>
  <c r="N186" i="6" s="1"/>
  <c r="H50" i="31"/>
  <c r="I65" i="31" s="1"/>
  <c r="I58" i="31" s="1"/>
  <c r="H71" i="33"/>
  <c r="I76" i="29"/>
  <c r="I44" i="29"/>
  <c r="H49" i="30"/>
  <c r="I64" i="30" s="1"/>
  <c r="I57" i="30" s="1"/>
  <c r="H61" i="33"/>
  <c r="AP6" i="32"/>
  <c r="AP5" i="32" s="1"/>
  <c r="AO8" i="32"/>
  <c r="AP8" i="32" s="1"/>
  <c r="E55" i="27"/>
  <c r="E117" i="31"/>
  <c r="K89" i="29"/>
  <c r="K47" i="29"/>
  <c r="K86" i="29" s="1"/>
  <c r="K45" i="29"/>
  <c r="K42" i="27"/>
  <c r="K27" i="29"/>
  <c r="K38" i="27" s="1"/>
  <c r="K25" i="29"/>
  <c r="L26" i="29"/>
  <c r="L24" i="29"/>
  <c r="L25" i="27"/>
  <c r="L87" i="27" s="1"/>
  <c r="BT87" i="27" s="1"/>
  <c r="L50" i="29"/>
  <c r="N109" i="10"/>
  <c r="N107" i="10"/>
  <c r="J26" i="27"/>
  <c r="BB6" i="32"/>
  <c r="BN6" i="32"/>
  <c r="BN8" i="32" s="1"/>
  <c r="U19" i="10"/>
  <c r="K46" i="34"/>
  <c r="U46" i="34" s="1"/>
  <c r="J24" i="10"/>
  <c r="T22" i="10"/>
  <c r="J23" i="10"/>
  <c r="J51" i="20" s="1"/>
  <c r="BE34" i="28"/>
  <c r="BE84" i="28"/>
  <c r="BF85" i="28"/>
  <c r="BF27" i="28"/>
  <c r="BG28" i="28"/>
  <c r="BG35" i="28"/>
  <c r="BG92" i="28" s="1"/>
  <c r="BG29" i="28"/>
  <c r="BG86" i="28" s="1"/>
  <c r="BG18" i="28"/>
  <c r="BG50" i="28" s="1"/>
  <c r="BH13" i="28"/>
  <c r="BH15" i="28" s="1"/>
  <c r="BH17" i="28" s="1"/>
  <c r="BG52" i="28"/>
  <c r="BG109" i="28" s="1"/>
  <c r="BG16" i="28"/>
  <c r="BF46" i="28"/>
  <c r="BF107" i="28"/>
  <c r="BG51" i="28"/>
  <c r="BG108" i="28" s="1"/>
  <c r="BG53" i="28"/>
  <c r="BG110" i="28" s="1"/>
  <c r="BE103" i="28"/>
  <c r="BE57" i="28"/>
  <c r="BE114" i="28" s="1"/>
  <c r="AR84" i="28"/>
  <c r="AR34" i="28"/>
  <c r="AS85" i="28"/>
  <c r="AS27" i="28"/>
  <c r="AS46" i="28"/>
  <c r="AS107" i="28"/>
  <c r="AT53" i="28"/>
  <c r="AT110" i="28" s="1"/>
  <c r="AT51" i="28"/>
  <c r="AT108" i="28" s="1"/>
  <c r="AT15" i="28"/>
  <c r="AR103" i="28"/>
  <c r="AR57" i="28"/>
  <c r="AR114" i="28" s="1"/>
  <c r="O14" i="10"/>
  <c r="O36" i="10"/>
  <c r="O61" i="10"/>
  <c r="O18" i="10"/>
  <c r="P18" i="10"/>
  <c r="P19" i="10" s="1"/>
  <c r="P46" i="34" s="1"/>
  <c r="P61" i="10"/>
  <c r="P36" i="10"/>
  <c r="P14" i="10"/>
  <c r="P15" i="10" s="1"/>
  <c r="P50" i="20" s="1"/>
  <c r="W50" i="20" s="1"/>
  <c r="AE27" i="28"/>
  <c r="AE85" i="28"/>
  <c r="AF85" i="28"/>
  <c r="AF27" i="28"/>
  <c r="AG35" i="28"/>
  <c r="AG92" i="28" s="1"/>
  <c r="AG29" i="28"/>
  <c r="AG86" i="28" s="1"/>
  <c r="AG28" i="28"/>
  <c r="AG18" i="28"/>
  <c r="AG50" i="28" s="1"/>
  <c r="AH13" i="28"/>
  <c r="AH15" i="28" s="1"/>
  <c r="AH17" i="28" s="1"/>
  <c r="AG52" i="28"/>
  <c r="AG109" i="28" s="1"/>
  <c r="AG16" i="28"/>
  <c r="AF46" i="28"/>
  <c r="AF107" i="28"/>
  <c r="AG51" i="28"/>
  <c r="AG108" i="28" s="1"/>
  <c r="AG53" i="28"/>
  <c r="AG110" i="28" s="1"/>
  <c r="AE103" i="28"/>
  <c r="AE57" i="28"/>
  <c r="AE114" i="28" s="1"/>
  <c r="M110" i="10"/>
  <c r="M22" i="10"/>
  <c r="R34" i="28"/>
  <c r="R84" i="28"/>
  <c r="S34" i="28"/>
  <c r="S84" i="28"/>
  <c r="T85" i="28"/>
  <c r="T27" i="28"/>
  <c r="U29" i="28"/>
  <c r="U86" i="28" s="1"/>
  <c r="U35" i="28"/>
  <c r="U92" i="28" s="1"/>
  <c r="U28" i="28"/>
  <c r="U18" i="28"/>
  <c r="U50" i="28" s="1"/>
  <c r="U52" i="28"/>
  <c r="U109" i="28" s="1"/>
  <c r="V13" i="28"/>
  <c r="V15" i="28" s="1"/>
  <c r="V17" i="28" s="1"/>
  <c r="U16" i="28"/>
  <c r="T46" i="28"/>
  <c r="T107" i="28"/>
  <c r="U53" i="28"/>
  <c r="U110" i="28" s="1"/>
  <c r="U51" i="28"/>
  <c r="U108" i="28" s="1"/>
  <c r="S57" i="28"/>
  <c r="S114" i="28" s="1"/>
  <c r="S103" i="28"/>
  <c r="L109" i="10"/>
  <c r="L107" i="10"/>
  <c r="I64" i="27"/>
  <c r="BS64" i="27" s="1"/>
  <c r="F61" i="34" s="1"/>
  <c r="L22" i="30"/>
  <c r="L19" i="27"/>
  <c r="M17" i="30"/>
  <c r="M18" i="30" s="1"/>
  <c r="L20" i="30"/>
  <c r="L36" i="30" s="1"/>
  <c r="K43" i="27"/>
  <c r="K30" i="30"/>
  <c r="K27" i="27"/>
  <c r="K29" i="30"/>
  <c r="J31" i="27"/>
  <c r="J73" i="27"/>
  <c r="J33" i="30"/>
  <c r="J34" i="30"/>
  <c r="J32" i="30"/>
  <c r="J31" i="30"/>
  <c r="G45" i="30"/>
  <c r="G108" i="30"/>
  <c r="F104" i="30"/>
  <c r="F106" i="30" s="1"/>
  <c r="F51" i="27"/>
  <c r="BR51" i="27" s="1"/>
  <c r="E38" i="34" s="1"/>
  <c r="E35" i="34" s="1"/>
  <c r="F35" i="27"/>
  <c r="F112" i="30"/>
  <c r="F111" i="30" s="1"/>
  <c r="G47" i="30"/>
  <c r="G59" i="33"/>
  <c r="G54" i="30"/>
  <c r="K30" i="31"/>
  <c r="K29" i="31"/>
  <c r="K28" i="27"/>
  <c r="L22" i="31"/>
  <c r="L20" i="27"/>
  <c r="L24" i="27" s="1"/>
  <c r="L20" i="31"/>
  <c r="L36" i="31" s="1"/>
  <c r="L105" i="31" s="1"/>
  <c r="M17" i="31"/>
  <c r="M18" i="31" s="1"/>
  <c r="K44" i="27"/>
  <c r="J31" i="31"/>
  <c r="J32" i="31"/>
  <c r="J33" i="31"/>
  <c r="J34" i="31"/>
  <c r="J32" i="27"/>
  <c r="J81" i="27"/>
  <c r="G45" i="31"/>
  <c r="G108" i="31"/>
  <c r="K101" i="28"/>
  <c r="K58" i="28"/>
  <c r="L44" i="28"/>
  <c r="L93" i="28"/>
  <c r="BT93" i="28" s="1"/>
  <c r="N84" i="28"/>
  <c r="N34" i="28"/>
  <c r="M34" i="28"/>
  <c r="M84" i="28"/>
  <c r="P28" i="28"/>
  <c r="P85" i="28" s="1"/>
  <c r="O27" i="28"/>
  <c r="O85" i="28"/>
  <c r="BU85" i="28" s="1"/>
  <c r="H92" i="34" s="1"/>
  <c r="O86" i="28"/>
  <c r="BU86" i="28" s="1"/>
  <c r="H96" i="34" s="1"/>
  <c r="P29" i="28"/>
  <c r="P86" i="28" s="1"/>
  <c r="O92" i="28"/>
  <c r="BU92" i="28" s="1"/>
  <c r="H105" i="34" s="1"/>
  <c r="P35" i="28"/>
  <c r="P92" i="28" s="1"/>
  <c r="E115" i="26"/>
  <c r="Q17" i="28"/>
  <c r="P18" i="28"/>
  <c r="O50" i="28"/>
  <c r="E132" i="26"/>
  <c r="P52" i="28"/>
  <c r="P109" i="28" s="1"/>
  <c r="O109" i="28"/>
  <c r="BU109" i="28" s="1"/>
  <c r="P16" i="28"/>
  <c r="BU16" i="28"/>
  <c r="H86" i="25" s="1"/>
  <c r="N57" i="28"/>
  <c r="N114" i="28" s="1"/>
  <c r="N103" i="28"/>
  <c r="J59" i="28"/>
  <c r="J115" i="28"/>
  <c r="F40" i="27"/>
  <c r="F37" i="27" s="1"/>
  <c r="F68" i="33"/>
  <c r="F54" i="31"/>
  <c r="F47" i="31"/>
  <c r="U52" i="34"/>
  <c r="K51" i="34"/>
  <c r="K41" i="34"/>
  <c r="U41" i="34" s="1"/>
  <c r="U17" i="10"/>
  <c r="W20" i="10"/>
  <c r="O21" i="10"/>
  <c r="J53" i="27"/>
  <c r="J84" i="29"/>
  <c r="BU110" i="28"/>
  <c r="BU108" i="28"/>
  <c r="E83" i="27"/>
  <c r="E94" i="27" s="1"/>
  <c r="E95" i="27" s="1"/>
  <c r="J41" i="27"/>
  <c r="J89" i="27" s="1"/>
  <c r="O149" i="10"/>
  <c r="P149" i="10"/>
  <c r="P148" i="6"/>
  <c r="P151" i="6"/>
  <c r="P170" i="6"/>
  <c r="O163" i="6"/>
  <c r="O145" i="6"/>
  <c r="O151" i="6"/>
  <c r="O170" i="6"/>
  <c r="O166" i="6"/>
  <c r="O16" i="10"/>
  <c r="P16" i="10"/>
  <c r="P17" i="10" s="1"/>
  <c r="P41" i="34" s="1"/>
  <c r="P105" i="10"/>
  <c r="O105" i="10"/>
  <c r="I110" i="30"/>
  <c r="G61" i="30"/>
  <c r="G59" i="30" s="1"/>
  <c r="I110" i="31"/>
  <c r="K107" i="10"/>
  <c r="K109" i="10"/>
  <c r="K23" i="27"/>
  <c r="K18" i="27"/>
  <c r="K22" i="27" s="1"/>
  <c r="G62" i="33"/>
  <c r="G50" i="30"/>
  <c r="H65" i="30" s="1"/>
  <c r="H58" i="30" s="1"/>
  <c r="J77" i="29"/>
  <c r="J37" i="29"/>
  <c r="K38" i="29"/>
  <c r="K39" i="29"/>
  <c r="K78" i="29" s="1"/>
  <c r="M20" i="29"/>
  <c r="M22" i="29"/>
  <c r="M17" i="27"/>
  <c r="N16" i="27" s="1"/>
  <c r="N17" i="29"/>
  <c r="N18" i="29"/>
  <c r="BB13" i="29"/>
  <c r="BC13" i="29" s="1"/>
  <c r="BC11" i="29"/>
  <c r="BA78" i="31"/>
  <c r="AZ77" i="31"/>
  <c r="U15" i="27"/>
  <c r="U11" i="32"/>
  <c r="V16" i="29"/>
  <c r="BB10" i="32"/>
  <c r="BC10" i="32" s="1"/>
  <c r="BC3" i="32"/>
  <c r="BO3" i="32"/>
  <c r="BO10" i="32" s="1"/>
  <c r="BO15" i="29"/>
  <c r="BP15" i="29" s="1"/>
  <c r="BO14" i="27"/>
  <c r="BO86" i="27"/>
  <c r="CC86" i="27" s="1"/>
  <c r="BO85" i="27"/>
  <c r="BN10" i="32"/>
  <c r="BP86" i="27"/>
  <c r="E39" i="34"/>
  <c r="E13" i="34"/>
  <c r="N24" i="34"/>
  <c r="CA5" i="35"/>
  <c r="P24" i="34"/>
  <c r="CC5" i="35"/>
  <c r="BN79" i="30"/>
  <c r="BN77" i="30" s="1"/>
  <c r="P56" i="24"/>
  <c r="P59" i="24"/>
  <c r="BO105" i="27"/>
  <c r="AP93" i="27"/>
  <c r="BY93" i="27"/>
  <c r="AP92" i="27"/>
  <c r="BY92" i="27"/>
  <c r="BB12" i="27"/>
  <c r="BB93" i="27" s="1"/>
  <c r="BB92" i="27"/>
  <c r="BO11" i="29"/>
  <c r="BO9" i="27"/>
  <c r="BO10" i="27" s="1"/>
  <c r="BO5" i="32"/>
  <c r="BN92" i="27"/>
  <c r="BN12" i="27"/>
  <c r="BN93" i="27" s="1"/>
  <c r="BO7" i="32"/>
  <c r="BO11" i="27"/>
  <c r="BO25" i="30"/>
  <c r="BO41" i="30" s="1"/>
  <c r="BO25" i="31"/>
  <c r="BO41" i="31" s="1"/>
  <c r="BB25" i="30"/>
  <c r="BB41" i="30" s="1"/>
  <c r="BB79" i="30" s="1"/>
  <c r="BB77" i="30" s="1"/>
  <c r="BB25" i="31"/>
  <c r="BB41" i="31" s="1"/>
  <c r="BB79" i="31" s="1"/>
  <c r="BO27" i="30"/>
  <c r="BO43" i="30" s="1"/>
  <c r="BO27" i="31"/>
  <c r="BO43" i="31" s="1"/>
  <c r="BO28" i="31"/>
  <c r="BO44" i="31" s="1"/>
  <c r="BO28" i="30"/>
  <c r="BO44" i="30" s="1"/>
  <c r="BN79" i="31"/>
  <c r="BN77" i="31" s="1"/>
  <c r="W26" i="25"/>
  <c r="G86" i="36" s="1"/>
  <c r="S24" i="34"/>
  <c r="C39" i="36" s="1"/>
  <c r="S122" i="34"/>
  <c r="H57" i="29"/>
  <c r="I52" i="20"/>
  <c r="E48" i="27"/>
  <c r="E130" i="30"/>
  <c r="D45" i="27"/>
  <c r="D93" i="32"/>
  <c r="D94" i="32" s="1"/>
  <c r="H52" i="27"/>
  <c r="H66" i="32"/>
  <c r="J64" i="32"/>
  <c r="J32" i="32"/>
  <c r="J31" i="32"/>
  <c r="J74" i="32" s="1"/>
  <c r="J75" i="32"/>
  <c r="J71" i="32"/>
  <c r="J29" i="32"/>
  <c r="J28" i="32"/>
  <c r="J27" i="32"/>
  <c r="J24" i="32"/>
  <c r="J25" i="32"/>
  <c r="K19" i="32"/>
  <c r="K33" i="32"/>
  <c r="K30" i="32"/>
  <c r="K26" i="32"/>
  <c r="K23" i="32"/>
  <c r="L18" i="32"/>
  <c r="L22" i="32"/>
  <c r="N12" i="32"/>
  <c r="N13" i="32" s="1"/>
  <c r="M15" i="32"/>
  <c r="F79" i="32"/>
  <c r="G47" i="27"/>
  <c r="G70" i="29"/>
  <c r="G109" i="29" s="1"/>
  <c r="I34" i="32"/>
  <c r="I69" i="32"/>
  <c r="I73" i="32"/>
  <c r="E72" i="29"/>
  <c r="I49" i="31"/>
  <c r="I70" i="33"/>
  <c r="I48" i="31"/>
  <c r="I69" i="33"/>
  <c r="I62" i="32"/>
  <c r="H54" i="14"/>
  <c r="H55" i="14"/>
  <c r="H57" i="14"/>
  <c r="H58" i="14" s="1"/>
  <c r="I26" i="14"/>
  <c r="I43" i="14"/>
  <c r="I38" i="14"/>
  <c r="I39" i="14"/>
  <c r="J29" i="14"/>
  <c r="K28" i="14" s="1"/>
  <c r="J18" i="14"/>
  <c r="N185" i="6"/>
  <c r="K184" i="6"/>
  <c r="K185" i="6"/>
  <c r="J184" i="6"/>
  <c r="J186" i="6" s="1"/>
  <c r="J187" i="6" s="1"/>
  <c r="J185" i="6"/>
  <c r="L184" i="6"/>
  <c r="L186" i="6" s="1"/>
  <c r="BB3" i="4"/>
  <c r="BO3" i="4"/>
  <c r="BO9" i="4" s="1"/>
  <c r="AO4" i="4"/>
  <c r="AO9" i="4"/>
  <c r="AO7" i="4"/>
  <c r="AO11" i="4" s="1"/>
  <c r="P7" i="4"/>
  <c r="Q3" i="4"/>
  <c r="P9" i="4"/>
  <c r="D11" i="4"/>
  <c r="D13" i="4"/>
  <c r="C14" i="4"/>
  <c r="F3" i="4"/>
  <c r="E9" i="4"/>
  <c r="E7" i="4"/>
  <c r="BL3" i="3"/>
  <c r="BL6" i="3" s="1"/>
  <c r="BL8" i="3" s="1"/>
  <c r="BL10" i="3" s="1"/>
  <c r="BK3" i="3"/>
  <c r="BK6" i="3" s="1"/>
  <c r="BK8" i="3" s="1"/>
  <c r="BK10" i="3" s="1"/>
  <c r="BF3" i="3"/>
  <c r="BF6" i="3" s="1"/>
  <c r="BF8" i="3" s="1"/>
  <c r="BF10" i="3" s="1"/>
  <c r="BJ3" i="3"/>
  <c r="BJ6" i="3" s="1"/>
  <c r="BJ8" i="3" s="1"/>
  <c r="BJ10" i="3" s="1"/>
  <c r="BD3" i="3"/>
  <c r="BD6" i="3" s="1"/>
  <c r="BD8" i="3" s="1"/>
  <c r="BD10" i="3" s="1"/>
  <c r="BE3" i="3"/>
  <c r="BE6" i="3" s="1"/>
  <c r="BE8" i="3" s="1"/>
  <c r="BE10" i="3" s="1"/>
  <c r="BC3" i="3"/>
  <c r="BC6" i="3" s="1"/>
  <c r="BG3" i="3"/>
  <c r="BG6" i="3" s="1"/>
  <c r="BG8" i="3" s="1"/>
  <c r="BG10" i="3" s="1"/>
  <c r="BH3" i="3"/>
  <c r="BH6" i="3" s="1"/>
  <c r="BH8" i="3" s="1"/>
  <c r="BH10" i="3" s="1"/>
  <c r="BI3" i="3"/>
  <c r="BI6" i="3" s="1"/>
  <c r="BI8" i="3" s="1"/>
  <c r="BI10" i="3" s="1"/>
  <c r="BM3" i="3"/>
  <c r="BM6" i="3" s="1"/>
  <c r="BM8" i="3" s="1"/>
  <c r="BM10" i="3" s="1"/>
  <c r="BN3" i="3"/>
  <c r="BN6" i="3" s="1"/>
  <c r="BN8" i="3" s="1"/>
  <c r="BN10" i="3" s="1"/>
  <c r="AW3" i="3"/>
  <c r="AW6" i="3" s="1"/>
  <c r="AW8" i="3" s="1"/>
  <c r="AW10" i="3" s="1"/>
  <c r="AZ3" i="3"/>
  <c r="AZ6" i="3" s="1"/>
  <c r="AZ8" i="3" s="1"/>
  <c r="AZ10" i="3" s="1"/>
  <c r="AQ3" i="3"/>
  <c r="AQ6" i="3" s="1"/>
  <c r="AQ8" i="3" s="1"/>
  <c r="AQ10" i="3" s="1"/>
  <c r="AU3" i="3"/>
  <c r="AU6" i="3" s="1"/>
  <c r="AU8" i="3" s="1"/>
  <c r="AU10" i="3" s="1"/>
  <c r="AS3" i="3"/>
  <c r="AS6" i="3" s="1"/>
  <c r="AS8" i="3" s="1"/>
  <c r="AS10" i="3" s="1"/>
  <c r="AV3" i="3"/>
  <c r="AV6" i="3" s="1"/>
  <c r="AV8" i="3" s="1"/>
  <c r="AV10" i="3" s="1"/>
  <c r="AY3" i="3"/>
  <c r="AY6" i="3" s="1"/>
  <c r="AY8" i="3" s="1"/>
  <c r="AY10" i="3" s="1"/>
  <c r="AX3" i="3"/>
  <c r="AX6" i="3" s="1"/>
  <c r="AX8" i="3" s="1"/>
  <c r="AX10" i="3" s="1"/>
  <c r="AR3" i="3"/>
  <c r="AR6" i="3" s="1"/>
  <c r="AR8" i="3" s="1"/>
  <c r="AR10" i="3" s="1"/>
  <c r="AT3" i="3"/>
  <c r="AT6" i="3" s="1"/>
  <c r="AT8" i="3" s="1"/>
  <c r="AT10" i="3" s="1"/>
  <c r="AP3" i="3"/>
  <c r="AP6" i="3" s="1"/>
  <c r="BA3" i="3"/>
  <c r="BA6" i="3" s="1"/>
  <c r="BA8" i="3" s="1"/>
  <c r="BA10" i="3" s="1"/>
  <c r="P10" i="3"/>
  <c r="AB8" i="3"/>
  <c r="C10" i="3"/>
  <c r="O8" i="3"/>
  <c r="AC10" i="3"/>
  <c r="AO8" i="3"/>
  <c r="N22" i="10" l="1"/>
  <c r="D111" i="29"/>
  <c r="D73" i="29"/>
  <c r="F71" i="29"/>
  <c r="L99" i="31"/>
  <c r="J110" i="30"/>
  <c r="BP3" i="32"/>
  <c r="L99" i="30"/>
  <c r="L105" i="30"/>
  <c r="F55" i="25"/>
  <c r="F9" i="25"/>
  <c r="AC7" i="32"/>
  <c r="I63" i="30"/>
  <c r="I56" i="30" s="1"/>
  <c r="BO6" i="32"/>
  <c r="J76" i="29"/>
  <c r="J44" i="29"/>
  <c r="K77" i="29"/>
  <c r="K37" i="29"/>
  <c r="M26" i="29"/>
  <c r="M34" i="27" s="1"/>
  <c r="M24" i="29"/>
  <c r="M25" i="27"/>
  <c r="M87" i="27" s="1"/>
  <c r="M50" i="29"/>
  <c r="O17" i="29"/>
  <c r="N17" i="27"/>
  <c r="O16" i="27" s="1"/>
  <c r="N22" i="29"/>
  <c r="N20" i="29"/>
  <c r="AP7" i="32"/>
  <c r="K84" i="29"/>
  <c r="K53" i="27"/>
  <c r="N110" i="10"/>
  <c r="N111" i="10" s="1"/>
  <c r="M45" i="29"/>
  <c r="M84" i="29" s="1"/>
  <c r="I50" i="31"/>
  <c r="J65" i="31" s="1"/>
  <c r="J58" i="31" s="1"/>
  <c r="J50" i="31" s="1"/>
  <c r="I71" i="33"/>
  <c r="I83" i="29"/>
  <c r="I46" i="29"/>
  <c r="I49" i="30"/>
  <c r="I61" i="33"/>
  <c r="E49" i="27"/>
  <c r="E130" i="31"/>
  <c r="E131" i="31" s="1"/>
  <c r="L39" i="29"/>
  <c r="L78" i="29" s="1"/>
  <c r="L34" i="27"/>
  <c r="L38" i="29"/>
  <c r="L45" i="29"/>
  <c r="L27" i="29"/>
  <c r="L38" i="27" s="1"/>
  <c r="L25" i="29"/>
  <c r="L42" i="27"/>
  <c r="L89" i="29"/>
  <c r="L47" i="29"/>
  <c r="L86" i="29" s="1"/>
  <c r="J30" i="27"/>
  <c r="J64" i="27"/>
  <c r="J52" i="20"/>
  <c r="T52" i="20" s="1"/>
  <c r="T24" i="10"/>
  <c r="T23" i="10" s="1"/>
  <c r="T51" i="20" s="1"/>
  <c r="BB8" i="32"/>
  <c r="BC8" i="32" s="1"/>
  <c r="BC6" i="32"/>
  <c r="BC5" i="32" s="1"/>
  <c r="BE36" i="28"/>
  <c r="BE91" i="28"/>
  <c r="BF34" i="28"/>
  <c r="BF84" i="28"/>
  <c r="BG85" i="28"/>
  <c r="BG27" i="28"/>
  <c r="BH28" i="28"/>
  <c r="BH29" i="28"/>
  <c r="BH86" i="28" s="1"/>
  <c r="BH35" i="28"/>
  <c r="BH92" i="28" s="1"/>
  <c r="BG46" i="28"/>
  <c r="BG107" i="28"/>
  <c r="BH53" i="28"/>
  <c r="BH110" i="28" s="1"/>
  <c r="BH51" i="28"/>
  <c r="BH108" i="28" s="1"/>
  <c r="BH18" i="28"/>
  <c r="BH50" i="28" s="1"/>
  <c r="BH52" i="28"/>
  <c r="BH109" i="28" s="1"/>
  <c r="BI13" i="28"/>
  <c r="BI15" i="28" s="1"/>
  <c r="BI17" i="28" s="1"/>
  <c r="BH16" i="28"/>
  <c r="BF57" i="28"/>
  <c r="BF114" i="28" s="1"/>
  <c r="BF103" i="28"/>
  <c r="AR36" i="28"/>
  <c r="AR91" i="28"/>
  <c r="AS34" i="28"/>
  <c r="AS84" i="28"/>
  <c r="AS57" i="28"/>
  <c r="AS114" i="28" s="1"/>
  <c r="AS103" i="28"/>
  <c r="AT17" i="28"/>
  <c r="AT18" i="28"/>
  <c r="AT50" i="28" s="1"/>
  <c r="AT52" i="28"/>
  <c r="AT109" i="28" s="1"/>
  <c r="AU13" i="28"/>
  <c r="AU15" i="28" s="1"/>
  <c r="AU17" i="28" s="1"/>
  <c r="AT16" i="28"/>
  <c r="W14" i="10"/>
  <c r="O15" i="10"/>
  <c r="O62" i="10"/>
  <c r="O64" i="10"/>
  <c r="O65" i="10" s="1"/>
  <c r="O19" i="10"/>
  <c r="W18" i="10"/>
  <c r="P64" i="10"/>
  <c r="P65" i="10" s="1"/>
  <c r="P62" i="10"/>
  <c r="AE84" i="28"/>
  <c r="AE34" i="28"/>
  <c r="AF34" i="28"/>
  <c r="AF84" i="28"/>
  <c r="AG27" i="28"/>
  <c r="AG85" i="28"/>
  <c r="AH28" i="28"/>
  <c r="AH29" i="28"/>
  <c r="AH86" i="28" s="1"/>
  <c r="AH35" i="28"/>
  <c r="AH92" i="28" s="1"/>
  <c r="AG46" i="28"/>
  <c r="AG107" i="28"/>
  <c r="AH53" i="28"/>
  <c r="AH110" i="28" s="1"/>
  <c r="AH51" i="28"/>
  <c r="AH108" i="28" s="1"/>
  <c r="AH18" i="28"/>
  <c r="AH50" i="28" s="1"/>
  <c r="AH52" i="28"/>
  <c r="AH109" i="28" s="1"/>
  <c r="AI13" i="28"/>
  <c r="AI15" i="28" s="1"/>
  <c r="AI17" i="28" s="1"/>
  <c r="AH16" i="28"/>
  <c r="AF57" i="28"/>
  <c r="AF114" i="28" s="1"/>
  <c r="AF103" i="28"/>
  <c r="M24" i="10"/>
  <c r="M23" i="10"/>
  <c r="M51" i="20" s="1"/>
  <c r="R36" i="28"/>
  <c r="R91" i="28"/>
  <c r="S36" i="28"/>
  <c r="S91" i="28"/>
  <c r="T34" i="28"/>
  <c r="T84" i="28"/>
  <c r="U27" i="28"/>
  <c r="U85" i="28"/>
  <c r="V28" i="28"/>
  <c r="V29" i="28"/>
  <c r="V86" i="28" s="1"/>
  <c r="V35" i="28"/>
  <c r="V92" i="28" s="1"/>
  <c r="V18" i="28"/>
  <c r="V50" i="28" s="1"/>
  <c r="W13" i="28"/>
  <c r="W15" i="28" s="1"/>
  <c r="W17" i="28" s="1"/>
  <c r="V52" i="28"/>
  <c r="V109" i="28" s="1"/>
  <c r="BV109" i="28" s="1"/>
  <c r="V16" i="28"/>
  <c r="BV16" i="28" s="1"/>
  <c r="I86" i="25" s="1"/>
  <c r="U46" i="28"/>
  <c r="U107" i="28"/>
  <c r="V51" i="28"/>
  <c r="V108" i="28" s="1"/>
  <c r="BV108" i="28" s="1"/>
  <c r="V53" i="28"/>
  <c r="V110" i="28" s="1"/>
  <c r="BV110" i="28" s="1"/>
  <c r="T103" i="28"/>
  <c r="T57" i="28"/>
  <c r="T114" i="28" s="1"/>
  <c r="L22" i="10"/>
  <c r="M20" i="30"/>
  <c r="M36" i="30" s="1"/>
  <c r="M22" i="30"/>
  <c r="N17" i="30"/>
  <c r="N18" i="30"/>
  <c r="M19" i="27"/>
  <c r="L30" i="30"/>
  <c r="L27" i="27"/>
  <c r="L29" i="30"/>
  <c r="L18" i="27"/>
  <c r="L22" i="27" s="1"/>
  <c r="L23" i="27"/>
  <c r="M105" i="30"/>
  <c r="M99" i="30"/>
  <c r="L37" i="30"/>
  <c r="L38" i="30" s="1"/>
  <c r="L43" i="27"/>
  <c r="BT43" i="27" s="1"/>
  <c r="G45" i="25" s="1"/>
  <c r="G12" i="25" s="1"/>
  <c r="K33" i="30"/>
  <c r="K32" i="30"/>
  <c r="K34" i="30"/>
  <c r="K31" i="30"/>
  <c r="K110" i="30" s="1"/>
  <c r="K26" i="27"/>
  <c r="K31" i="27"/>
  <c r="K73" i="27"/>
  <c r="G98" i="30"/>
  <c r="G97" i="30" s="1"/>
  <c r="H60" i="30"/>
  <c r="H53" i="30" s="1"/>
  <c r="E31" i="34"/>
  <c r="E10" i="34"/>
  <c r="F117" i="30"/>
  <c r="G46" i="30"/>
  <c r="G51" i="30" s="1"/>
  <c r="H62" i="30"/>
  <c r="G63" i="33"/>
  <c r="G58" i="33"/>
  <c r="G109" i="30"/>
  <c r="G107" i="30" s="1"/>
  <c r="G113" i="30"/>
  <c r="G52" i="30"/>
  <c r="K32" i="31"/>
  <c r="K34" i="31"/>
  <c r="K31" i="31"/>
  <c r="K33" i="31"/>
  <c r="K32" i="27"/>
  <c r="K81" i="27"/>
  <c r="L29" i="31"/>
  <c r="L28" i="27"/>
  <c r="L30" i="31"/>
  <c r="L44" i="27"/>
  <c r="BT44" i="27" s="1"/>
  <c r="G46" i="25" s="1"/>
  <c r="G13" i="25" s="1"/>
  <c r="M20" i="31"/>
  <c r="M36" i="31" s="1"/>
  <c r="M22" i="31"/>
  <c r="N17" i="31"/>
  <c r="N18" i="31"/>
  <c r="M20" i="27"/>
  <c r="M24" i="27" s="1"/>
  <c r="G98" i="31"/>
  <c r="G97" i="31" s="1"/>
  <c r="G104" i="31" s="1"/>
  <c r="H60" i="31"/>
  <c r="K59" i="28"/>
  <c r="K115" i="28"/>
  <c r="L101" i="28"/>
  <c r="BT101" i="28" s="1"/>
  <c r="L58" i="28"/>
  <c r="N36" i="28"/>
  <c r="N91" i="28"/>
  <c r="M36" i="28"/>
  <c r="M91" i="28"/>
  <c r="P27" i="28"/>
  <c r="P84" i="28" s="1"/>
  <c r="O34" i="28"/>
  <c r="O84" i="28"/>
  <c r="BU84" i="28" s="1"/>
  <c r="S92" i="34"/>
  <c r="H91" i="34"/>
  <c r="H95" i="34"/>
  <c r="S95" i="34" s="1"/>
  <c r="S96" i="34"/>
  <c r="H104" i="34"/>
  <c r="S105" i="34"/>
  <c r="Q29" i="28"/>
  <c r="Q86" i="28" s="1"/>
  <c r="Q35" i="28"/>
  <c r="Q92" i="28" s="1"/>
  <c r="Q28" i="28"/>
  <c r="P50" i="28"/>
  <c r="P107" i="28" s="1"/>
  <c r="O46" i="28"/>
  <c r="O107" i="28"/>
  <c r="BU107" i="28" s="1"/>
  <c r="H14" i="25"/>
  <c r="S14" i="25" s="1"/>
  <c r="C78" i="36" s="1"/>
  <c r="H80" i="25"/>
  <c r="H93" i="25" s="1"/>
  <c r="J60" i="28"/>
  <c r="J116" i="28"/>
  <c r="F90" i="27"/>
  <c r="BR90" i="27" s="1"/>
  <c r="F88" i="27"/>
  <c r="F67" i="33"/>
  <c r="F72" i="33"/>
  <c r="F74" i="33" s="1"/>
  <c r="BR74" i="33" s="1"/>
  <c r="E197" i="23" s="1"/>
  <c r="E68" i="34" s="1"/>
  <c r="F113" i="31"/>
  <c r="F109" i="31"/>
  <c r="F107" i="31" s="1"/>
  <c r="F54" i="27" s="1"/>
  <c r="BR54" i="27" s="1"/>
  <c r="E60" i="34" s="1"/>
  <c r="F52" i="31"/>
  <c r="G62" i="31"/>
  <c r="F46" i="31"/>
  <c r="F51" i="31" s="1"/>
  <c r="K14" i="34"/>
  <c r="U14" i="34" s="1"/>
  <c r="E30" i="36" s="1"/>
  <c r="U51" i="34"/>
  <c r="W21" i="10"/>
  <c r="O52" i="34"/>
  <c r="O150" i="10"/>
  <c r="O152" i="10"/>
  <c r="O151" i="10" s="1"/>
  <c r="P150" i="10"/>
  <c r="P152" i="10"/>
  <c r="P144" i="6"/>
  <c r="P169" i="6"/>
  <c r="P166" i="6" s="1"/>
  <c r="P162" i="6" s="1"/>
  <c r="W16" i="10"/>
  <c r="O17" i="10"/>
  <c r="P108" i="10"/>
  <c r="P106" i="10"/>
  <c r="O108" i="10"/>
  <c r="O107" i="10" s="1"/>
  <c r="O106" i="10"/>
  <c r="O109" i="10"/>
  <c r="O110" i="10" s="1"/>
  <c r="G39" i="27"/>
  <c r="K22" i="10"/>
  <c r="K110" i="10"/>
  <c r="L110" i="10" s="1"/>
  <c r="L111" i="10" s="1"/>
  <c r="H62" i="33"/>
  <c r="H50" i="30"/>
  <c r="K41" i="27"/>
  <c r="K89" i="27" s="1"/>
  <c r="J110" i="31"/>
  <c r="O162" i="6"/>
  <c r="O144" i="6"/>
  <c r="O177" i="6" s="1"/>
  <c r="O183" i="6" s="1"/>
  <c r="BB78" i="31"/>
  <c r="BB77" i="31" s="1"/>
  <c r="BA77" i="31"/>
  <c r="V11" i="32"/>
  <c r="V15" i="27"/>
  <c r="W16" i="29"/>
  <c r="BC9" i="32"/>
  <c r="BP10" i="32"/>
  <c r="CC85" i="27"/>
  <c r="BP85" i="27"/>
  <c r="L65" i="32"/>
  <c r="BT18" i="32"/>
  <c r="G60" i="25" s="1"/>
  <c r="E11" i="34"/>
  <c r="P83" i="20"/>
  <c r="W83" i="20" s="1"/>
  <c r="P60" i="24"/>
  <c r="P82" i="20" s="1"/>
  <c r="W82" i="20" s="1"/>
  <c r="BO79" i="30"/>
  <c r="BO77" i="30" s="1"/>
  <c r="BC93" i="27"/>
  <c r="CA93" i="27"/>
  <c r="BC92" i="27"/>
  <c r="CA92" i="27"/>
  <c r="BP11" i="29"/>
  <c r="BO13" i="29"/>
  <c r="BP13" i="29" s="1"/>
  <c r="BO12" i="27"/>
  <c r="BO93" i="27" s="1"/>
  <c r="BO92" i="27"/>
  <c r="BO79" i="31"/>
  <c r="BO77" i="31" s="1"/>
  <c r="H96" i="29"/>
  <c r="H47" i="27"/>
  <c r="H70" i="29"/>
  <c r="H109" i="29" s="1"/>
  <c r="E73" i="29"/>
  <c r="E111" i="29"/>
  <c r="E69" i="27"/>
  <c r="E131" i="30"/>
  <c r="E132" i="30" s="1"/>
  <c r="D95" i="32"/>
  <c r="E93" i="32"/>
  <c r="H68" i="32"/>
  <c r="J34" i="32"/>
  <c r="K31" i="32"/>
  <c r="K74" i="32" s="1"/>
  <c r="K32" i="32"/>
  <c r="K75" i="32"/>
  <c r="K71" i="32"/>
  <c r="K69" i="32" s="1"/>
  <c r="K29" i="32"/>
  <c r="K28" i="32"/>
  <c r="K27" i="32"/>
  <c r="K25" i="32"/>
  <c r="K24" i="32"/>
  <c r="L19" i="32"/>
  <c r="L20" i="32" s="1"/>
  <c r="L30" i="32"/>
  <c r="L26" i="32"/>
  <c r="L33" i="32"/>
  <c r="L23" i="32"/>
  <c r="M18" i="32"/>
  <c r="M65" i="32" s="1"/>
  <c r="M22" i="32"/>
  <c r="O12" i="32"/>
  <c r="P12" i="32" s="1"/>
  <c r="O13" i="32"/>
  <c r="N15" i="32"/>
  <c r="F92" i="32"/>
  <c r="F46" i="27"/>
  <c r="J64" i="31"/>
  <c r="J57" i="31" s="1"/>
  <c r="J49" i="31" s="1"/>
  <c r="J63" i="31"/>
  <c r="J56" i="31" s="1"/>
  <c r="J48" i="31" s="1"/>
  <c r="I66" i="32"/>
  <c r="I52" i="27"/>
  <c r="BS52" i="27" s="1"/>
  <c r="F50" i="34" s="1"/>
  <c r="J62" i="32"/>
  <c r="J69" i="32"/>
  <c r="J73" i="32"/>
  <c r="K20" i="32"/>
  <c r="K64" i="32" s="1"/>
  <c r="J21" i="14"/>
  <c r="J19" i="14"/>
  <c r="J35" i="14" s="1"/>
  <c r="I40" i="14"/>
  <c r="BO4" i="4"/>
  <c r="BL4" i="4" s="1"/>
  <c r="BO7" i="4"/>
  <c r="BO11" i="4" s="1"/>
  <c r="BO12" i="4" s="1"/>
  <c r="AI4" i="4"/>
  <c r="AD4" i="4"/>
  <c r="AN4" i="4"/>
  <c r="AM4" i="4"/>
  <c r="AJ4" i="4"/>
  <c r="AL4" i="4"/>
  <c r="AG4" i="4"/>
  <c r="AC4" i="4"/>
  <c r="AC3" i="4" s="1"/>
  <c r="AK4" i="4"/>
  <c r="AE4" i="4"/>
  <c r="AH4" i="4"/>
  <c r="AF4" i="4"/>
  <c r="AO12" i="4"/>
  <c r="BB4" i="4"/>
  <c r="BB7" i="4"/>
  <c r="BB11" i="4" s="1"/>
  <c r="BB9" i="4"/>
  <c r="Q9" i="4"/>
  <c r="Q7" i="4"/>
  <c r="R3" i="4"/>
  <c r="P11" i="4"/>
  <c r="P13" i="4"/>
  <c r="D14" i="4"/>
  <c r="D12" i="4"/>
  <c r="E11" i="4"/>
  <c r="E12" i="4" s="1"/>
  <c r="E13" i="4"/>
  <c r="F9" i="4"/>
  <c r="G3" i="4"/>
  <c r="F7" i="4"/>
  <c r="AP8" i="3"/>
  <c r="BB6" i="3"/>
  <c r="AC14" i="3"/>
  <c r="AO10" i="3"/>
  <c r="C14" i="3"/>
  <c r="O10" i="3"/>
  <c r="P14" i="3"/>
  <c r="AB10" i="3"/>
  <c r="BC8" i="3"/>
  <c r="BO6" i="3"/>
  <c r="N23" i="10" l="1"/>
  <c r="N51" i="20" s="1"/>
  <c r="N24" i="10"/>
  <c r="V22" i="10"/>
  <c r="BP9" i="32"/>
  <c r="F110" i="29"/>
  <c r="G71" i="29"/>
  <c r="F72" i="29"/>
  <c r="O153" i="10"/>
  <c r="I60" i="33"/>
  <c r="I48" i="30"/>
  <c r="J63" i="30" s="1"/>
  <c r="J56" i="30" s="1"/>
  <c r="K76" i="29"/>
  <c r="K44" i="29"/>
  <c r="M27" i="29"/>
  <c r="M38" i="27" s="1"/>
  <c r="M42" i="27"/>
  <c r="M25" i="29"/>
  <c r="N50" i="29"/>
  <c r="N25" i="27"/>
  <c r="N87" i="27" s="1"/>
  <c r="N24" i="29"/>
  <c r="N26" i="29"/>
  <c r="P17" i="29"/>
  <c r="O18" i="29"/>
  <c r="BP6" i="32"/>
  <c r="BP5" i="32" s="1"/>
  <c r="BO8" i="32"/>
  <c r="BP8" i="32" s="1"/>
  <c r="BP7" i="32" s="1"/>
  <c r="P151" i="10"/>
  <c r="P153" i="10"/>
  <c r="P107" i="10"/>
  <c r="P109" i="10"/>
  <c r="P110" i="10" s="1"/>
  <c r="P111" i="10" s="1"/>
  <c r="E59" i="34"/>
  <c r="E18" i="34" s="1"/>
  <c r="J83" i="29"/>
  <c r="J46" i="29"/>
  <c r="M39" i="29"/>
  <c r="M78" i="29" s="1"/>
  <c r="M38" i="29"/>
  <c r="M89" i="29"/>
  <c r="M47" i="29"/>
  <c r="M86" i="29" s="1"/>
  <c r="L53" i="27"/>
  <c r="BT53" i="27" s="1"/>
  <c r="G57" i="34" s="1"/>
  <c r="L84" i="29"/>
  <c r="I85" i="29"/>
  <c r="I57" i="29"/>
  <c r="J64" i="30"/>
  <c r="J57" i="30" s="1"/>
  <c r="E78" i="27"/>
  <c r="E45" i="27"/>
  <c r="E82" i="27" s="1"/>
  <c r="L77" i="29"/>
  <c r="L37" i="29"/>
  <c r="L41" i="27"/>
  <c r="L89" i="27" s="1"/>
  <c r="BT89" i="27" s="1"/>
  <c r="BT42" i="27"/>
  <c r="G44" i="25" s="1"/>
  <c r="G51" i="27"/>
  <c r="G104" i="30"/>
  <c r="G106" i="30" s="1"/>
  <c r="BC7" i="32"/>
  <c r="BE44" i="28"/>
  <c r="BE93" i="28"/>
  <c r="BF36" i="28"/>
  <c r="BF91" i="28"/>
  <c r="BG34" i="28"/>
  <c r="BG84" i="28"/>
  <c r="BH85" i="28"/>
  <c r="BH27" i="28"/>
  <c r="BG103" i="28"/>
  <c r="BG57" i="28"/>
  <c r="BG114" i="28" s="1"/>
  <c r="BI28" i="28"/>
  <c r="BI29" i="28"/>
  <c r="BI86" i="28" s="1"/>
  <c r="BI35" i="28"/>
  <c r="BI92" i="28" s="1"/>
  <c r="BI18" i="28"/>
  <c r="BI50" i="28" s="1"/>
  <c r="BI52" i="28"/>
  <c r="BI109" i="28" s="1"/>
  <c r="CB109" i="28" s="1"/>
  <c r="BJ13" i="28"/>
  <c r="BJ15" i="28" s="1"/>
  <c r="BJ17" i="28" s="1"/>
  <c r="BI16" i="28"/>
  <c r="CB16" i="28" s="1"/>
  <c r="O86" i="25" s="1"/>
  <c r="O14" i="25" s="1"/>
  <c r="BH107" i="28"/>
  <c r="BH46" i="28"/>
  <c r="BI53" i="28"/>
  <c r="BI110" i="28" s="1"/>
  <c r="CB110" i="28" s="1"/>
  <c r="BI51" i="28"/>
  <c r="BI108" i="28" s="1"/>
  <c r="CB108" i="28" s="1"/>
  <c r="AR44" i="28"/>
  <c r="AR93" i="28"/>
  <c r="AS36" i="28"/>
  <c r="AS91" i="28"/>
  <c r="AT28" i="28"/>
  <c r="AT35" i="28"/>
  <c r="AT92" i="28" s="1"/>
  <c r="AT29" i="28"/>
  <c r="AT86" i="28" s="1"/>
  <c r="AU28" i="28"/>
  <c r="AU29" i="28"/>
  <c r="AU86" i="28" s="1"/>
  <c r="AU35" i="28"/>
  <c r="AU92" i="28" s="1"/>
  <c r="AT46" i="28"/>
  <c r="AT107" i="28"/>
  <c r="AU18" i="28"/>
  <c r="AU50" i="28" s="1"/>
  <c r="AU52" i="28"/>
  <c r="AU109" i="28" s="1"/>
  <c r="AV13" i="28"/>
  <c r="AU16" i="28"/>
  <c r="AU53" i="28"/>
  <c r="AU110" i="28" s="1"/>
  <c r="AU51" i="28"/>
  <c r="AU108" i="28" s="1"/>
  <c r="W15" i="10"/>
  <c r="O50" i="20"/>
  <c r="O66" i="10"/>
  <c r="P66" i="10" s="1"/>
  <c r="P67" i="10" s="1"/>
  <c r="O46" i="34"/>
  <c r="W46" i="34" s="1"/>
  <c r="W19" i="10"/>
  <c r="AE36" i="28"/>
  <c r="AE91" i="28"/>
  <c r="AF36" i="28"/>
  <c r="AF91" i="28"/>
  <c r="AG34" i="28"/>
  <c r="AG84" i="28"/>
  <c r="AH85" i="28"/>
  <c r="AH27" i="28"/>
  <c r="AG103" i="28"/>
  <c r="AG57" i="28"/>
  <c r="AG114" i="28" s="1"/>
  <c r="AI28" i="28"/>
  <c r="AI29" i="28"/>
  <c r="AI86" i="28" s="1"/>
  <c r="AI35" i="28"/>
  <c r="AI92" i="28" s="1"/>
  <c r="AI18" i="28"/>
  <c r="AI50" i="28" s="1"/>
  <c r="AI52" i="28"/>
  <c r="AI109" i="28" s="1"/>
  <c r="BX109" i="28" s="1"/>
  <c r="AJ13" i="28"/>
  <c r="AJ15" i="28" s="1"/>
  <c r="AJ17" i="28" s="1"/>
  <c r="AI16" i="28"/>
  <c r="BX16" i="28" s="1"/>
  <c r="K86" i="25" s="1"/>
  <c r="K14" i="25" s="1"/>
  <c r="AH46" i="28"/>
  <c r="AH107" i="28"/>
  <c r="AI53" i="28"/>
  <c r="AI110" i="28" s="1"/>
  <c r="BX110" i="28" s="1"/>
  <c r="AI51" i="28"/>
  <c r="AI108" i="28" s="1"/>
  <c r="BX108" i="28" s="1"/>
  <c r="R44" i="28"/>
  <c r="R93" i="28"/>
  <c r="S44" i="28"/>
  <c r="S93" i="28"/>
  <c r="T36" i="28"/>
  <c r="T91" i="28"/>
  <c r="U84" i="28"/>
  <c r="U34" i="28"/>
  <c r="V85" i="28"/>
  <c r="V27" i="28"/>
  <c r="W28" i="28"/>
  <c r="W29" i="28"/>
  <c r="W86" i="28" s="1"/>
  <c r="W35" i="28"/>
  <c r="W92" i="28" s="1"/>
  <c r="V46" i="28"/>
  <c r="V107" i="28"/>
  <c r="BV107" i="28" s="1"/>
  <c r="W53" i="28"/>
  <c r="W110" i="28" s="1"/>
  <c r="W51" i="28"/>
  <c r="W108" i="28" s="1"/>
  <c r="W18" i="28"/>
  <c r="W50" i="28" s="1"/>
  <c r="W52" i="28"/>
  <c r="W109" i="28" s="1"/>
  <c r="X13" i="28"/>
  <c r="X15" i="28" s="1"/>
  <c r="X17" i="28" s="1"/>
  <c r="W16" i="28"/>
  <c r="I14" i="25"/>
  <c r="I80" i="25"/>
  <c r="I93" i="25" s="1"/>
  <c r="U57" i="28"/>
  <c r="U114" i="28" s="1"/>
  <c r="U103" i="28"/>
  <c r="L23" i="10"/>
  <c r="L51" i="20" s="1"/>
  <c r="L24" i="10"/>
  <c r="L52" i="20" s="1"/>
  <c r="M37" i="30"/>
  <c r="M38" i="30" s="1"/>
  <c r="M43" i="27"/>
  <c r="M30" i="30"/>
  <c r="M27" i="27"/>
  <c r="M29" i="30"/>
  <c r="N20" i="30"/>
  <c r="N36" i="30" s="1"/>
  <c r="O17" i="30"/>
  <c r="N19" i="27"/>
  <c r="N22" i="30"/>
  <c r="M18" i="27"/>
  <c r="M22" i="27" s="1"/>
  <c r="M23" i="27"/>
  <c r="L33" i="30"/>
  <c r="L32" i="30"/>
  <c r="L34" i="30"/>
  <c r="L31" i="30"/>
  <c r="L31" i="27"/>
  <c r="L26" i="27"/>
  <c r="L73" i="27"/>
  <c r="BT73" i="27" s="1"/>
  <c r="K30" i="27"/>
  <c r="K64" i="27"/>
  <c r="H108" i="30"/>
  <c r="H45" i="30"/>
  <c r="E53" i="34"/>
  <c r="E8" i="34"/>
  <c r="F48" i="27"/>
  <c r="F69" i="27" s="1"/>
  <c r="F130" i="30"/>
  <c r="F131" i="30" s="1"/>
  <c r="F132" i="30" s="1"/>
  <c r="F133" i="30" s="1"/>
  <c r="H61" i="30"/>
  <c r="H59" i="30" s="1"/>
  <c r="H55" i="30"/>
  <c r="G112" i="30"/>
  <c r="G111" i="30" s="1"/>
  <c r="G35" i="27"/>
  <c r="L32" i="27"/>
  <c r="L81" i="27"/>
  <c r="BT81" i="27" s="1"/>
  <c r="L31" i="31"/>
  <c r="L32" i="31"/>
  <c r="L33" i="31"/>
  <c r="L34" i="31"/>
  <c r="M44" i="27"/>
  <c r="M29" i="31"/>
  <c r="M30" i="31"/>
  <c r="M28" i="27"/>
  <c r="N20" i="31"/>
  <c r="N36" i="31" s="1"/>
  <c r="N22" i="31"/>
  <c r="N20" i="27"/>
  <c r="N24" i="27" s="1"/>
  <c r="O17" i="31"/>
  <c r="H53" i="31"/>
  <c r="K60" i="28"/>
  <c r="K116" i="28"/>
  <c r="L59" i="28"/>
  <c r="L115" i="28"/>
  <c r="BT115" i="28" s="1"/>
  <c r="N44" i="28"/>
  <c r="N93" i="28"/>
  <c r="M93" i="28"/>
  <c r="M44" i="28"/>
  <c r="O91" i="28"/>
  <c r="BU91" i="28" s="1"/>
  <c r="O36" i="28"/>
  <c r="P34" i="28"/>
  <c r="P91" i="28" s="1"/>
  <c r="S91" i="34"/>
  <c r="H9" i="34"/>
  <c r="S9" i="34" s="1"/>
  <c r="C25" i="36" s="1"/>
  <c r="H90" i="34"/>
  <c r="S104" i="34"/>
  <c r="H16" i="34"/>
  <c r="S16" i="34" s="1"/>
  <c r="C32" i="36" s="1"/>
  <c r="Q27" i="28"/>
  <c r="Q85" i="28"/>
  <c r="O57" i="28"/>
  <c r="P46" i="28"/>
  <c r="P103" i="28" s="1"/>
  <c r="O103" i="28"/>
  <c r="BU103" i="28" s="1"/>
  <c r="J117" i="28"/>
  <c r="J61" i="28"/>
  <c r="F83" i="27"/>
  <c r="BR83" i="27" s="1"/>
  <c r="BR88" i="27"/>
  <c r="F36" i="27"/>
  <c r="F33" i="27" s="1"/>
  <c r="F112" i="31"/>
  <c r="F111" i="31" s="1"/>
  <c r="G61" i="31"/>
  <c r="G59" i="31" s="1"/>
  <c r="G55" i="31"/>
  <c r="W52" i="34"/>
  <c r="O51" i="34"/>
  <c r="W17" i="10"/>
  <c r="O41" i="34"/>
  <c r="W41" i="34" s="1"/>
  <c r="K23" i="10"/>
  <c r="K51" i="20" s="1"/>
  <c r="K24" i="10"/>
  <c r="U22" i="10"/>
  <c r="I65" i="30"/>
  <c r="I58" i="30" s="1"/>
  <c r="O185" i="6"/>
  <c r="O184" i="6"/>
  <c r="K110" i="31"/>
  <c r="BV86" i="28"/>
  <c r="I96" i="34" s="1"/>
  <c r="I95" i="34" s="1"/>
  <c r="BV92" i="28"/>
  <c r="I105" i="34" s="1"/>
  <c r="I104" i="34" s="1"/>
  <c r="I16" i="34" s="1"/>
  <c r="P177" i="6"/>
  <c r="P183" i="6" s="1"/>
  <c r="P185" i="6" s="1"/>
  <c r="M52" i="20"/>
  <c r="M105" i="31"/>
  <c r="M53" i="27" s="1"/>
  <c r="M99" i="31"/>
  <c r="W11" i="32"/>
  <c r="W15" i="27"/>
  <c r="X16" i="29"/>
  <c r="G65" i="25"/>
  <c r="G25" i="25"/>
  <c r="G23" i="25" s="1"/>
  <c r="E132" i="31"/>
  <c r="E133" i="31" s="1"/>
  <c r="F45" i="34"/>
  <c r="BP93" i="27"/>
  <c r="CC93" i="27"/>
  <c r="BP92" i="27"/>
  <c r="CC92" i="27"/>
  <c r="K73" i="32"/>
  <c r="D82" i="27"/>
  <c r="D94" i="27"/>
  <c r="J50" i="14"/>
  <c r="J52" i="14" s="1"/>
  <c r="J23" i="14"/>
  <c r="J24" i="14" s="1"/>
  <c r="E133" i="30"/>
  <c r="H79" i="32"/>
  <c r="L64" i="32"/>
  <c r="L32" i="32"/>
  <c r="L31" i="32"/>
  <c r="L75" i="32"/>
  <c r="L71" i="32"/>
  <c r="L29" i="32"/>
  <c r="L28" i="32"/>
  <c r="L27" i="32"/>
  <c r="L74" i="32"/>
  <c r="L25" i="32"/>
  <c r="L24" i="32"/>
  <c r="M19" i="32"/>
  <c r="M23" i="32"/>
  <c r="M33" i="32"/>
  <c r="M30" i="32"/>
  <c r="M26" i="32"/>
  <c r="P13" i="32"/>
  <c r="O15" i="32"/>
  <c r="N22" i="32"/>
  <c r="N18" i="32"/>
  <c r="N65" i="32" s="1"/>
  <c r="F93" i="32"/>
  <c r="G106" i="31"/>
  <c r="K65" i="31"/>
  <c r="K58" i="31" s="1"/>
  <c r="J71" i="33"/>
  <c r="K64" i="31"/>
  <c r="K57" i="31" s="1"/>
  <c r="J70" i="33"/>
  <c r="K63" i="31"/>
  <c r="K56" i="31" s="1"/>
  <c r="J69" i="33"/>
  <c r="J66" i="32"/>
  <c r="J52" i="27"/>
  <c r="E94" i="32"/>
  <c r="K34" i="32"/>
  <c r="I68" i="32"/>
  <c r="I79" i="32" s="1"/>
  <c r="K62" i="32"/>
  <c r="J42" i="14"/>
  <c r="K33" i="14"/>
  <c r="J36" i="14"/>
  <c r="I41" i="14"/>
  <c r="I44" i="14"/>
  <c r="I47" i="14" s="1"/>
  <c r="BN4" i="4"/>
  <c r="BD4" i="4"/>
  <c r="BK4" i="4"/>
  <c r="BF4" i="4"/>
  <c r="BG4" i="4"/>
  <c r="BM4" i="4"/>
  <c r="BE4" i="4"/>
  <c r="BC4" i="4"/>
  <c r="BC3" i="4" s="1"/>
  <c r="BJ4" i="4"/>
  <c r="BI4" i="4"/>
  <c r="BH4" i="4"/>
  <c r="AC7" i="4"/>
  <c r="AD3" i="4"/>
  <c r="AC9" i="4"/>
  <c r="BB12" i="4"/>
  <c r="AW4" i="4"/>
  <c r="AS4" i="4"/>
  <c r="AP4" i="4"/>
  <c r="AP3" i="4" s="1"/>
  <c r="AZ4" i="4"/>
  <c r="AQ4" i="4"/>
  <c r="AU4" i="4"/>
  <c r="AY4" i="4"/>
  <c r="AR4" i="4"/>
  <c r="AV4" i="4"/>
  <c r="AT4" i="4"/>
  <c r="AX4" i="4"/>
  <c r="BA4" i="4"/>
  <c r="S3" i="4"/>
  <c r="R9" i="4"/>
  <c r="R7" i="4"/>
  <c r="Q11" i="4"/>
  <c r="Q13" i="4"/>
  <c r="P12" i="4"/>
  <c r="P14" i="4"/>
  <c r="E14" i="4"/>
  <c r="F11" i="4"/>
  <c r="F12" i="4" s="1"/>
  <c r="F13" i="4"/>
  <c r="H3" i="4"/>
  <c r="G9" i="4"/>
  <c r="G7" i="4"/>
  <c r="BC10" i="3"/>
  <c r="BO8" i="3"/>
  <c r="Q12" i="3"/>
  <c r="Q14" i="3" s="1"/>
  <c r="R12" i="3" s="1"/>
  <c r="R14" i="3" s="1"/>
  <c r="BB8" i="3"/>
  <c r="AP10" i="3"/>
  <c r="D12" i="3"/>
  <c r="D14" i="3" s="1"/>
  <c r="AD12" i="3"/>
  <c r="AD14" i="3" s="1"/>
  <c r="N52" i="20" l="1"/>
  <c r="V52" i="20" s="1"/>
  <c r="V24" i="10"/>
  <c r="V23" i="10" s="1"/>
  <c r="V51" i="20" s="1"/>
  <c r="G110" i="29"/>
  <c r="G72" i="29"/>
  <c r="H71" i="29"/>
  <c r="F111" i="29"/>
  <c r="F73" i="29"/>
  <c r="BR73" i="29" s="1"/>
  <c r="E39" i="20" s="1"/>
  <c r="O154" i="10"/>
  <c r="P154" i="10" s="1"/>
  <c r="P155" i="10" s="1"/>
  <c r="O22" i="10"/>
  <c r="BV85" i="28"/>
  <c r="I92" i="34" s="1"/>
  <c r="I91" i="34" s="1"/>
  <c r="L110" i="30"/>
  <c r="P22" i="10"/>
  <c r="J48" i="30"/>
  <c r="J60" i="33"/>
  <c r="K46" i="29"/>
  <c r="K83" i="29"/>
  <c r="J57" i="29"/>
  <c r="J85" i="29"/>
  <c r="N47" i="29"/>
  <c r="N86" i="29" s="1"/>
  <c r="N89" i="29"/>
  <c r="N45" i="29"/>
  <c r="N84" i="29" s="1"/>
  <c r="N25" i="29"/>
  <c r="N27" i="29"/>
  <c r="N38" i="27" s="1"/>
  <c r="N42" i="27"/>
  <c r="N39" i="29"/>
  <c r="N78" i="29" s="1"/>
  <c r="N34" i="27"/>
  <c r="N38" i="29"/>
  <c r="O17" i="27"/>
  <c r="P16" i="27" s="1"/>
  <c r="O22" i="29"/>
  <c r="O20" i="29"/>
  <c r="P18" i="29"/>
  <c r="M77" i="29"/>
  <c r="M37" i="29"/>
  <c r="I96" i="29"/>
  <c r="I47" i="27"/>
  <c r="I70" i="29"/>
  <c r="J49" i="30"/>
  <c r="K64" i="30" s="1"/>
  <c r="K57" i="30" s="1"/>
  <c r="J61" i="33"/>
  <c r="L76" i="29"/>
  <c r="L44" i="29"/>
  <c r="G42" i="25"/>
  <c r="G11" i="25"/>
  <c r="G10" i="25" s="1"/>
  <c r="BR133" i="30"/>
  <c r="E42" i="20" s="1"/>
  <c r="BE58" i="28"/>
  <c r="BE115" i="28" s="1"/>
  <c r="BE101" i="28"/>
  <c r="BF44" i="28"/>
  <c r="BF93" i="28"/>
  <c r="BG36" i="28"/>
  <c r="BG91" i="28"/>
  <c r="BH34" i="28"/>
  <c r="BH84" i="28"/>
  <c r="BI85" i="28"/>
  <c r="BI27" i="28"/>
  <c r="BJ28" i="28"/>
  <c r="BJ29" i="28"/>
  <c r="BJ86" i="28" s="1"/>
  <c r="BJ35" i="28"/>
  <c r="BJ92" i="28" s="1"/>
  <c r="BJ18" i="28"/>
  <c r="BJ50" i="28" s="1"/>
  <c r="BJ52" i="28"/>
  <c r="BJ109" i="28" s="1"/>
  <c r="BK13" i="28"/>
  <c r="BJ16" i="28"/>
  <c r="BI46" i="28"/>
  <c r="BI107" i="28"/>
  <c r="CB107" i="28" s="1"/>
  <c r="BJ53" i="28"/>
  <c r="BJ110" i="28" s="1"/>
  <c r="BJ51" i="28"/>
  <c r="BJ108" i="28" s="1"/>
  <c r="BH57" i="28"/>
  <c r="BH114" i="28" s="1"/>
  <c r="BH103" i="28"/>
  <c r="AR58" i="28"/>
  <c r="AR115" i="28" s="1"/>
  <c r="AR101" i="28"/>
  <c r="AS44" i="28"/>
  <c r="AS93" i="28"/>
  <c r="AT85" i="28"/>
  <c r="AT27" i="28"/>
  <c r="AU27" i="28"/>
  <c r="AU85" i="28"/>
  <c r="AT103" i="28"/>
  <c r="AT57" i="28"/>
  <c r="AT114" i="28" s="1"/>
  <c r="AU46" i="28"/>
  <c r="AU107" i="28"/>
  <c r="AV53" i="28"/>
  <c r="AV110" i="28" s="1"/>
  <c r="BZ110" i="28" s="1"/>
  <c r="AV51" i="28"/>
  <c r="AV108" i="28" s="1"/>
  <c r="BZ108" i="28" s="1"/>
  <c r="AV15" i="28"/>
  <c r="AE44" i="28"/>
  <c r="AE93" i="28"/>
  <c r="AF44" i="28"/>
  <c r="AF93" i="28"/>
  <c r="AG91" i="28"/>
  <c r="AG36" i="28"/>
  <c r="AH84" i="28"/>
  <c r="AH34" i="28"/>
  <c r="AI27" i="28"/>
  <c r="AI85" i="28"/>
  <c r="AJ28" i="28"/>
  <c r="AJ29" i="28"/>
  <c r="AJ86" i="28" s="1"/>
  <c r="AJ35" i="28"/>
  <c r="AJ92" i="28" s="1"/>
  <c r="AJ18" i="28"/>
  <c r="AJ50" i="28" s="1"/>
  <c r="AJ52" i="28"/>
  <c r="AJ109" i="28" s="1"/>
  <c r="AK13" i="28"/>
  <c r="AK15" i="28" s="1"/>
  <c r="AK17" i="28" s="1"/>
  <c r="AJ16" i="28"/>
  <c r="AI46" i="28"/>
  <c r="AI107" i="28"/>
  <c r="BX107" i="28" s="1"/>
  <c r="AJ53" i="28"/>
  <c r="AJ110" i="28" s="1"/>
  <c r="AJ51" i="28"/>
  <c r="AJ108" i="28" s="1"/>
  <c r="AH57" i="28"/>
  <c r="AH114" i="28" s="1"/>
  <c r="AH103" i="28"/>
  <c r="R58" i="28"/>
  <c r="R115" i="28" s="1"/>
  <c r="R101" i="28"/>
  <c r="S58" i="28"/>
  <c r="S115" i="28" s="1"/>
  <c r="S101" i="28"/>
  <c r="T44" i="28"/>
  <c r="T93" i="28"/>
  <c r="U36" i="28"/>
  <c r="U91" i="28"/>
  <c r="V84" i="28"/>
  <c r="V34" i="28"/>
  <c r="W85" i="28"/>
  <c r="W27" i="28"/>
  <c r="V103" i="28"/>
  <c r="BV103" i="28" s="1"/>
  <c r="V57" i="28"/>
  <c r="V114" i="28" s="1"/>
  <c r="BV114" i="28" s="1"/>
  <c r="X28" i="28"/>
  <c r="X29" i="28"/>
  <c r="X86" i="28" s="1"/>
  <c r="X35" i="28"/>
  <c r="X92" i="28" s="1"/>
  <c r="X18" i="28"/>
  <c r="X50" i="28" s="1"/>
  <c r="Y13" i="28"/>
  <c r="Y15" i="28"/>
  <c r="Y17" i="28" s="1"/>
  <c r="X52" i="28"/>
  <c r="X109" i="28" s="1"/>
  <c r="X16" i="28"/>
  <c r="W107" i="28"/>
  <c r="W46" i="28"/>
  <c r="X53" i="28"/>
  <c r="X110" i="28" s="1"/>
  <c r="X51" i="28"/>
  <c r="X108" i="28" s="1"/>
  <c r="M33" i="30"/>
  <c r="M31" i="30"/>
  <c r="M34" i="30"/>
  <c r="M32" i="30"/>
  <c r="M26" i="27"/>
  <c r="M31" i="27"/>
  <c r="M73" i="27"/>
  <c r="N43" i="27"/>
  <c r="N37" i="30"/>
  <c r="N38" i="30" s="1"/>
  <c r="N18" i="27"/>
  <c r="N22" i="27" s="1"/>
  <c r="N23" i="27"/>
  <c r="N30" i="30"/>
  <c r="N27" i="27"/>
  <c r="N29" i="30"/>
  <c r="L30" i="27"/>
  <c r="L64" i="27"/>
  <c r="BT64" i="27" s="1"/>
  <c r="G61" i="34" s="1"/>
  <c r="I60" i="30"/>
  <c r="I53" i="30" s="1"/>
  <c r="H98" i="30"/>
  <c r="H97" i="30" s="1"/>
  <c r="E58" i="34"/>
  <c r="E15" i="34"/>
  <c r="H39" i="27"/>
  <c r="H59" i="33"/>
  <c r="H54" i="30"/>
  <c r="H47" i="30"/>
  <c r="M32" i="31"/>
  <c r="M34" i="31"/>
  <c r="M31" i="31"/>
  <c r="M33" i="31"/>
  <c r="M32" i="27"/>
  <c r="M81" i="27"/>
  <c r="N44" i="27"/>
  <c r="N30" i="31"/>
  <c r="N28" i="27"/>
  <c r="N29" i="31"/>
  <c r="H108" i="31"/>
  <c r="H45" i="31"/>
  <c r="K61" i="28"/>
  <c r="K117" i="28"/>
  <c r="L60" i="28"/>
  <c r="L116" i="28"/>
  <c r="BT116" i="28" s="1"/>
  <c r="N58" i="28"/>
  <c r="N101" i="28"/>
  <c r="M58" i="28"/>
  <c r="M59" i="28" s="1"/>
  <c r="M101" i="28"/>
  <c r="O44" i="28"/>
  <c r="P44" i="28" s="1"/>
  <c r="P101" i="28" s="1"/>
  <c r="O93" i="28"/>
  <c r="BU93" i="28" s="1"/>
  <c r="P36" i="28"/>
  <c r="P93" i="28" s="1"/>
  <c r="S90" i="34"/>
  <c r="H103" i="34"/>
  <c r="Q34" i="28"/>
  <c r="Q84" i="28"/>
  <c r="P57" i="28"/>
  <c r="P114" i="28" s="1"/>
  <c r="O114" i="28"/>
  <c r="BU114" i="28" s="1"/>
  <c r="F55" i="27"/>
  <c r="BR55" i="27" s="1"/>
  <c r="E72" i="34" s="1"/>
  <c r="E71" i="34" s="1"/>
  <c r="E19" i="34" s="1"/>
  <c r="F117" i="31"/>
  <c r="G40" i="27"/>
  <c r="G37" i="27" s="1"/>
  <c r="G47" i="31"/>
  <c r="G68" i="33"/>
  <c r="G54" i="31"/>
  <c r="W51" i="34"/>
  <c r="O14" i="34"/>
  <c r="W14" i="34" s="1"/>
  <c r="G30" i="36" s="1"/>
  <c r="U24" i="10"/>
  <c r="U23" i="10" s="1"/>
  <c r="U51" i="20" s="1"/>
  <c r="K52" i="20"/>
  <c r="U52" i="20" s="1"/>
  <c r="M41" i="27"/>
  <c r="M89" i="27" s="1"/>
  <c r="L110" i="31"/>
  <c r="P184" i="6"/>
  <c r="P186" i="6" s="1"/>
  <c r="N99" i="30"/>
  <c r="N105" i="30"/>
  <c r="P17" i="30"/>
  <c r="O18" i="30"/>
  <c r="N105" i="31"/>
  <c r="N99" i="31"/>
  <c r="P17" i="31"/>
  <c r="O18" i="31"/>
  <c r="I62" i="33"/>
  <c r="I50" i="30"/>
  <c r="X11" i="32"/>
  <c r="X15" i="27"/>
  <c r="Y16" i="29"/>
  <c r="F13" i="34"/>
  <c r="F39" i="34"/>
  <c r="F94" i="32"/>
  <c r="F95" i="32" s="1"/>
  <c r="G93" i="32"/>
  <c r="G94" i="32" s="1"/>
  <c r="G95" i="32" s="1"/>
  <c r="K50" i="31"/>
  <c r="L65" i="31" s="1"/>
  <c r="L58" i="31" s="1"/>
  <c r="L50" i="31" s="1"/>
  <c r="K71" i="33"/>
  <c r="J25" i="14"/>
  <c r="K16" i="14"/>
  <c r="F94" i="27"/>
  <c r="D95" i="27"/>
  <c r="H92" i="32"/>
  <c r="H46" i="27"/>
  <c r="L69" i="32"/>
  <c r="L73" i="32"/>
  <c r="M25" i="32"/>
  <c r="M24" i="32"/>
  <c r="M31" i="32"/>
  <c r="M74" i="32" s="1"/>
  <c r="M32" i="32"/>
  <c r="M75" i="32"/>
  <c r="M71" i="32"/>
  <c r="M29" i="32"/>
  <c r="M28" i="32"/>
  <c r="M27" i="32"/>
  <c r="Q12" i="32"/>
  <c r="Q13" i="32" s="1"/>
  <c r="O22" i="32"/>
  <c r="P22" i="32" s="1"/>
  <c r="O18" i="32"/>
  <c r="BU18" i="32" s="1"/>
  <c r="H60" i="25" s="1"/>
  <c r="P15" i="32"/>
  <c r="P14" i="32" s="1"/>
  <c r="N30" i="32"/>
  <c r="N26" i="32"/>
  <c r="N23" i="32"/>
  <c r="N33" i="32"/>
  <c r="N19" i="32"/>
  <c r="N20" i="32" s="1"/>
  <c r="G117" i="30"/>
  <c r="E95" i="32"/>
  <c r="I46" i="27"/>
  <c r="I92" i="32"/>
  <c r="K52" i="27"/>
  <c r="K66" i="32"/>
  <c r="L62" i="32"/>
  <c r="L34" i="32"/>
  <c r="M20" i="32"/>
  <c r="M64" i="32" s="1"/>
  <c r="K70" i="33"/>
  <c r="K49" i="31"/>
  <c r="K48" i="31"/>
  <c r="K69" i="33"/>
  <c r="J68" i="32"/>
  <c r="I56" i="14"/>
  <c r="I53" i="14"/>
  <c r="BD3" i="4"/>
  <c r="BE3" i="4" s="1"/>
  <c r="BC9" i="4"/>
  <c r="BC7" i="4"/>
  <c r="BC11" i="4" s="1"/>
  <c r="AP7" i="4"/>
  <c r="AP9" i="4"/>
  <c r="AQ3" i="4"/>
  <c r="AD7" i="4"/>
  <c r="AD9" i="4"/>
  <c r="AE3" i="4"/>
  <c r="AC11" i="4"/>
  <c r="AC13" i="4"/>
  <c r="BD9" i="4"/>
  <c r="BD7" i="4"/>
  <c r="Q14" i="4"/>
  <c r="Q12" i="4"/>
  <c r="R13" i="4"/>
  <c r="R11" i="4"/>
  <c r="F14" i="4"/>
  <c r="S9" i="4"/>
  <c r="S7" i="4"/>
  <c r="T3" i="4"/>
  <c r="G11" i="4"/>
  <c r="G12" i="4" s="1"/>
  <c r="G13" i="4"/>
  <c r="H9" i="4"/>
  <c r="I3" i="4"/>
  <c r="H7" i="4"/>
  <c r="AE12" i="3"/>
  <c r="AE14" i="3" s="1"/>
  <c r="AF12" i="3" s="1"/>
  <c r="AF14" i="3" s="1"/>
  <c r="AG12" i="3" s="1"/>
  <c r="AG14" i="3" s="1"/>
  <c r="AH12" i="3" s="1"/>
  <c r="AH14" i="3" s="1"/>
  <c r="AI12" i="3" s="1"/>
  <c r="AI14" i="3" s="1"/>
  <c r="AJ12" i="3" s="1"/>
  <c r="AJ14" i="3" s="1"/>
  <c r="AK12" i="3" s="1"/>
  <c r="AK14" i="3" s="1"/>
  <c r="AL12" i="3" s="1"/>
  <c r="AL14" i="3" s="1"/>
  <c r="AM12" i="3" s="1"/>
  <c r="AM14" i="3" s="1"/>
  <c r="AP14" i="3"/>
  <c r="BB10" i="3"/>
  <c r="S12" i="3"/>
  <c r="S14" i="3" s="1"/>
  <c r="T12" i="3" s="1"/>
  <c r="T14" i="3" s="1"/>
  <c r="U12" i="3" s="1"/>
  <c r="U14" i="3" s="1"/>
  <c r="V12" i="3" s="1"/>
  <c r="V14" i="3" s="1"/>
  <c r="W12" i="3" s="1"/>
  <c r="W14" i="3" s="1"/>
  <c r="X12" i="3" s="1"/>
  <c r="X14" i="3" s="1"/>
  <c r="Y12" i="3" s="1"/>
  <c r="Y14" i="3" s="1"/>
  <c r="Z12" i="3" s="1"/>
  <c r="Z14" i="3" s="1"/>
  <c r="E12" i="3"/>
  <c r="E14" i="3" s="1"/>
  <c r="BC14" i="3"/>
  <c r="BO10" i="3"/>
  <c r="G73" i="29" l="1"/>
  <c r="G111" i="29"/>
  <c r="H110" i="29"/>
  <c r="H72" i="29"/>
  <c r="O23" i="10"/>
  <c r="O51" i="20" s="1"/>
  <c r="O24" i="10"/>
  <c r="O52" i="20" s="1"/>
  <c r="W22" i="10"/>
  <c r="I9" i="34"/>
  <c r="I90" i="34"/>
  <c r="I103" i="34" s="1"/>
  <c r="I108" i="34" s="1"/>
  <c r="I121" i="34" s="1"/>
  <c r="I123" i="34" s="1"/>
  <c r="I125" i="34" s="1"/>
  <c r="P23" i="10"/>
  <c r="P51" i="20" s="1"/>
  <c r="P24" i="10"/>
  <c r="K63" i="30"/>
  <c r="K56" i="30" s="1"/>
  <c r="K60" i="33" s="1"/>
  <c r="K48" i="30"/>
  <c r="O65" i="32"/>
  <c r="P65" i="32" s="1"/>
  <c r="O25" i="27"/>
  <c r="O50" i="29"/>
  <c r="O89" i="29" s="1"/>
  <c r="P89" i="29" s="1"/>
  <c r="P22" i="29"/>
  <c r="E48" i="26" s="1"/>
  <c r="E119" i="26" s="1"/>
  <c r="O26" i="29"/>
  <c r="O24" i="29"/>
  <c r="O45" i="29" s="1"/>
  <c r="P20" i="29"/>
  <c r="P24" i="29" s="1"/>
  <c r="Q17" i="29"/>
  <c r="E43" i="26"/>
  <c r="P17" i="27"/>
  <c r="Q16" i="27" s="1"/>
  <c r="Q18" i="29"/>
  <c r="K85" i="29"/>
  <c r="K57" i="29"/>
  <c r="J96" i="29"/>
  <c r="J70" i="29"/>
  <c r="J109" i="29" s="1"/>
  <c r="J47" i="27"/>
  <c r="N77" i="29"/>
  <c r="N37" i="29"/>
  <c r="M76" i="29"/>
  <c r="M44" i="29"/>
  <c r="O87" i="27"/>
  <c r="E131" i="26"/>
  <c r="E130" i="26" s="1"/>
  <c r="P50" i="29"/>
  <c r="O47" i="29"/>
  <c r="O34" i="27"/>
  <c r="P34" i="27" s="1"/>
  <c r="O38" i="29"/>
  <c r="O39" i="29"/>
  <c r="P26" i="29"/>
  <c r="E53" i="26" s="1"/>
  <c r="O25" i="29"/>
  <c r="Q20" i="29"/>
  <c r="Q22" i="29"/>
  <c r="L83" i="29"/>
  <c r="L46" i="29"/>
  <c r="R17" i="29"/>
  <c r="R18" i="29" s="1"/>
  <c r="Q17" i="27"/>
  <c r="R16" i="27" s="1"/>
  <c r="G55" i="25"/>
  <c r="G9" i="25"/>
  <c r="I109" i="29"/>
  <c r="I71" i="29"/>
  <c r="K49" i="30"/>
  <c r="K61" i="33"/>
  <c r="BV84" i="28"/>
  <c r="BF58" i="28"/>
  <c r="BF115" i="28" s="1"/>
  <c r="BF101" i="28"/>
  <c r="BG44" i="28"/>
  <c r="BG93" i="28"/>
  <c r="BH36" i="28"/>
  <c r="BH91" i="28"/>
  <c r="BI34" i="28"/>
  <c r="BI84" i="28"/>
  <c r="BJ27" i="28"/>
  <c r="BJ85" i="28"/>
  <c r="BJ46" i="28"/>
  <c r="BJ107" i="28"/>
  <c r="BK53" i="28"/>
  <c r="BK51" i="28"/>
  <c r="BK15" i="28"/>
  <c r="BI57" i="28"/>
  <c r="BI114" i="28" s="1"/>
  <c r="CB114" i="28" s="1"/>
  <c r="BI103" i="28"/>
  <c r="CB103" i="28" s="1"/>
  <c r="AS58" i="28"/>
  <c r="AS115" i="28" s="1"/>
  <c r="AS101" i="28"/>
  <c r="AT34" i="28"/>
  <c r="AT84" i="28"/>
  <c r="AU34" i="28"/>
  <c r="AU84" i="28"/>
  <c r="AU57" i="28"/>
  <c r="AU114" i="28" s="1"/>
  <c r="AU103" i="28"/>
  <c r="AV17" i="28"/>
  <c r="AV18" i="28"/>
  <c r="AV50" i="28" s="1"/>
  <c r="AV52" i="28"/>
  <c r="AW13" i="28"/>
  <c r="AV16" i="28"/>
  <c r="BZ16" i="28" s="1"/>
  <c r="M86" i="25" s="1"/>
  <c r="M14" i="25" s="1"/>
  <c r="AE58" i="28"/>
  <c r="AE115" i="28" s="1"/>
  <c r="AE101" i="28"/>
  <c r="AF58" i="28"/>
  <c r="AF115" i="28" s="1"/>
  <c r="AF101" i="28"/>
  <c r="AG44" i="28"/>
  <c r="AG93" i="28"/>
  <c r="AH36" i="28"/>
  <c r="AH91" i="28"/>
  <c r="AI84" i="28"/>
  <c r="AI34" i="28"/>
  <c r="AJ85" i="28"/>
  <c r="AJ27" i="28"/>
  <c r="AK28" i="28"/>
  <c r="AK35" i="28"/>
  <c r="AK92" i="28" s="1"/>
  <c r="AK29" i="28"/>
  <c r="AK86" i="28" s="1"/>
  <c r="AK52" i="28"/>
  <c r="AK18" i="28"/>
  <c r="AK50" i="28" s="1"/>
  <c r="AL13" i="28"/>
  <c r="AL15" i="28" s="1"/>
  <c r="AL17" i="28" s="1"/>
  <c r="AK16" i="28"/>
  <c r="AJ107" i="28"/>
  <c r="AJ46" i="28"/>
  <c r="AK51" i="28"/>
  <c r="AK53" i="28"/>
  <c r="AI103" i="28"/>
  <c r="BX103" i="28" s="1"/>
  <c r="AI57" i="28"/>
  <c r="AI114" i="28" s="1"/>
  <c r="BX114" i="28" s="1"/>
  <c r="T58" i="28"/>
  <c r="T115" i="28" s="1"/>
  <c r="T101" i="28"/>
  <c r="U44" i="28"/>
  <c r="U93" i="28"/>
  <c r="V36" i="28"/>
  <c r="V91" i="28"/>
  <c r="W84" i="28"/>
  <c r="W34" i="28"/>
  <c r="X85" i="28"/>
  <c r="X27" i="28"/>
  <c r="Y28" i="28"/>
  <c r="Y35" i="28"/>
  <c r="Y29" i="28"/>
  <c r="X46" i="28"/>
  <c r="X107" i="28"/>
  <c r="Y51" i="28"/>
  <c r="Y53" i="28"/>
  <c r="Z13" i="28"/>
  <c r="Y18" i="28"/>
  <c r="Y52" i="28"/>
  <c r="Y16" i="28"/>
  <c r="W57" i="28"/>
  <c r="W114" i="28" s="1"/>
  <c r="W103" i="28"/>
  <c r="M30" i="27"/>
  <c r="M64" i="27"/>
  <c r="N33" i="30"/>
  <c r="N34" i="30"/>
  <c r="N32" i="30"/>
  <c r="N31" i="30"/>
  <c r="N31" i="27"/>
  <c r="N26" i="27"/>
  <c r="N73" i="27"/>
  <c r="H104" i="30"/>
  <c r="H106" i="30" s="1"/>
  <c r="E17" i="34"/>
  <c r="E83" i="34"/>
  <c r="H63" i="33"/>
  <c r="H58" i="33"/>
  <c r="H109" i="30"/>
  <c r="H107" i="30" s="1"/>
  <c r="H113" i="30"/>
  <c r="H52" i="30"/>
  <c r="I62" i="30"/>
  <c r="H46" i="30"/>
  <c r="H51" i="30" s="1"/>
  <c r="N34" i="31"/>
  <c r="N31" i="31"/>
  <c r="N32" i="31"/>
  <c r="N33" i="31"/>
  <c r="N32" i="27"/>
  <c r="N81" i="27"/>
  <c r="I60" i="31"/>
  <c r="I53" i="31" s="1"/>
  <c r="I45" i="31" s="1"/>
  <c r="H98" i="31"/>
  <c r="H97" i="31" s="1"/>
  <c r="L61" i="28"/>
  <c r="BT61" i="28" s="1"/>
  <c r="G55" i="20" s="1"/>
  <c r="L117" i="28"/>
  <c r="BT117" i="28" s="1"/>
  <c r="M116" i="28"/>
  <c r="N115" i="28"/>
  <c r="N59" i="28"/>
  <c r="M60" i="28"/>
  <c r="M115" i="28"/>
  <c r="O58" i="28"/>
  <c r="O101" i="28"/>
  <c r="BU101" i="28" s="1"/>
  <c r="H108" i="34"/>
  <c r="S103" i="34"/>
  <c r="Q36" i="28"/>
  <c r="Q91" i="28"/>
  <c r="F49" i="27"/>
  <c r="F130" i="31"/>
  <c r="F131" i="31" s="1"/>
  <c r="F132" i="31" s="1"/>
  <c r="F133" i="31" s="1"/>
  <c r="BR133" i="31" s="1"/>
  <c r="E45" i="20" s="1"/>
  <c r="G90" i="27"/>
  <c r="G88" i="27"/>
  <c r="G83" i="27" s="1"/>
  <c r="G94" i="27" s="1"/>
  <c r="H62" i="31"/>
  <c r="H61" i="31" s="1"/>
  <c r="H59" i="31" s="1"/>
  <c r="G46" i="31"/>
  <c r="G51" i="31" s="1"/>
  <c r="G67" i="33"/>
  <c r="G72" i="33"/>
  <c r="G74" i="33" s="1"/>
  <c r="G52" i="31"/>
  <c r="G113" i="31"/>
  <c r="G109" i="31"/>
  <c r="G107" i="31" s="1"/>
  <c r="O22" i="30"/>
  <c r="P18" i="30"/>
  <c r="O20" i="30"/>
  <c r="O36" i="30" s="1"/>
  <c r="O19" i="27"/>
  <c r="O20" i="27"/>
  <c r="O24" i="27" s="1"/>
  <c r="O20" i="31"/>
  <c r="O36" i="31" s="1"/>
  <c r="O22" i="31"/>
  <c r="P18" i="31"/>
  <c r="J65" i="30"/>
  <c r="J58" i="30" s="1"/>
  <c r="M110" i="30"/>
  <c r="N41" i="27"/>
  <c r="N89" i="27" s="1"/>
  <c r="M110" i="31"/>
  <c r="N53" i="27"/>
  <c r="I108" i="30"/>
  <c r="I45" i="30"/>
  <c r="Y11" i="32"/>
  <c r="Y15" i="27"/>
  <c r="Z16" i="29"/>
  <c r="BR95" i="32"/>
  <c r="E36" i="20" s="1"/>
  <c r="H65" i="25"/>
  <c r="H25" i="25"/>
  <c r="F11" i="34"/>
  <c r="F95" i="27"/>
  <c r="BR95" i="27" s="1"/>
  <c r="BR94" i="27"/>
  <c r="H73" i="29"/>
  <c r="H111" i="29"/>
  <c r="J26" i="14"/>
  <c r="J39" i="14"/>
  <c r="J43" i="14"/>
  <c r="J38" i="14"/>
  <c r="K29" i="14"/>
  <c r="L28" i="14" s="1"/>
  <c r="K18" i="14"/>
  <c r="H93" i="32"/>
  <c r="R12" i="32"/>
  <c r="R13" i="32" s="1"/>
  <c r="Q15" i="32"/>
  <c r="O23" i="32"/>
  <c r="P23" i="32" s="1"/>
  <c r="O33" i="32"/>
  <c r="P33" i="32" s="1"/>
  <c r="O30" i="32"/>
  <c r="P30" i="32" s="1"/>
  <c r="O26" i="32"/>
  <c r="P26" i="32" s="1"/>
  <c r="P18" i="32"/>
  <c r="O19" i="32"/>
  <c r="N32" i="32"/>
  <c r="N31" i="32"/>
  <c r="N74" i="32" s="1"/>
  <c r="N75" i="32"/>
  <c r="N71" i="32"/>
  <c r="N69" i="32" s="1"/>
  <c r="N29" i="32"/>
  <c r="N28" i="32"/>
  <c r="N27" i="32"/>
  <c r="N25" i="32"/>
  <c r="N24" i="32"/>
  <c r="N64" i="32"/>
  <c r="N62" i="32" s="1"/>
  <c r="G48" i="27"/>
  <c r="G130" i="30"/>
  <c r="L71" i="33"/>
  <c r="M65" i="31"/>
  <c r="M58" i="31" s="1"/>
  <c r="L66" i="32"/>
  <c r="L68" i="32" s="1"/>
  <c r="L79" i="32" s="1"/>
  <c r="L52" i="27"/>
  <c r="BT52" i="27" s="1"/>
  <c r="G50" i="34" s="1"/>
  <c r="L64" i="31"/>
  <c r="L57" i="31" s="1"/>
  <c r="L49" i="31" s="1"/>
  <c r="L63" i="31"/>
  <c r="L56" i="31" s="1"/>
  <c r="L48" i="31" s="1"/>
  <c r="L63" i="30"/>
  <c r="L56" i="30" s="1"/>
  <c r="L48" i="30" s="1"/>
  <c r="J79" i="32"/>
  <c r="M34" i="32"/>
  <c r="M73" i="32"/>
  <c r="M69" i="32"/>
  <c r="K68" i="32"/>
  <c r="K79" i="32" s="1"/>
  <c r="M62" i="32"/>
  <c r="I54" i="14"/>
  <c r="I57" i="14"/>
  <c r="I58" i="14" s="1"/>
  <c r="I55" i="14"/>
  <c r="BC13" i="4"/>
  <c r="AD13" i="4"/>
  <c r="AD11" i="4"/>
  <c r="AP13" i="4"/>
  <c r="AP11" i="4"/>
  <c r="AC14" i="4"/>
  <c r="AC12" i="4"/>
  <c r="AE9" i="4"/>
  <c r="AF3" i="4"/>
  <c r="AE7" i="4"/>
  <c r="AR3" i="4"/>
  <c r="AQ9" i="4"/>
  <c r="AQ7" i="4"/>
  <c r="G14" i="4"/>
  <c r="BC12" i="4"/>
  <c r="BC14" i="4"/>
  <c r="T7" i="4"/>
  <c r="U3" i="4"/>
  <c r="T9" i="4"/>
  <c r="BF3" i="4"/>
  <c r="BE9" i="4"/>
  <c r="BE7" i="4"/>
  <c r="S13" i="4"/>
  <c r="S11" i="4"/>
  <c r="R14" i="4"/>
  <c r="R12" i="4"/>
  <c r="BD11" i="4"/>
  <c r="BD13" i="4"/>
  <c r="H11" i="4"/>
  <c r="H12" i="4" s="1"/>
  <c r="H13" i="4"/>
  <c r="I9" i="4"/>
  <c r="J3" i="4"/>
  <c r="I7" i="4"/>
  <c r="AA12" i="3"/>
  <c r="AB12" i="3" s="1"/>
  <c r="BD12" i="3"/>
  <c r="BD14" i="3" s="1"/>
  <c r="BE12" i="3" s="1"/>
  <c r="BE14" i="3" s="1"/>
  <c r="AQ12" i="3"/>
  <c r="AQ14" i="3" s="1"/>
  <c r="AR12" i="3" s="1"/>
  <c r="AR14" i="3" s="1"/>
  <c r="AS12" i="3" s="1"/>
  <c r="AS14" i="3" s="1"/>
  <c r="F12" i="3"/>
  <c r="F14" i="3" s="1"/>
  <c r="AN12" i="3"/>
  <c r="AO12" i="3" s="1"/>
  <c r="P52" i="20" l="1"/>
  <c r="W52" i="20" s="1"/>
  <c r="W24" i="10"/>
  <c r="W23" i="10" s="1"/>
  <c r="W51" i="20" s="1"/>
  <c r="C69" i="36"/>
  <c r="S12" i="20"/>
  <c r="O42" i="27"/>
  <c r="BU42" i="27" s="1"/>
  <c r="H44" i="25" s="1"/>
  <c r="H11" i="25" s="1"/>
  <c r="S11" i="25" s="1"/>
  <c r="C74" i="36" s="1"/>
  <c r="J40" i="14"/>
  <c r="J44" i="14" s="1"/>
  <c r="J47" i="14" s="1"/>
  <c r="H55" i="31"/>
  <c r="O27" i="29"/>
  <c r="O38" i="27" s="1"/>
  <c r="P38" i="27" s="1"/>
  <c r="P25" i="27"/>
  <c r="P25" i="29"/>
  <c r="G95" i="27"/>
  <c r="N110" i="30"/>
  <c r="J71" i="29"/>
  <c r="E117" i="26"/>
  <c r="C68" i="36" s="1"/>
  <c r="E46" i="26"/>
  <c r="E50" i="26" s="1"/>
  <c r="E51" i="26" s="1"/>
  <c r="E52" i="26" s="1"/>
  <c r="K96" i="29"/>
  <c r="K70" i="29"/>
  <c r="K47" i="27"/>
  <c r="J76" i="27"/>
  <c r="J59" i="27"/>
  <c r="J68" i="27"/>
  <c r="N76" i="29"/>
  <c r="N44" i="29"/>
  <c r="O84" i="29"/>
  <c r="P84" i="29" s="1"/>
  <c r="P45" i="29"/>
  <c r="M83" i="29"/>
  <c r="M46" i="29"/>
  <c r="P87" i="27"/>
  <c r="BU87" i="27"/>
  <c r="O86" i="29"/>
  <c r="P86" i="29" s="1"/>
  <c r="P47" i="29"/>
  <c r="O77" i="29"/>
  <c r="P77" i="29" s="1"/>
  <c r="O37" i="29"/>
  <c r="P38" i="29"/>
  <c r="P39" i="29"/>
  <c r="O78" i="29"/>
  <c r="P78" i="29" s="1"/>
  <c r="P27" i="29"/>
  <c r="P42" i="27"/>
  <c r="Q24" i="29"/>
  <c r="Q26" i="29"/>
  <c r="Q50" i="29"/>
  <c r="Q25" i="27"/>
  <c r="Q87" i="27" s="1"/>
  <c r="R20" i="29"/>
  <c r="S17" i="29"/>
  <c r="S18" i="29" s="1"/>
  <c r="R22" i="29"/>
  <c r="R17" i="27"/>
  <c r="S16" i="27" s="1"/>
  <c r="L57" i="29"/>
  <c r="L85" i="29"/>
  <c r="S11" i="20"/>
  <c r="I110" i="29"/>
  <c r="I72" i="29"/>
  <c r="I73" i="29" s="1"/>
  <c r="BS73" i="29" s="1"/>
  <c r="F39" i="20" s="1"/>
  <c r="L64" i="30"/>
  <c r="L57" i="30" s="1"/>
  <c r="N110" i="31"/>
  <c r="I61" i="30"/>
  <c r="I59" i="30" s="1"/>
  <c r="I55" i="30"/>
  <c r="BG58" i="28"/>
  <c r="BG115" i="28" s="1"/>
  <c r="BG101" i="28"/>
  <c r="BH44" i="28"/>
  <c r="BH93" i="28"/>
  <c r="BI36" i="28"/>
  <c r="BI91" i="28"/>
  <c r="BJ84" i="28"/>
  <c r="BJ34" i="28"/>
  <c r="BJ103" i="28"/>
  <c r="BJ57" i="28"/>
  <c r="BJ114" i="28" s="1"/>
  <c r="BK110" i="28"/>
  <c r="BK108" i="28"/>
  <c r="BK17" i="28"/>
  <c r="BK52" i="28"/>
  <c r="BK18" i="28"/>
  <c r="BK50" i="28" s="1"/>
  <c r="BL13" i="28"/>
  <c r="BL15" i="28" s="1"/>
  <c r="BL17" i="28" s="1"/>
  <c r="BK16" i="28"/>
  <c r="AT91" i="28"/>
  <c r="AT36" i="28"/>
  <c r="AU36" i="28"/>
  <c r="AU91" i="28"/>
  <c r="AV35" i="28"/>
  <c r="AV92" i="28" s="1"/>
  <c r="AV29" i="28"/>
  <c r="AV86" i="28" s="1"/>
  <c r="AV28" i="28"/>
  <c r="AV46" i="28"/>
  <c r="AV107" i="28"/>
  <c r="BZ107" i="28" s="1"/>
  <c r="AV109" i="28"/>
  <c r="BZ109" i="28" s="1"/>
  <c r="AW53" i="28"/>
  <c r="AW51" i="28"/>
  <c r="AW15" i="28"/>
  <c r="AG58" i="28"/>
  <c r="AG115" i="28" s="1"/>
  <c r="AG101" i="28"/>
  <c r="AH93" i="28"/>
  <c r="AH44" i="28"/>
  <c r="AI36" i="28"/>
  <c r="AI91" i="28"/>
  <c r="AJ34" i="28"/>
  <c r="AJ84" i="28"/>
  <c r="AK85" i="28"/>
  <c r="AK27" i="28"/>
  <c r="AL29" i="28"/>
  <c r="AL86" i="28" s="1"/>
  <c r="AL28" i="28"/>
  <c r="AL35" i="28"/>
  <c r="AL92" i="28" s="1"/>
  <c r="AL52" i="28"/>
  <c r="AL109" i="28" s="1"/>
  <c r="AL18" i="28"/>
  <c r="AL50" i="28" s="1"/>
  <c r="AM13" i="28"/>
  <c r="AM15" i="28" s="1"/>
  <c r="AM17" i="28" s="1"/>
  <c r="AL16" i="28"/>
  <c r="AK109" i="28"/>
  <c r="AK46" i="28"/>
  <c r="AK107" i="28"/>
  <c r="AL53" i="28"/>
  <c r="AL110" i="28" s="1"/>
  <c r="AL51" i="28"/>
  <c r="AL108" i="28" s="1"/>
  <c r="AJ57" i="28"/>
  <c r="AJ114" i="28" s="1"/>
  <c r="AJ103" i="28"/>
  <c r="AK108" i="28"/>
  <c r="AK110" i="28"/>
  <c r="U58" i="28"/>
  <c r="U115" i="28" s="1"/>
  <c r="U101" i="28"/>
  <c r="V44" i="28"/>
  <c r="V93" i="28"/>
  <c r="W36" i="28"/>
  <c r="W91" i="28"/>
  <c r="X34" i="28"/>
  <c r="X84" i="28"/>
  <c r="Y27" i="28"/>
  <c r="Y85" i="28"/>
  <c r="Y92" i="28"/>
  <c r="Y86" i="28"/>
  <c r="X57" i="28"/>
  <c r="X114" i="28" s="1"/>
  <c r="X103" i="28"/>
  <c r="Y108" i="28"/>
  <c r="Y110" i="28"/>
  <c r="Z51" i="28"/>
  <c r="Z53" i="28"/>
  <c r="Y50" i="28"/>
  <c r="Y109" i="28"/>
  <c r="N30" i="27"/>
  <c r="N64" i="27"/>
  <c r="E22" i="34"/>
  <c r="E26" i="34" s="1"/>
  <c r="E28" i="34" s="1"/>
  <c r="E35" i="25" s="1"/>
  <c r="E85" i="34"/>
  <c r="E87" i="34" s="1"/>
  <c r="H112" i="30"/>
  <c r="H111" i="30" s="1"/>
  <c r="H35" i="27"/>
  <c r="I98" i="31"/>
  <c r="I97" i="31" s="1"/>
  <c r="I104" i="31" s="1"/>
  <c r="J60" i="31"/>
  <c r="I108" i="31"/>
  <c r="M117" i="28"/>
  <c r="M61" i="28"/>
  <c r="O115" i="28"/>
  <c r="BU115" i="28" s="1"/>
  <c r="S108" i="34"/>
  <c r="H121" i="34"/>
  <c r="Q44" i="28"/>
  <c r="Q93" i="28"/>
  <c r="F45" i="27"/>
  <c r="F82" i="27" s="1"/>
  <c r="F78" i="27"/>
  <c r="H40" i="27"/>
  <c r="H37" i="27" s="1"/>
  <c r="H54" i="31"/>
  <c r="H68" i="33"/>
  <c r="H47" i="31"/>
  <c r="G112" i="31"/>
  <c r="G111" i="31" s="1"/>
  <c r="G36" i="27"/>
  <c r="G33" i="27" s="1"/>
  <c r="G54" i="27"/>
  <c r="O29" i="30"/>
  <c r="O27" i="27"/>
  <c r="O30" i="30"/>
  <c r="P19" i="27"/>
  <c r="E66" i="26"/>
  <c r="P20" i="30"/>
  <c r="P36" i="30" s="1"/>
  <c r="P22" i="30"/>
  <c r="Q17" i="30"/>
  <c r="Q18" i="30" s="1"/>
  <c r="O105" i="30"/>
  <c r="O99" i="30"/>
  <c r="P99" i="30" s="1"/>
  <c r="P77" i="30" s="1"/>
  <c r="O43" i="27"/>
  <c r="O37" i="30"/>
  <c r="O38" i="30" s="1"/>
  <c r="O23" i="27"/>
  <c r="O18" i="27"/>
  <c r="O22" i="27" s="1"/>
  <c r="O105" i="31"/>
  <c r="P105" i="31" s="1"/>
  <c r="O99" i="31"/>
  <c r="P99" i="31" s="1"/>
  <c r="P77" i="31" s="1"/>
  <c r="O44" i="27"/>
  <c r="O29" i="31"/>
  <c r="O30" i="31"/>
  <c r="O28" i="27"/>
  <c r="P20" i="31"/>
  <c r="P36" i="31" s="1"/>
  <c r="P22" i="31"/>
  <c r="P20" i="27"/>
  <c r="P24" i="27" s="1"/>
  <c r="E88" i="26"/>
  <c r="E91" i="26" s="1"/>
  <c r="E95" i="26" s="1"/>
  <c r="Q17" i="31"/>
  <c r="Q18" i="31" s="1"/>
  <c r="J62" i="33"/>
  <c r="J50" i="30"/>
  <c r="J60" i="30"/>
  <c r="J53" i="30"/>
  <c r="I98" i="30"/>
  <c r="I97" i="30" s="1"/>
  <c r="BV91" i="28"/>
  <c r="Z15" i="28"/>
  <c r="H104" i="31"/>
  <c r="H106" i="31" s="1"/>
  <c r="H51" i="27"/>
  <c r="N116" i="28"/>
  <c r="N60" i="28"/>
  <c r="O59" i="28"/>
  <c r="P58" i="28"/>
  <c r="Z11" i="32"/>
  <c r="Z15" i="27"/>
  <c r="AA16" i="29"/>
  <c r="H23" i="25"/>
  <c r="S23" i="25" s="1"/>
  <c r="S25" i="25"/>
  <c r="C85" i="36" s="1"/>
  <c r="H94" i="32"/>
  <c r="H95" i="32" s="1"/>
  <c r="I93" i="32"/>
  <c r="I94" i="32" s="1"/>
  <c r="I95" i="32" s="1"/>
  <c r="G45" i="34"/>
  <c r="N73" i="32"/>
  <c r="J41" i="14"/>
  <c r="K21" i="14"/>
  <c r="K19" i="14"/>
  <c r="Q22" i="32"/>
  <c r="Q18" i="32"/>
  <c r="S12" i="32"/>
  <c r="S13" i="32" s="1"/>
  <c r="R15" i="32"/>
  <c r="O25" i="32"/>
  <c r="P25" i="32" s="1"/>
  <c r="O24" i="32"/>
  <c r="P24" i="32" s="1"/>
  <c r="O31" i="32"/>
  <c r="O32" i="32"/>
  <c r="P32" i="32" s="1"/>
  <c r="O75" i="32"/>
  <c r="P75" i="32" s="1"/>
  <c r="O71" i="32"/>
  <c r="O29" i="32"/>
  <c r="P29" i="32" s="1"/>
  <c r="O28" i="32"/>
  <c r="P28" i="32" s="1"/>
  <c r="O27" i="32"/>
  <c r="P27" i="32" s="1"/>
  <c r="N34" i="32"/>
  <c r="N52" i="27"/>
  <c r="N66" i="32"/>
  <c r="N68" i="32" s="1"/>
  <c r="G69" i="27"/>
  <c r="G131" i="30"/>
  <c r="L92" i="32"/>
  <c r="L46" i="27"/>
  <c r="M64" i="31"/>
  <c r="M57" i="31" s="1"/>
  <c r="L70" i="33"/>
  <c r="M63" i="31"/>
  <c r="M56" i="31" s="1"/>
  <c r="L69" i="33"/>
  <c r="M63" i="30"/>
  <c r="M56" i="30" s="1"/>
  <c r="L60" i="33"/>
  <c r="J46" i="27"/>
  <c r="J92" i="32"/>
  <c r="K46" i="27"/>
  <c r="K92" i="32"/>
  <c r="M52" i="27"/>
  <c r="M66" i="32"/>
  <c r="P19" i="32"/>
  <c r="O20" i="32"/>
  <c r="P20" i="32" s="1"/>
  <c r="O64" i="32"/>
  <c r="M50" i="31"/>
  <c r="M71" i="33"/>
  <c r="G112" i="22"/>
  <c r="G172" i="22" s="1"/>
  <c r="F112" i="22"/>
  <c r="F172" i="22" s="1"/>
  <c r="AR9" i="4"/>
  <c r="AS3" i="4"/>
  <c r="AR7" i="4"/>
  <c r="AD14" i="4"/>
  <c r="AD12" i="4"/>
  <c r="AF9" i="4"/>
  <c r="AF7" i="4"/>
  <c r="AG3" i="4"/>
  <c r="AQ11" i="4"/>
  <c r="AQ13" i="4"/>
  <c r="AP14" i="4"/>
  <c r="AP12" i="4"/>
  <c r="AE13" i="4"/>
  <c r="AE11" i="4"/>
  <c r="AN14" i="3"/>
  <c r="AO14" i="3" s="1"/>
  <c r="BD12" i="4"/>
  <c r="BD14" i="4"/>
  <c r="BE13" i="4"/>
  <c r="BE11" i="4"/>
  <c r="BF9" i="4"/>
  <c r="BG3" i="4"/>
  <c r="BF7" i="4"/>
  <c r="U7" i="4"/>
  <c r="U9" i="4"/>
  <c r="V3" i="4"/>
  <c r="AA14" i="3"/>
  <c r="AB14" i="3" s="1"/>
  <c r="T13" i="4"/>
  <c r="T11" i="4"/>
  <c r="S12" i="4"/>
  <c r="S14" i="4"/>
  <c r="H14" i="4"/>
  <c r="I11" i="4"/>
  <c r="I12" i="4" s="1"/>
  <c r="I13" i="4"/>
  <c r="J9" i="4"/>
  <c r="J7" i="4"/>
  <c r="K3" i="4"/>
  <c r="AT12" i="3"/>
  <c r="AT14" i="3" s="1"/>
  <c r="AU12" i="3" s="1"/>
  <c r="AU14" i="3" s="1"/>
  <c r="AV12" i="3" s="1"/>
  <c r="AV14" i="3" s="1"/>
  <c r="BF12" i="3"/>
  <c r="BF14" i="3" s="1"/>
  <c r="G12" i="3"/>
  <c r="G14" i="3" s="1"/>
  <c r="I111" i="29" l="1"/>
  <c r="E8" i="25"/>
  <c r="E21" i="25" s="1"/>
  <c r="E31" i="25"/>
  <c r="E33" i="25" s="1"/>
  <c r="K71" i="29"/>
  <c r="K110" i="29" s="1"/>
  <c r="J110" i="29"/>
  <c r="J72" i="29"/>
  <c r="K109" i="29"/>
  <c r="K76" i="27"/>
  <c r="K68" i="27"/>
  <c r="K59" i="27"/>
  <c r="N83" i="29"/>
  <c r="N46" i="29"/>
  <c r="M85" i="29"/>
  <c r="M57" i="29"/>
  <c r="O76" i="29"/>
  <c r="P76" i="29" s="1"/>
  <c r="O44" i="29"/>
  <c r="P37" i="29"/>
  <c r="Q45" i="29"/>
  <c r="Q84" i="29" s="1"/>
  <c r="Q25" i="29"/>
  <c r="Q42" i="27"/>
  <c r="Q27" i="29"/>
  <c r="Q38" i="27" s="1"/>
  <c r="Q38" i="29"/>
  <c r="Q77" i="29" s="1"/>
  <c r="Q34" i="27"/>
  <c r="Q39" i="29"/>
  <c r="Q89" i="29"/>
  <c r="Q47" i="29"/>
  <c r="Q86" i="29" s="1"/>
  <c r="R26" i="29"/>
  <c r="R24" i="29"/>
  <c r="T17" i="29"/>
  <c r="T18" i="29" s="1"/>
  <c r="S22" i="29"/>
  <c r="S17" i="27"/>
  <c r="T16" i="27" s="1"/>
  <c r="S20" i="29"/>
  <c r="R25" i="27"/>
  <c r="R87" i="27" s="1"/>
  <c r="R50" i="29"/>
  <c r="L47" i="27"/>
  <c r="L70" i="29"/>
  <c r="L96" i="29"/>
  <c r="G55" i="27"/>
  <c r="G117" i="31"/>
  <c r="L49" i="30"/>
  <c r="M64" i="30" s="1"/>
  <c r="M57" i="30" s="1"/>
  <c r="L61" i="33"/>
  <c r="BV93" i="28"/>
  <c r="I39" i="27"/>
  <c r="I47" i="30"/>
  <c r="I59" i="33"/>
  <c r="I54" i="30"/>
  <c r="BH101" i="28"/>
  <c r="BH58" i="28"/>
  <c r="BH115" i="28" s="1"/>
  <c r="BI93" i="28"/>
  <c r="BI44" i="28"/>
  <c r="BJ36" i="28"/>
  <c r="BJ91" i="28"/>
  <c r="BK35" i="28"/>
  <c r="BK92" i="28" s="1"/>
  <c r="BK29" i="28"/>
  <c r="BK86" i="28" s="1"/>
  <c r="BK28" i="28"/>
  <c r="BL28" i="28"/>
  <c r="BL29" i="28"/>
  <c r="BL86" i="28" s="1"/>
  <c r="BL35" i="28"/>
  <c r="BL92" i="28" s="1"/>
  <c r="BL18" i="28"/>
  <c r="BL50" i="28" s="1"/>
  <c r="BM13" i="28"/>
  <c r="BL52" i="28"/>
  <c r="BL109" i="28" s="1"/>
  <c r="BL16" i="28"/>
  <c r="BK109" i="28"/>
  <c r="BK46" i="28"/>
  <c r="BK107" i="28"/>
  <c r="BL53" i="28"/>
  <c r="BL51" i="28"/>
  <c r="AT44" i="28"/>
  <c r="AT93" i="28"/>
  <c r="AU44" i="28"/>
  <c r="AU93" i="28"/>
  <c r="AV27" i="28"/>
  <c r="AV85" i="28"/>
  <c r="AV57" i="28"/>
  <c r="AV114" i="28" s="1"/>
  <c r="BZ114" i="28" s="1"/>
  <c r="AV103" i="28"/>
  <c r="BZ103" i="28" s="1"/>
  <c r="AW110" i="28"/>
  <c r="AW108" i="28"/>
  <c r="AW17" i="28"/>
  <c r="AW18" i="28"/>
  <c r="AW50" i="28" s="1"/>
  <c r="AW52" i="28"/>
  <c r="AX13" i="28"/>
  <c r="AX15" i="28" s="1"/>
  <c r="AX17" i="28" s="1"/>
  <c r="AW16" i="28"/>
  <c r="AH58" i="28"/>
  <c r="AH115" i="28" s="1"/>
  <c r="AH101" i="28"/>
  <c r="AI44" i="28"/>
  <c r="AI93" i="28"/>
  <c r="AJ36" i="28"/>
  <c r="AJ91" i="28"/>
  <c r="AK34" i="28"/>
  <c r="AK84" i="28"/>
  <c r="AL85" i="28"/>
  <c r="AL27" i="28"/>
  <c r="AM28" i="28"/>
  <c r="AM29" i="28"/>
  <c r="AM86" i="28" s="1"/>
  <c r="AM35" i="28"/>
  <c r="AM92" i="28" s="1"/>
  <c r="AN13" i="28"/>
  <c r="AN15" i="28" s="1"/>
  <c r="AN17" i="28" s="1"/>
  <c r="AM18" i="28"/>
  <c r="AM50" i="28" s="1"/>
  <c r="AM52" i="28"/>
  <c r="AM16" i="28"/>
  <c r="AL46" i="28"/>
  <c r="AL107" i="28"/>
  <c r="AM53" i="28"/>
  <c r="AM51" i="28"/>
  <c r="AK57" i="28"/>
  <c r="AK114" i="28" s="1"/>
  <c r="AK103" i="28"/>
  <c r="V58" i="28"/>
  <c r="V115" i="28" s="1"/>
  <c r="V101" i="28"/>
  <c r="W44" i="28"/>
  <c r="W93" i="28"/>
  <c r="X36" i="28"/>
  <c r="X91" i="28"/>
  <c r="Y84" i="28"/>
  <c r="Y34" i="28"/>
  <c r="Y46" i="28"/>
  <c r="Y107" i="28"/>
  <c r="H117" i="30"/>
  <c r="J53" i="31"/>
  <c r="S121" i="34"/>
  <c r="H123" i="34"/>
  <c r="Q58" i="28"/>
  <c r="Q101" i="28"/>
  <c r="H90" i="27"/>
  <c r="H88" i="27"/>
  <c r="H52" i="31"/>
  <c r="H109" i="31"/>
  <c r="H107" i="31" s="1"/>
  <c r="H54" i="27" s="1"/>
  <c r="H113" i="31"/>
  <c r="H72" i="33"/>
  <c r="H74" i="33" s="1"/>
  <c r="H67" i="33"/>
  <c r="H46" i="31"/>
  <c r="H51" i="31" s="1"/>
  <c r="I62" i="31"/>
  <c r="O26" i="27"/>
  <c r="O31" i="27"/>
  <c r="O73" i="27"/>
  <c r="O31" i="30"/>
  <c r="O33" i="30"/>
  <c r="O34" i="30"/>
  <c r="O32" i="30"/>
  <c r="Q19" i="27"/>
  <c r="R17" i="30"/>
  <c r="R18" i="30" s="1"/>
  <c r="Q22" i="30"/>
  <c r="Q20" i="30"/>
  <c r="Q36" i="30" s="1"/>
  <c r="P23" i="27"/>
  <c r="P18" i="27"/>
  <c r="P22" i="27" s="1"/>
  <c r="E99" i="26"/>
  <c r="E69" i="26"/>
  <c r="P37" i="30"/>
  <c r="P38" i="30" s="1"/>
  <c r="P27" i="27"/>
  <c r="P29" i="30"/>
  <c r="E71" i="26"/>
  <c r="P30" i="30"/>
  <c r="O53" i="27"/>
  <c r="P105" i="30"/>
  <c r="O41" i="27"/>
  <c r="O89" i="27" s="1"/>
  <c r="BU43" i="27"/>
  <c r="H45" i="25" s="1"/>
  <c r="P43" i="27"/>
  <c r="P44" i="27"/>
  <c r="BU44" i="27"/>
  <c r="H46" i="25" s="1"/>
  <c r="H13" i="25" s="1"/>
  <c r="S13" i="25" s="1"/>
  <c r="C76" i="36" s="1"/>
  <c r="O31" i="31"/>
  <c r="O33" i="31"/>
  <c r="O34" i="31"/>
  <c r="O32" i="31"/>
  <c r="O32" i="27"/>
  <c r="O81" i="27"/>
  <c r="P29" i="31"/>
  <c r="P30" i="31"/>
  <c r="E93" i="26"/>
  <c r="P28" i="27"/>
  <c r="P32" i="27" s="1"/>
  <c r="Q20" i="27"/>
  <c r="Q24" i="27" s="1"/>
  <c r="R17" i="31"/>
  <c r="R18" i="31" s="1"/>
  <c r="Q20" i="31"/>
  <c r="Q36" i="31" s="1"/>
  <c r="Q22" i="31"/>
  <c r="K65" i="30"/>
  <c r="K58" i="30" s="1"/>
  <c r="J108" i="30"/>
  <c r="J45" i="30"/>
  <c r="I51" i="27"/>
  <c r="BS51" i="27" s="1"/>
  <c r="F38" i="34" s="1"/>
  <c r="F35" i="34" s="1"/>
  <c r="I104" i="30"/>
  <c r="I106" i="30" s="1"/>
  <c r="Z18" i="28"/>
  <c r="AA13" i="28"/>
  <c r="AA15" i="28"/>
  <c r="AA17" i="28" s="1"/>
  <c r="Z16" i="28"/>
  <c r="Z52" i="28"/>
  <c r="Z17" i="28"/>
  <c r="N117" i="28"/>
  <c r="N61" i="28"/>
  <c r="Z108" i="28"/>
  <c r="Z110" i="28"/>
  <c r="O116" i="28"/>
  <c r="BU116" i="28" s="1"/>
  <c r="O60" i="28"/>
  <c r="P59" i="28"/>
  <c r="P116" i="28" s="1"/>
  <c r="P115" i="28"/>
  <c r="BS95" i="32"/>
  <c r="F36" i="20" s="1"/>
  <c r="AA11" i="32"/>
  <c r="AA15" i="27"/>
  <c r="AB16" i="29"/>
  <c r="C83" i="36"/>
  <c r="C56" i="36"/>
  <c r="C55" i="36" s="1"/>
  <c r="C82" i="36"/>
  <c r="G39" i="34"/>
  <c r="G13" i="34"/>
  <c r="N79" i="32"/>
  <c r="T24" i="34"/>
  <c r="T122" i="34"/>
  <c r="U24" i="34"/>
  <c r="U122" i="34"/>
  <c r="V24" i="34"/>
  <c r="V122" i="34"/>
  <c r="W24" i="34"/>
  <c r="W122" i="34"/>
  <c r="G132" i="30"/>
  <c r="G133" i="30" s="1"/>
  <c r="J53" i="14"/>
  <c r="J56" i="14"/>
  <c r="K23" i="14"/>
  <c r="K24" i="14" s="1"/>
  <c r="K35" i="14"/>
  <c r="K50" i="14"/>
  <c r="K52" i="14" s="1"/>
  <c r="Q23" i="32"/>
  <c r="Q33" i="32"/>
  <c r="Q30" i="32"/>
  <c r="Q26" i="32"/>
  <c r="Q65" i="32"/>
  <c r="Q19" i="32"/>
  <c r="Q20" i="32" s="1"/>
  <c r="R18" i="32"/>
  <c r="R65" i="32" s="1"/>
  <c r="R22" i="32"/>
  <c r="T12" i="32"/>
  <c r="T13" i="32" s="1"/>
  <c r="S15" i="32"/>
  <c r="P71" i="32"/>
  <c r="O69" i="32"/>
  <c r="P69" i="32" s="1"/>
  <c r="I106" i="31"/>
  <c r="L75" i="27"/>
  <c r="L67" i="27"/>
  <c r="L58" i="27"/>
  <c r="J75" i="27"/>
  <c r="J67" i="27"/>
  <c r="J58" i="27"/>
  <c r="J93" i="32"/>
  <c r="K75" i="27"/>
  <c r="K67" i="27"/>
  <c r="K58" i="27"/>
  <c r="M68" i="32"/>
  <c r="P64" i="32"/>
  <c r="O62" i="32"/>
  <c r="N65" i="31"/>
  <c r="N58" i="31" s="1"/>
  <c r="N50" i="31" s="1"/>
  <c r="O34" i="32"/>
  <c r="P31" i="32"/>
  <c r="P34" i="32" s="1"/>
  <c r="O74" i="32"/>
  <c r="M49" i="31"/>
  <c r="M70" i="33"/>
  <c r="M48" i="31"/>
  <c r="M69" i="33"/>
  <c r="M48" i="30"/>
  <c r="M60" i="33"/>
  <c r="AR11" i="4"/>
  <c r="AR13" i="4"/>
  <c r="AG9" i="4"/>
  <c r="AG7" i="4"/>
  <c r="AH3" i="4"/>
  <c r="AF13" i="4"/>
  <c r="AF11" i="4"/>
  <c r="AS9" i="4"/>
  <c r="AT3" i="4"/>
  <c r="AS7" i="4"/>
  <c r="AE14" i="4"/>
  <c r="AE12" i="4"/>
  <c r="AQ12" i="4"/>
  <c r="AQ14" i="4"/>
  <c r="I14" i="4"/>
  <c r="BH3" i="4"/>
  <c r="BG7" i="4"/>
  <c r="BG9" i="4"/>
  <c r="U13" i="4"/>
  <c r="U11" i="4"/>
  <c r="T12" i="4"/>
  <c r="T14" i="4"/>
  <c r="BE12" i="4"/>
  <c r="BE14" i="4"/>
  <c r="V7" i="4"/>
  <c r="W3" i="4"/>
  <c r="V9" i="4"/>
  <c r="BF13" i="4"/>
  <c r="BF11" i="4"/>
  <c r="J11" i="4"/>
  <c r="J12" i="4" s="1"/>
  <c r="J13" i="4"/>
  <c r="K9" i="4"/>
  <c r="L3" i="4"/>
  <c r="K7" i="4"/>
  <c r="H12" i="3"/>
  <c r="H14" i="3" s="1"/>
  <c r="BG12" i="3"/>
  <c r="BG14" i="3" s="1"/>
  <c r="BH12" i="3" s="1"/>
  <c r="BH14" i="3" s="1"/>
  <c r="BI12" i="3" s="1"/>
  <c r="BI14" i="3" s="1"/>
  <c r="BJ12" i="3" s="1"/>
  <c r="BJ14" i="3" s="1"/>
  <c r="BK12" i="3" s="1"/>
  <c r="BK14" i="3" s="1"/>
  <c r="BL12" i="3" s="1"/>
  <c r="BL14" i="3" s="1"/>
  <c r="BM12" i="3" s="1"/>
  <c r="BM14" i="3" s="1"/>
  <c r="AW12" i="3"/>
  <c r="AW14" i="3" s="1"/>
  <c r="K72" i="29" l="1"/>
  <c r="E38" i="25"/>
  <c r="H83" i="27"/>
  <c r="H94" i="27" s="1"/>
  <c r="H95" i="27" s="1"/>
  <c r="K111" i="29"/>
  <c r="K73" i="29"/>
  <c r="N57" i="29"/>
  <c r="N85" i="29"/>
  <c r="G49" i="27"/>
  <c r="G130" i="31"/>
  <c r="G131" i="31" s="1"/>
  <c r="G132" i="31" s="1"/>
  <c r="G133" i="31" s="1"/>
  <c r="J57" i="27"/>
  <c r="K57" i="27"/>
  <c r="J111" i="29"/>
  <c r="J73" i="29"/>
  <c r="M96" i="29"/>
  <c r="M47" i="27"/>
  <c r="M70" i="29"/>
  <c r="M109" i="29" s="1"/>
  <c r="O83" i="29"/>
  <c r="P83" i="29" s="1"/>
  <c r="O46" i="29"/>
  <c r="P44" i="29"/>
  <c r="R38" i="29"/>
  <c r="R34" i="27"/>
  <c r="R39" i="29"/>
  <c r="R78" i="29" s="1"/>
  <c r="R45" i="29"/>
  <c r="R84" i="29" s="1"/>
  <c r="R42" i="27"/>
  <c r="R27" i="29"/>
  <c r="R38" i="27" s="1"/>
  <c r="R25" i="29"/>
  <c r="Q37" i="29"/>
  <c r="Q78" i="29"/>
  <c r="S25" i="27"/>
  <c r="S87" i="27" s="1"/>
  <c r="S50" i="29"/>
  <c r="T20" i="29"/>
  <c r="U17" i="29"/>
  <c r="U18" i="29" s="1"/>
  <c r="T22" i="29"/>
  <c r="T17" i="27"/>
  <c r="U16" i="27" s="1"/>
  <c r="S24" i="29"/>
  <c r="S26" i="29"/>
  <c r="R89" i="29"/>
  <c r="R47" i="29"/>
  <c r="R86" i="29" s="1"/>
  <c r="L59" i="27"/>
  <c r="L68" i="27"/>
  <c r="L76" i="27"/>
  <c r="L71" i="29"/>
  <c r="L109" i="29"/>
  <c r="Q99" i="30"/>
  <c r="Q105" i="30"/>
  <c r="M49" i="30"/>
  <c r="N64" i="30" s="1"/>
  <c r="N57" i="30" s="1"/>
  <c r="N49" i="30" s="1"/>
  <c r="M61" i="33"/>
  <c r="I63" i="33"/>
  <c r="I58" i="33"/>
  <c r="I109" i="30"/>
  <c r="I107" i="30" s="1"/>
  <c r="I113" i="30"/>
  <c r="I52" i="30"/>
  <c r="I46" i="30"/>
  <c r="I51" i="30" s="1"/>
  <c r="J62" i="30"/>
  <c r="BV101" i="28"/>
  <c r="F10" i="34"/>
  <c r="F31" i="34"/>
  <c r="P41" i="27"/>
  <c r="BI101" i="28"/>
  <c r="BI58" i="28"/>
  <c r="BI115" i="28" s="1"/>
  <c r="BJ44" i="28"/>
  <c r="BJ93" i="28"/>
  <c r="BK85" i="28"/>
  <c r="BK27" i="28"/>
  <c r="BL85" i="28"/>
  <c r="BL27" i="28"/>
  <c r="BL46" i="28"/>
  <c r="BL107" i="28"/>
  <c r="BM51" i="28"/>
  <c r="BM108" i="28" s="1"/>
  <c r="BM53" i="28"/>
  <c r="BM110" i="28" s="1"/>
  <c r="BM15" i="28"/>
  <c r="BK57" i="28"/>
  <c r="BK103" i="28"/>
  <c r="BL110" i="28"/>
  <c r="BL108" i="28"/>
  <c r="AT58" i="28"/>
  <c r="AT115" i="28" s="1"/>
  <c r="AT101" i="28"/>
  <c r="AU58" i="28"/>
  <c r="AU115" i="28" s="1"/>
  <c r="AU101" i="28"/>
  <c r="AV34" i="28"/>
  <c r="AV84" i="28"/>
  <c r="AW35" i="28"/>
  <c r="AW92" i="28" s="1"/>
  <c r="AW29" i="28"/>
  <c r="AW86" i="28" s="1"/>
  <c r="AW28" i="28"/>
  <c r="AX28" i="28"/>
  <c r="AX29" i="28"/>
  <c r="AX86" i="28" s="1"/>
  <c r="AX35" i="28"/>
  <c r="AX92" i="28" s="1"/>
  <c r="AX52" i="28"/>
  <c r="AX109" i="28" s="1"/>
  <c r="AX18" i="28"/>
  <c r="AX50" i="28" s="1"/>
  <c r="AY13" i="28"/>
  <c r="AY15" i="28" s="1"/>
  <c r="AY17" i="28" s="1"/>
  <c r="AX16" i="28"/>
  <c r="AW46" i="28"/>
  <c r="AW107" i="28"/>
  <c r="AW109" i="28"/>
  <c r="AX53" i="28"/>
  <c r="AX51" i="28"/>
  <c r="AI58" i="28"/>
  <c r="AI115" i="28" s="1"/>
  <c r="AI101" i="28"/>
  <c r="AJ44" i="28"/>
  <c r="AJ93" i="28"/>
  <c r="AK36" i="28"/>
  <c r="AK91" i="28"/>
  <c r="AL34" i="28"/>
  <c r="AL84" i="28"/>
  <c r="AM85" i="28"/>
  <c r="AM27" i="28"/>
  <c r="AN35" i="28"/>
  <c r="AN92" i="28" s="1"/>
  <c r="AN29" i="28"/>
  <c r="AN86" i="28" s="1"/>
  <c r="AN28" i="28"/>
  <c r="AN53" i="28"/>
  <c r="AN110" i="28" s="1"/>
  <c r="AN51" i="28"/>
  <c r="AN108" i="28" s="1"/>
  <c r="AM46" i="28"/>
  <c r="AM107" i="28"/>
  <c r="AN18" i="28"/>
  <c r="AN50" i="28" s="1"/>
  <c r="AN52" i="28"/>
  <c r="AN109" i="28" s="1"/>
  <c r="AO13" i="28"/>
  <c r="AN16" i="28"/>
  <c r="AM109" i="28"/>
  <c r="AL103" i="28"/>
  <c r="AL57" i="28"/>
  <c r="AM110" i="28"/>
  <c r="AM108" i="28"/>
  <c r="W58" i="28"/>
  <c r="W115" i="28" s="1"/>
  <c r="W101" i="28"/>
  <c r="X44" i="28"/>
  <c r="X93" i="28"/>
  <c r="Y36" i="28"/>
  <c r="Y91" i="28"/>
  <c r="Y57" i="28"/>
  <c r="Y103" i="28"/>
  <c r="H130" i="30"/>
  <c r="H131" i="30" s="1"/>
  <c r="H132" i="30" s="1"/>
  <c r="H133" i="30" s="1"/>
  <c r="H48" i="27"/>
  <c r="J108" i="31"/>
  <c r="J45" i="31"/>
  <c r="H125" i="34"/>
  <c r="S125" i="34" s="1"/>
  <c r="S123" i="34"/>
  <c r="Q59" i="28"/>
  <c r="Q115" i="28"/>
  <c r="BV115" i="28" s="1"/>
  <c r="H36" i="27"/>
  <c r="H33" i="27" s="1"/>
  <c r="H112" i="31"/>
  <c r="H111" i="31" s="1"/>
  <c r="O30" i="27"/>
  <c r="O64" i="27"/>
  <c r="P73" i="27"/>
  <c r="BU73" i="27"/>
  <c r="R20" i="30"/>
  <c r="R36" i="30" s="1"/>
  <c r="R22" i="30"/>
  <c r="R19" i="27"/>
  <c r="S17" i="30"/>
  <c r="S18" i="30" s="1"/>
  <c r="Q18" i="27"/>
  <c r="Q22" i="27" s="1"/>
  <c r="Q23" i="27"/>
  <c r="Q27" i="27"/>
  <c r="Q30" i="30"/>
  <c r="Q29" i="30"/>
  <c r="Q37" i="30"/>
  <c r="Q38" i="30" s="1"/>
  <c r="Q43" i="27"/>
  <c r="E118" i="26"/>
  <c r="E73" i="26"/>
  <c r="P26" i="27"/>
  <c r="P30" i="27" s="1"/>
  <c r="P31" i="27"/>
  <c r="P33" i="30"/>
  <c r="P32" i="30"/>
  <c r="P31" i="30"/>
  <c r="P34" i="30"/>
  <c r="BU53" i="27"/>
  <c r="H57" i="34" s="1"/>
  <c r="S57" i="34" s="1"/>
  <c r="P53" i="27"/>
  <c r="BU89" i="27"/>
  <c r="P89" i="27"/>
  <c r="H42" i="25"/>
  <c r="H12" i="25"/>
  <c r="P81" i="27"/>
  <c r="BU81" i="27"/>
  <c r="P31" i="31"/>
  <c r="P33" i="31"/>
  <c r="P32" i="31"/>
  <c r="P34" i="31"/>
  <c r="R20" i="31"/>
  <c r="R36" i="31" s="1"/>
  <c r="R20" i="27"/>
  <c r="R24" i="27" s="1"/>
  <c r="R22" i="31"/>
  <c r="S17" i="31"/>
  <c r="S18" i="31" s="1"/>
  <c r="R105" i="31"/>
  <c r="R99" i="31"/>
  <c r="Q44" i="27"/>
  <c r="Q29" i="31"/>
  <c r="Q30" i="31"/>
  <c r="Q28" i="27"/>
  <c r="K60" i="30"/>
  <c r="K53" i="30" s="1"/>
  <c r="J98" i="30"/>
  <c r="J97" i="30" s="1"/>
  <c r="Z50" i="28"/>
  <c r="AA53" i="28"/>
  <c r="AA51" i="28"/>
  <c r="AA18" i="28"/>
  <c r="AA52" i="28"/>
  <c r="AA109" i="28" s="1"/>
  <c r="AB13" i="28"/>
  <c r="AA16" i="28"/>
  <c r="Z109" i="28"/>
  <c r="AA28" i="28"/>
  <c r="AA35" i="28"/>
  <c r="AA92" i="28" s="1"/>
  <c r="AA29" i="28"/>
  <c r="AA86" i="28" s="1"/>
  <c r="Z35" i="28"/>
  <c r="Z29" i="28"/>
  <c r="Z28" i="28"/>
  <c r="P60" i="28"/>
  <c r="O117" i="28"/>
  <c r="BU117" i="28" s="1"/>
  <c r="O61" i="28"/>
  <c r="BU61" i="28" s="1"/>
  <c r="H55" i="20" s="1"/>
  <c r="S55" i="20" s="1"/>
  <c r="O110" i="30"/>
  <c r="P110" i="30" s="1"/>
  <c r="O110" i="31"/>
  <c r="P110" i="31" s="1"/>
  <c r="I61" i="31"/>
  <c r="I59" i="31" s="1"/>
  <c r="I55" i="31"/>
  <c r="Q105" i="31"/>
  <c r="Q99" i="31"/>
  <c r="K62" i="33"/>
  <c r="K50" i="30"/>
  <c r="L65" i="30" s="1"/>
  <c r="L58" i="30" s="1"/>
  <c r="AB15" i="27"/>
  <c r="AB11" i="32"/>
  <c r="AD16" i="29"/>
  <c r="G11" i="34"/>
  <c r="D39" i="36"/>
  <c r="E39" i="36"/>
  <c r="F39" i="36"/>
  <c r="G39" i="36"/>
  <c r="N92" i="32"/>
  <c r="N46" i="27"/>
  <c r="K93" i="32"/>
  <c r="J94" i="32"/>
  <c r="J95" i="32" s="1"/>
  <c r="J57" i="14"/>
  <c r="J58" i="14" s="1"/>
  <c r="J54" i="14"/>
  <c r="J55" i="14"/>
  <c r="K25" i="14"/>
  <c r="L16" i="14"/>
  <c r="K42" i="14"/>
  <c r="L33" i="14"/>
  <c r="K36" i="14"/>
  <c r="Q25" i="32"/>
  <c r="Q24" i="32"/>
  <c r="Q31" i="32"/>
  <c r="Q74" i="32" s="1"/>
  <c r="Q32" i="32"/>
  <c r="Q75" i="32"/>
  <c r="Q71" i="32"/>
  <c r="Q29" i="32"/>
  <c r="Q28" i="32"/>
  <c r="Q27" i="32"/>
  <c r="Q64" i="32"/>
  <c r="R19" i="32"/>
  <c r="R23" i="32"/>
  <c r="R33" i="32"/>
  <c r="R30" i="32"/>
  <c r="R26" i="32"/>
  <c r="S22" i="32"/>
  <c r="S18" i="32"/>
  <c r="S65" i="32" s="1"/>
  <c r="U12" i="32"/>
  <c r="T15" i="32"/>
  <c r="U13" i="32"/>
  <c r="M79" i="32"/>
  <c r="P62" i="32"/>
  <c r="O52" i="27"/>
  <c r="O66" i="32"/>
  <c r="O65" i="31"/>
  <c r="N71" i="33"/>
  <c r="O73" i="32"/>
  <c r="P73" i="32" s="1"/>
  <c r="P74" i="32"/>
  <c r="N64" i="31"/>
  <c r="N57" i="31" s="1"/>
  <c r="N49" i="31" s="1"/>
  <c r="N63" i="31"/>
  <c r="N56" i="31"/>
  <c r="N48" i="31" s="1"/>
  <c r="N63" i="30"/>
  <c r="N56" i="30" s="1"/>
  <c r="N48" i="30" s="1"/>
  <c r="AF14" i="4"/>
  <c r="AF12" i="4"/>
  <c r="AI3" i="4"/>
  <c r="AH7" i="4"/>
  <c r="AH9" i="4"/>
  <c r="AG13" i="4"/>
  <c r="AG11" i="4"/>
  <c r="AS13" i="4"/>
  <c r="AS11" i="4"/>
  <c r="AT7" i="4"/>
  <c r="AU3" i="4"/>
  <c r="AT9" i="4"/>
  <c r="AR12" i="4"/>
  <c r="AR14" i="4"/>
  <c r="U14" i="4"/>
  <c r="U12" i="4"/>
  <c r="W9" i="4"/>
  <c r="W7" i="4"/>
  <c r="X3" i="4"/>
  <c r="V13" i="4"/>
  <c r="V11" i="4"/>
  <c r="BF12" i="4"/>
  <c r="BF14" i="4"/>
  <c r="BG13" i="4"/>
  <c r="BG11" i="4"/>
  <c r="BH7" i="4"/>
  <c r="BI3" i="4"/>
  <c r="BH9" i="4"/>
  <c r="K11" i="4"/>
  <c r="K12" i="4" s="1"/>
  <c r="K13" i="4"/>
  <c r="J14" i="4"/>
  <c r="L9" i="4"/>
  <c r="L7" i="4"/>
  <c r="M3" i="4"/>
  <c r="AX12" i="3"/>
  <c r="AX14" i="3" s="1"/>
  <c r="AY12" i="3" s="1"/>
  <c r="AY14" i="3" s="1"/>
  <c r="AZ12" i="3" s="1"/>
  <c r="AZ14" i="3" s="1"/>
  <c r="BN12" i="3"/>
  <c r="BO12" i="3" s="1"/>
  <c r="I12" i="3"/>
  <c r="I14" i="3" s="1"/>
  <c r="R99" i="30" l="1"/>
  <c r="R105" i="30"/>
  <c r="R53" i="27" s="1"/>
  <c r="M71" i="29"/>
  <c r="N47" i="27"/>
  <c r="N96" i="29"/>
  <c r="N70" i="29"/>
  <c r="G45" i="27"/>
  <c r="G82" i="27" s="1"/>
  <c r="G78" i="27"/>
  <c r="L57" i="27"/>
  <c r="Q53" i="27"/>
  <c r="M76" i="27"/>
  <c r="M68" i="27"/>
  <c r="M59" i="27"/>
  <c r="O85" i="29"/>
  <c r="P85" i="29" s="1"/>
  <c r="P46" i="29"/>
  <c r="O57" i="29"/>
  <c r="R77" i="29"/>
  <c r="R37" i="29"/>
  <c r="Q76" i="29"/>
  <c r="Q44" i="29"/>
  <c r="T26" i="29"/>
  <c r="T24" i="29"/>
  <c r="V17" i="29"/>
  <c r="V18" i="29" s="1"/>
  <c r="U22" i="29"/>
  <c r="U17" i="27"/>
  <c r="V16" i="27" s="1"/>
  <c r="U20" i="29"/>
  <c r="T50" i="29"/>
  <c r="T25" i="27"/>
  <c r="T87" i="27" s="1"/>
  <c r="S45" i="29"/>
  <c r="S84" i="29" s="1"/>
  <c r="S25" i="29"/>
  <c r="S42" i="27"/>
  <c r="S27" i="29"/>
  <c r="S38" i="27" s="1"/>
  <c r="S39" i="29"/>
  <c r="S78" i="29" s="1"/>
  <c r="S38" i="29"/>
  <c r="S34" i="27"/>
  <c r="S47" i="29"/>
  <c r="S86" i="29" s="1"/>
  <c r="S89" i="29"/>
  <c r="L110" i="29"/>
  <c r="L72" i="29"/>
  <c r="I35" i="27"/>
  <c r="I112" i="30"/>
  <c r="I111" i="30" s="1"/>
  <c r="I117" i="30" s="1"/>
  <c r="J55" i="30"/>
  <c r="J61" i="30"/>
  <c r="J59" i="30" s="1"/>
  <c r="F8" i="34"/>
  <c r="F53" i="34"/>
  <c r="N75" i="27"/>
  <c r="N67" i="27"/>
  <c r="N58" i="27"/>
  <c r="BJ58" i="28"/>
  <c r="BJ115" i="28" s="1"/>
  <c r="BJ101" i="28"/>
  <c r="BK34" i="28"/>
  <c r="BK84" i="28"/>
  <c r="BL34" i="28"/>
  <c r="BL84" i="28"/>
  <c r="BL57" i="28"/>
  <c r="BL114" i="28" s="1"/>
  <c r="BL103" i="28"/>
  <c r="BM17" i="28"/>
  <c r="BM52" i="28"/>
  <c r="BM16" i="28"/>
  <c r="BM18" i="28"/>
  <c r="BM50" i="28" s="1"/>
  <c r="BN13" i="28"/>
  <c r="BN15" i="28" s="1"/>
  <c r="BN17" i="28" s="1"/>
  <c r="BK114" i="28"/>
  <c r="AV36" i="28"/>
  <c r="AV91" i="28"/>
  <c r="AW85" i="28"/>
  <c r="AW27" i="28"/>
  <c r="AX85" i="28"/>
  <c r="AX27" i="28"/>
  <c r="AY28" i="28"/>
  <c r="AY29" i="28"/>
  <c r="AY86" i="28" s="1"/>
  <c r="AY35" i="28"/>
  <c r="AY92" i="28" s="1"/>
  <c r="AY52" i="28"/>
  <c r="AY18" i="28"/>
  <c r="AY50" i="28" s="1"/>
  <c r="AZ13" i="28"/>
  <c r="AZ15" i="28" s="1"/>
  <c r="AZ17" i="28" s="1"/>
  <c r="AY16" i="28"/>
  <c r="AX46" i="28"/>
  <c r="AX107" i="28"/>
  <c r="AY51" i="28"/>
  <c r="AY108" i="28" s="1"/>
  <c r="AY53" i="28"/>
  <c r="AY110" i="28" s="1"/>
  <c r="AW103" i="28"/>
  <c r="AW57" i="28"/>
  <c r="AX110" i="28"/>
  <c r="AX108" i="28"/>
  <c r="AJ58" i="28"/>
  <c r="AJ115" i="28" s="1"/>
  <c r="AJ101" i="28"/>
  <c r="AK93" i="28"/>
  <c r="AK44" i="28"/>
  <c r="AL91" i="28"/>
  <c r="AL36" i="28"/>
  <c r="AM34" i="28"/>
  <c r="AM84" i="28"/>
  <c r="AN27" i="28"/>
  <c r="AN85" i="28"/>
  <c r="AM57" i="28"/>
  <c r="AM114" i="28" s="1"/>
  <c r="AM103" i="28"/>
  <c r="AN46" i="28"/>
  <c r="AN107" i="28"/>
  <c r="AP13" i="28"/>
  <c r="AO53" i="28"/>
  <c r="AO51" i="28"/>
  <c r="AO15" i="28"/>
  <c r="AL114" i="28"/>
  <c r="X58" i="28"/>
  <c r="X115" i="28" s="1"/>
  <c r="X101" i="28"/>
  <c r="Y44" i="28"/>
  <c r="Y93" i="28"/>
  <c r="Y114" i="28"/>
  <c r="H69" i="27"/>
  <c r="K60" i="31"/>
  <c r="K53" i="31" s="1"/>
  <c r="K45" i="31" s="1"/>
  <c r="J98" i="31"/>
  <c r="J97" i="31" s="1"/>
  <c r="R59" i="28"/>
  <c r="S59" i="28" s="1"/>
  <c r="Q116" i="28"/>
  <c r="H55" i="27"/>
  <c r="H117" i="31"/>
  <c r="P64" i="27"/>
  <c r="BU64" i="27"/>
  <c r="H61" i="34" s="1"/>
  <c r="S61" i="34" s="1"/>
  <c r="R43" i="27"/>
  <c r="R37" i="30"/>
  <c r="R38" i="30" s="1"/>
  <c r="R29" i="30"/>
  <c r="R30" i="30"/>
  <c r="R27" i="27"/>
  <c r="S19" i="27"/>
  <c r="S22" i="30"/>
  <c r="S20" i="30"/>
  <c r="S36" i="30" s="1"/>
  <c r="T17" i="30"/>
  <c r="T18" i="30" s="1"/>
  <c r="R18" i="27"/>
  <c r="R22" i="27" s="1"/>
  <c r="R23" i="27"/>
  <c r="Q26" i="27"/>
  <c r="Q31" i="27"/>
  <c r="Q73" i="27"/>
  <c r="Q31" i="30"/>
  <c r="Q34" i="30"/>
  <c r="Q32" i="30"/>
  <c r="Q33" i="30"/>
  <c r="E74" i="26"/>
  <c r="E75" i="26" s="1"/>
  <c r="E121" i="26"/>
  <c r="H55" i="25"/>
  <c r="H9" i="25"/>
  <c r="H10" i="25"/>
  <c r="S10" i="25" s="1"/>
  <c r="S12" i="25"/>
  <c r="C75" i="36" s="1"/>
  <c r="R44" i="27"/>
  <c r="S20" i="31"/>
  <c r="S36" i="31" s="1"/>
  <c r="S22" i="31"/>
  <c r="S20" i="27"/>
  <c r="S24" i="27" s="1"/>
  <c r="T17" i="31"/>
  <c r="T18" i="31" s="1"/>
  <c r="R29" i="31"/>
  <c r="R30" i="31"/>
  <c r="R28" i="27"/>
  <c r="Q31" i="31"/>
  <c r="Q32" i="31"/>
  <c r="Q33" i="31"/>
  <c r="Q34" i="31"/>
  <c r="Q32" i="27"/>
  <c r="Q81" i="27"/>
  <c r="J104" i="30"/>
  <c r="J106" i="30" s="1"/>
  <c r="Z46" i="28"/>
  <c r="Z107" i="28"/>
  <c r="AA110" i="28"/>
  <c r="AA108" i="28"/>
  <c r="AB53" i="28"/>
  <c r="AB51" i="28"/>
  <c r="AA27" i="28"/>
  <c r="AA85" i="28"/>
  <c r="Z92" i="28"/>
  <c r="Z86" i="28"/>
  <c r="Z85" i="28"/>
  <c r="Z27" i="28"/>
  <c r="P61" i="28"/>
  <c r="E127" i="26"/>
  <c r="P62" i="28"/>
  <c r="P117" i="28"/>
  <c r="I40" i="27"/>
  <c r="I37" i="27" s="1"/>
  <c r="I68" i="33"/>
  <c r="I54" i="31"/>
  <c r="I47" i="31"/>
  <c r="L50" i="30"/>
  <c r="L62" i="33"/>
  <c r="Q41" i="27"/>
  <c r="Q89" i="27" s="1"/>
  <c r="Q60" i="28"/>
  <c r="K45" i="30"/>
  <c r="K108" i="30"/>
  <c r="AA50" i="28"/>
  <c r="AC13" i="28"/>
  <c r="AB15" i="28"/>
  <c r="AD11" i="32"/>
  <c r="AD15" i="27"/>
  <c r="AE16" i="29"/>
  <c r="P52" i="27"/>
  <c r="BU52" i="27"/>
  <c r="H50" i="34" s="1"/>
  <c r="L93" i="32"/>
  <c r="L94" i="32" s="1"/>
  <c r="L95" i="32" s="1"/>
  <c r="K94" i="32"/>
  <c r="K95" i="32" s="1"/>
  <c r="K43" i="14"/>
  <c r="K38" i="14"/>
  <c r="K26" i="14"/>
  <c r="K39" i="14"/>
  <c r="L29" i="14"/>
  <c r="M28" i="14" s="1"/>
  <c r="L18" i="14"/>
  <c r="Q73" i="32"/>
  <c r="Q34" i="32"/>
  <c r="Q69" i="32"/>
  <c r="Q62" i="32"/>
  <c r="R25" i="32"/>
  <c r="R24" i="32"/>
  <c r="R32" i="32"/>
  <c r="R31" i="32"/>
  <c r="R74" i="32" s="1"/>
  <c r="R75" i="32"/>
  <c r="R71" i="32"/>
  <c r="R29" i="32"/>
  <c r="R28" i="32"/>
  <c r="R27" i="32"/>
  <c r="S23" i="32"/>
  <c r="S33" i="32"/>
  <c r="S30" i="32"/>
  <c r="S26" i="32"/>
  <c r="S19" i="32"/>
  <c r="S20" i="32" s="1"/>
  <c r="T22" i="32"/>
  <c r="T18" i="32"/>
  <c r="T65" i="32" s="1"/>
  <c r="V12" i="32"/>
  <c r="V13" i="32" s="1"/>
  <c r="U15" i="32"/>
  <c r="M92" i="32"/>
  <c r="M46" i="27"/>
  <c r="P66" i="32"/>
  <c r="O68" i="32"/>
  <c r="O64" i="31"/>
  <c r="N70" i="33"/>
  <c r="O63" i="31"/>
  <c r="N69" i="33"/>
  <c r="O64" i="30"/>
  <c r="N61" i="33"/>
  <c r="O63" i="30"/>
  <c r="N60" i="33"/>
  <c r="R20" i="32"/>
  <c r="R64" i="32" s="1"/>
  <c r="P65" i="31"/>
  <c r="O58" i="31"/>
  <c r="I112" i="22"/>
  <c r="AI7" i="4"/>
  <c r="AJ3" i="4"/>
  <c r="AI9" i="4"/>
  <c r="AT13" i="4"/>
  <c r="AT11" i="4"/>
  <c r="AG12" i="4"/>
  <c r="AG14" i="4"/>
  <c r="AH11" i="4"/>
  <c r="AH13" i="4"/>
  <c r="AV3" i="4"/>
  <c r="AU7" i="4"/>
  <c r="AU9" i="4"/>
  <c r="AS12" i="4"/>
  <c r="AS14" i="4"/>
  <c r="BN14" i="3"/>
  <c r="BO14" i="3" s="1"/>
  <c r="BG12" i="4"/>
  <c r="BG14" i="4"/>
  <c r="W13" i="4"/>
  <c r="W11" i="4"/>
  <c r="V14" i="4"/>
  <c r="V12" i="4"/>
  <c r="BI7" i="4"/>
  <c r="BJ3" i="4"/>
  <c r="BI9" i="4"/>
  <c r="BH11" i="4"/>
  <c r="BH13" i="4"/>
  <c r="X7" i="4"/>
  <c r="Y3" i="4"/>
  <c r="X9" i="4"/>
  <c r="L11" i="4"/>
  <c r="L12" i="4" s="1"/>
  <c r="L13" i="4"/>
  <c r="K14" i="4"/>
  <c r="M9" i="4"/>
  <c r="N3" i="4"/>
  <c r="M7" i="4"/>
  <c r="J12" i="3"/>
  <c r="J14" i="3" s="1"/>
  <c r="K12" i="3" s="1"/>
  <c r="K14" i="3" s="1"/>
  <c r="L12" i="3" s="1"/>
  <c r="L14" i="3" s="1"/>
  <c r="BA12" i="3"/>
  <c r="BB12" i="3" s="1"/>
  <c r="M110" i="29" l="1"/>
  <c r="M72" i="29"/>
  <c r="N59" i="27"/>
  <c r="N76" i="27"/>
  <c r="N68" i="27"/>
  <c r="N109" i="29"/>
  <c r="N71" i="29"/>
  <c r="S9" i="25"/>
  <c r="S134" i="20" s="1"/>
  <c r="O70" i="29"/>
  <c r="O71" i="29" s="1"/>
  <c r="P71" i="29" s="1"/>
  <c r="O47" i="27"/>
  <c r="O96" i="29"/>
  <c r="P96" i="29" s="1"/>
  <c r="P57" i="29"/>
  <c r="R76" i="29"/>
  <c r="R44" i="29"/>
  <c r="Q83" i="29"/>
  <c r="Q46" i="29"/>
  <c r="T34" i="27"/>
  <c r="T39" i="29"/>
  <c r="T78" i="29" s="1"/>
  <c r="T38" i="29"/>
  <c r="T45" i="29"/>
  <c r="T84" i="29" s="1"/>
  <c r="T42" i="27"/>
  <c r="T27" i="29"/>
  <c r="T38" i="27" s="1"/>
  <c r="T25" i="29"/>
  <c r="W17" i="29"/>
  <c r="V17" i="27"/>
  <c r="W16" i="27" s="1"/>
  <c r="V22" i="29"/>
  <c r="V20" i="29"/>
  <c r="W18" i="29"/>
  <c r="U25" i="27"/>
  <c r="U87" i="27" s="1"/>
  <c r="U50" i="29"/>
  <c r="U26" i="29"/>
  <c r="U24" i="29"/>
  <c r="T89" i="29"/>
  <c r="T47" i="29"/>
  <c r="T86" i="29" s="1"/>
  <c r="S77" i="29"/>
  <c r="S37" i="29"/>
  <c r="L111" i="29"/>
  <c r="L73" i="29"/>
  <c r="BT73" i="29" s="1"/>
  <c r="G39" i="20" s="1"/>
  <c r="N57" i="27"/>
  <c r="F15" i="34"/>
  <c r="F58" i="34"/>
  <c r="F17" i="34" s="1"/>
  <c r="J59" i="33"/>
  <c r="J54" i="30"/>
  <c r="J47" i="30"/>
  <c r="J39" i="27"/>
  <c r="BT95" i="32"/>
  <c r="G36" i="20" s="1"/>
  <c r="T59" i="28"/>
  <c r="J104" i="31"/>
  <c r="J106" i="31" s="1"/>
  <c r="J51" i="27"/>
  <c r="BK36" i="28"/>
  <c r="BK91" i="28"/>
  <c r="BL36" i="28"/>
  <c r="BL91" i="28"/>
  <c r="BM35" i="28"/>
  <c r="BM92" i="28" s="1"/>
  <c r="BM29" i="28"/>
  <c r="BM86" i="28" s="1"/>
  <c r="BM28" i="28"/>
  <c r="BN28" i="28"/>
  <c r="BN29" i="28"/>
  <c r="BN86" i="28" s="1"/>
  <c r="BN35" i="28"/>
  <c r="BN92" i="28" s="1"/>
  <c r="BM109" i="28"/>
  <c r="BM46" i="28"/>
  <c r="BM107" i="28"/>
  <c r="BN18" i="28"/>
  <c r="BN50" i="28" s="1"/>
  <c r="BN52" i="28"/>
  <c r="BO13" i="28"/>
  <c r="BN16" i="28"/>
  <c r="BN53" i="28"/>
  <c r="BN51" i="28"/>
  <c r="AV44" i="28"/>
  <c r="AV93" i="28"/>
  <c r="AW84" i="28"/>
  <c r="AW34" i="28"/>
  <c r="AX34" i="28"/>
  <c r="AX84" i="28"/>
  <c r="AY85" i="28"/>
  <c r="AY27" i="28"/>
  <c r="AZ28" i="28"/>
  <c r="AZ29" i="28"/>
  <c r="AZ86" i="28" s="1"/>
  <c r="AZ35" i="28"/>
  <c r="AZ92" i="28" s="1"/>
  <c r="AZ52" i="28"/>
  <c r="AZ109" i="28" s="1"/>
  <c r="AZ18" i="28"/>
  <c r="AZ50" i="28" s="1"/>
  <c r="BA13" i="28"/>
  <c r="BA15" i="28" s="1"/>
  <c r="BA17" i="28" s="1"/>
  <c r="AZ16" i="28"/>
  <c r="AY109" i="28"/>
  <c r="AY46" i="28"/>
  <c r="AY107" i="28"/>
  <c r="AZ51" i="28"/>
  <c r="AZ53" i="28"/>
  <c r="AX57" i="28"/>
  <c r="AX103" i="28"/>
  <c r="AW114" i="28"/>
  <c r="AK58" i="28"/>
  <c r="AK115" i="28" s="1"/>
  <c r="AK101" i="28"/>
  <c r="AL44" i="28"/>
  <c r="AL93" i="28"/>
  <c r="AM91" i="28"/>
  <c r="AM36" i="28"/>
  <c r="AN34" i="28"/>
  <c r="AN84" i="28"/>
  <c r="AN103" i="28"/>
  <c r="AN57" i="28"/>
  <c r="AP53" i="28"/>
  <c r="AP110" i="28" s="1"/>
  <c r="AO110" i="28"/>
  <c r="BY110" i="28" s="1"/>
  <c r="AP51" i="28"/>
  <c r="AP108" i="28" s="1"/>
  <c r="AO108" i="28"/>
  <c r="BY108" i="28" s="1"/>
  <c r="AO17" i="28"/>
  <c r="AP15" i="28"/>
  <c r="AO18" i="28"/>
  <c r="AO52" i="28"/>
  <c r="AO16" i="28"/>
  <c r="Y58" i="28"/>
  <c r="Y101" i="28"/>
  <c r="I48" i="27"/>
  <c r="I130" i="30"/>
  <c r="K98" i="31"/>
  <c r="K97" i="31" s="1"/>
  <c r="K104" i="31" s="1"/>
  <c r="L60" i="31"/>
  <c r="K108" i="31"/>
  <c r="R60" i="28"/>
  <c r="R116" i="28"/>
  <c r="S116" i="28"/>
  <c r="S60" i="28"/>
  <c r="H49" i="27"/>
  <c r="H130" i="31"/>
  <c r="H131" i="31" s="1"/>
  <c r="H132" i="31" s="1"/>
  <c r="H133" i="31" s="1"/>
  <c r="E128" i="26"/>
  <c r="E129" i="26" s="1"/>
  <c r="R32" i="30"/>
  <c r="R33" i="30"/>
  <c r="R34" i="30"/>
  <c r="R31" i="30"/>
  <c r="R31" i="27"/>
  <c r="R26" i="27"/>
  <c r="R73" i="27"/>
  <c r="T19" i="27"/>
  <c r="T20" i="30"/>
  <c r="T36" i="30" s="1"/>
  <c r="T105" i="30" s="1"/>
  <c r="T22" i="30"/>
  <c r="U17" i="30"/>
  <c r="U18" i="30" s="1"/>
  <c r="S18" i="27"/>
  <c r="S22" i="27" s="1"/>
  <c r="S23" i="27"/>
  <c r="S27" i="27"/>
  <c r="S29" i="30"/>
  <c r="S30" i="30"/>
  <c r="S37" i="30"/>
  <c r="S38" i="30" s="1"/>
  <c r="S43" i="27"/>
  <c r="Q30" i="27"/>
  <c r="Q64" i="27"/>
  <c r="C51" i="36"/>
  <c r="C72" i="36"/>
  <c r="T20" i="31"/>
  <c r="T36" i="31" s="1"/>
  <c r="T22" i="31"/>
  <c r="T20" i="27"/>
  <c r="T24" i="27" s="1"/>
  <c r="U17" i="31"/>
  <c r="U18" i="31" s="1"/>
  <c r="S44" i="27"/>
  <c r="S29" i="31"/>
  <c r="S30" i="31"/>
  <c r="S28" i="27"/>
  <c r="R31" i="31"/>
  <c r="R32" i="31"/>
  <c r="R33" i="31"/>
  <c r="R34" i="31"/>
  <c r="R32" i="27"/>
  <c r="R81" i="27"/>
  <c r="Z57" i="28"/>
  <c r="Z103" i="28"/>
  <c r="AA84" i="28"/>
  <c r="AA34" i="28"/>
  <c r="Z34" i="28"/>
  <c r="Z84" i="28"/>
  <c r="I90" i="27"/>
  <c r="BS90" i="27" s="1"/>
  <c r="I88" i="27"/>
  <c r="I72" i="33"/>
  <c r="I74" i="33" s="1"/>
  <c r="BS74" i="33" s="1"/>
  <c r="F197" i="23" s="1"/>
  <c r="F68" i="34" s="1"/>
  <c r="I67" i="33"/>
  <c r="I52" i="31"/>
  <c r="I109" i="31"/>
  <c r="I107" i="31" s="1"/>
  <c r="I113" i="31"/>
  <c r="J62" i="31"/>
  <c r="I46" i="31"/>
  <c r="I51" i="31" s="1"/>
  <c r="M65" i="30"/>
  <c r="Q117" i="28"/>
  <c r="Q61" i="28"/>
  <c r="L60" i="30"/>
  <c r="L53" i="30" s="1"/>
  <c r="K98" i="30"/>
  <c r="K97" i="30" s="1"/>
  <c r="K104" i="30" s="1"/>
  <c r="K106" i="30" s="1"/>
  <c r="AA107" i="28"/>
  <c r="AA46" i="28"/>
  <c r="AB18" i="28"/>
  <c r="AB16" i="28"/>
  <c r="AB52" i="28"/>
  <c r="AC15" i="28"/>
  <c r="AB17" i="28"/>
  <c r="R41" i="27"/>
  <c r="R89" i="27" s="1"/>
  <c r="Q110" i="30"/>
  <c r="Q110" i="31"/>
  <c r="S105" i="30"/>
  <c r="S99" i="30"/>
  <c r="S105" i="31"/>
  <c r="S99" i="31"/>
  <c r="AB110" i="28"/>
  <c r="BW110" i="28" s="1"/>
  <c r="AC53" i="28"/>
  <c r="AC110" i="28" s="1"/>
  <c r="AB108" i="28"/>
  <c r="BW108" i="28" s="1"/>
  <c r="AC51" i="28"/>
  <c r="AC108" i="28" s="1"/>
  <c r="AE11" i="32"/>
  <c r="AE15" i="27"/>
  <c r="AF16" i="29"/>
  <c r="H45" i="34"/>
  <c r="S50" i="34"/>
  <c r="K40" i="14"/>
  <c r="L21" i="14"/>
  <c r="L19" i="14"/>
  <c r="L23" i="14" s="1"/>
  <c r="L24" i="14" s="1"/>
  <c r="Q66" i="32"/>
  <c r="Q52" i="27"/>
  <c r="S25" i="32"/>
  <c r="S24" i="32"/>
  <c r="S31" i="32"/>
  <c r="S74" i="32" s="1"/>
  <c r="S32" i="32"/>
  <c r="S75" i="32"/>
  <c r="S71" i="32"/>
  <c r="S29" i="32"/>
  <c r="S28" i="32"/>
  <c r="S27" i="32"/>
  <c r="S64" i="32"/>
  <c r="T33" i="32"/>
  <c r="T30" i="32"/>
  <c r="T26" i="32"/>
  <c r="T23" i="32"/>
  <c r="T19" i="32"/>
  <c r="U22" i="32"/>
  <c r="U18" i="32"/>
  <c r="U65" i="32" s="1"/>
  <c r="W12" i="32"/>
  <c r="W13" i="32" s="1"/>
  <c r="V15" i="32"/>
  <c r="M93" i="32"/>
  <c r="M75" i="27"/>
  <c r="M67" i="27"/>
  <c r="M58" i="27"/>
  <c r="P68" i="32"/>
  <c r="O79" i="32"/>
  <c r="P58" i="31"/>
  <c r="O50" i="31"/>
  <c r="P50" i="31" s="1"/>
  <c r="O71" i="33"/>
  <c r="P71" i="33" s="1"/>
  <c r="R34" i="32"/>
  <c r="R73" i="32"/>
  <c r="R69" i="32"/>
  <c r="P64" i="31"/>
  <c r="O57" i="31"/>
  <c r="P63" i="31"/>
  <c r="O56" i="31"/>
  <c r="P64" i="30"/>
  <c r="O57" i="30"/>
  <c r="P63" i="30"/>
  <c r="O56" i="30"/>
  <c r="R62" i="32"/>
  <c r="I172" i="22"/>
  <c r="K172" i="22" s="1"/>
  <c r="L172" i="22" s="1"/>
  <c r="K112" i="22"/>
  <c r="L112" i="22" s="1"/>
  <c r="H112" i="22"/>
  <c r="H172" i="22" s="1"/>
  <c r="L14" i="4"/>
  <c r="AT14" i="4"/>
  <c r="AT12" i="4"/>
  <c r="AH12" i="4"/>
  <c r="AH14" i="4"/>
  <c r="AK3" i="4"/>
  <c r="AJ7" i="4"/>
  <c r="AJ9" i="4"/>
  <c r="AU13" i="4"/>
  <c r="AU11" i="4"/>
  <c r="AV9" i="4"/>
  <c r="AV7" i="4"/>
  <c r="AW3" i="4"/>
  <c r="AI13" i="4"/>
  <c r="AI11" i="4"/>
  <c r="BI13" i="4"/>
  <c r="BI11" i="4"/>
  <c r="BA14" i="3"/>
  <c r="BB14" i="3" s="1"/>
  <c r="Z3" i="4"/>
  <c r="Y7" i="4"/>
  <c r="Y9" i="4"/>
  <c r="BH12" i="4"/>
  <c r="BH14" i="4"/>
  <c r="X11" i="4"/>
  <c r="X13" i="4"/>
  <c r="BJ9" i="4"/>
  <c r="BK3" i="4"/>
  <c r="BJ7" i="4"/>
  <c r="W14" i="4"/>
  <c r="W12" i="4"/>
  <c r="M11" i="4"/>
  <c r="M12" i="4" s="1"/>
  <c r="M13" i="4"/>
  <c r="M14" i="4" s="1"/>
  <c r="N7" i="4"/>
  <c r="N9" i="4"/>
  <c r="M12" i="3"/>
  <c r="M14" i="3" s="1"/>
  <c r="M111" i="29" l="1"/>
  <c r="M73" i="29"/>
  <c r="N72" i="29"/>
  <c r="N110" i="29"/>
  <c r="T99" i="30"/>
  <c r="R110" i="30"/>
  <c r="M57" i="27"/>
  <c r="BO15" i="28"/>
  <c r="BP13" i="28"/>
  <c r="O109" i="29"/>
  <c r="P109" i="29" s="1"/>
  <c r="P70" i="29"/>
  <c r="P47" i="27"/>
  <c r="O76" i="27"/>
  <c r="P76" i="27" s="1"/>
  <c r="O68" i="27"/>
  <c r="P68" i="27" s="1"/>
  <c r="O59" i="27"/>
  <c r="P59" i="27" s="1"/>
  <c r="R83" i="29"/>
  <c r="R46" i="29"/>
  <c r="Q85" i="29"/>
  <c r="Q57" i="29"/>
  <c r="T77" i="29"/>
  <c r="T37" i="29"/>
  <c r="V50" i="29"/>
  <c r="V25" i="27"/>
  <c r="V87" i="27" s="1"/>
  <c r="BV87" i="27" s="1"/>
  <c r="V26" i="29"/>
  <c r="V24" i="29"/>
  <c r="X17" i="29"/>
  <c r="X18" i="29" s="1"/>
  <c r="W17" i="27"/>
  <c r="X16" i="27" s="1"/>
  <c r="W22" i="29"/>
  <c r="W20" i="29"/>
  <c r="U89" i="29"/>
  <c r="U47" i="29"/>
  <c r="U86" i="29" s="1"/>
  <c r="U38" i="29"/>
  <c r="U34" i="27"/>
  <c r="U39" i="29"/>
  <c r="U78" i="29" s="1"/>
  <c r="U45" i="29"/>
  <c r="U84" i="29" s="1"/>
  <c r="U42" i="27"/>
  <c r="U25" i="29"/>
  <c r="U27" i="29"/>
  <c r="U38" i="27" s="1"/>
  <c r="S44" i="29"/>
  <c r="S76" i="29"/>
  <c r="J61" i="31"/>
  <c r="J59" i="31" s="1"/>
  <c r="J55" i="31"/>
  <c r="J58" i="33"/>
  <c r="J63" i="33"/>
  <c r="J113" i="30"/>
  <c r="J109" i="30"/>
  <c r="J107" i="30" s="1"/>
  <c r="J52" i="30"/>
  <c r="K62" i="30"/>
  <c r="J46" i="30"/>
  <c r="J51" i="30" s="1"/>
  <c r="T60" i="28"/>
  <c r="U59" i="28"/>
  <c r="T116" i="28"/>
  <c r="R110" i="31"/>
  <c r="T99" i="31"/>
  <c r="T105" i="31"/>
  <c r="T53" i="27" s="1"/>
  <c r="BK44" i="28"/>
  <c r="BK93" i="28"/>
  <c r="BL44" i="28"/>
  <c r="BL93" i="28"/>
  <c r="BM85" i="28"/>
  <c r="BM27" i="28"/>
  <c r="BN27" i="28"/>
  <c r="BN85" i="28"/>
  <c r="BM57" i="28"/>
  <c r="BM103" i="28"/>
  <c r="BN46" i="28"/>
  <c r="BN107" i="28"/>
  <c r="BO53" i="28"/>
  <c r="BO51" i="28"/>
  <c r="BO108" i="28" s="1"/>
  <c r="BN110" i="28"/>
  <c r="BN108" i="28"/>
  <c r="AV58" i="28"/>
  <c r="AV115" i="28" s="1"/>
  <c r="AV101" i="28"/>
  <c r="AW36" i="28"/>
  <c r="AW91" i="28"/>
  <c r="AX36" i="28"/>
  <c r="AX91" i="28"/>
  <c r="AY34" i="28"/>
  <c r="AY84" i="28"/>
  <c r="AZ85" i="28"/>
  <c r="AZ27" i="28"/>
  <c r="BA28" i="28"/>
  <c r="BA29" i="28"/>
  <c r="BA86" i="28" s="1"/>
  <c r="BA35" i="28"/>
  <c r="BA92" i="28" s="1"/>
  <c r="AZ46" i="28"/>
  <c r="AZ107" i="28"/>
  <c r="BA18" i="28"/>
  <c r="BA50" i="28" s="1"/>
  <c r="BA52" i="28"/>
  <c r="BB13" i="28"/>
  <c r="BB15" i="28" s="1"/>
  <c r="BB17" i="28" s="1"/>
  <c r="BA16" i="28"/>
  <c r="BA53" i="28"/>
  <c r="BA110" i="28" s="1"/>
  <c r="BA51" i="28"/>
  <c r="BA108" i="28" s="1"/>
  <c r="AY103" i="28"/>
  <c r="AY57" i="28"/>
  <c r="AZ108" i="28"/>
  <c r="AZ110" i="28"/>
  <c r="AL58" i="28"/>
  <c r="AL115" i="28" s="1"/>
  <c r="AL101" i="28"/>
  <c r="AM44" i="28"/>
  <c r="AM93" i="28"/>
  <c r="AN36" i="28"/>
  <c r="AN91" i="28"/>
  <c r="AN114" i="28"/>
  <c r="AO35" i="28"/>
  <c r="AO92" i="28" s="1"/>
  <c r="BY92" i="28" s="1"/>
  <c r="L105" i="34" s="1"/>
  <c r="AO29" i="28"/>
  <c r="AO86" i="28" s="1"/>
  <c r="BY86" i="28" s="1"/>
  <c r="L96" i="34" s="1"/>
  <c r="AO28" i="28"/>
  <c r="AQ17" i="28"/>
  <c r="G115" i="26"/>
  <c r="AP18" i="28"/>
  <c r="AO50" i="28"/>
  <c r="AP52" i="28"/>
  <c r="AP109" i="28" s="1"/>
  <c r="AO109" i="28"/>
  <c r="BY109" i="28" s="1"/>
  <c r="BY16" i="28"/>
  <c r="L86" i="25" s="1"/>
  <c r="L14" i="25" s="1"/>
  <c r="U14" i="25" s="1"/>
  <c r="E78" i="36" s="1"/>
  <c r="AP16" i="28"/>
  <c r="Y115" i="28"/>
  <c r="I69" i="27"/>
  <c r="L53" i="31"/>
  <c r="R61" i="28"/>
  <c r="R117" i="28"/>
  <c r="S61" i="28"/>
  <c r="S117" i="28"/>
  <c r="H45" i="27"/>
  <c r="H82" i="27" s="1"/>
  <c r="H78" i="27"/>
  <c r="R64" i="27"/>
  <c r="R30" i="27"/>
  <c r="T18" i="27"/>
  <c r="T22" i="27" s="1"/>
  <c r="T23" i="27"/>
  <c r="T43" i="27"/>
  <c r="T37" i="30"/>
  <c r="T38" i="30" s="1"/>
  <c r="T29" i="30"/>
  <c r="T30" i="30"/>
  <c r="T27" i="27"/>
  <c r="U20" i="30"/>
  <c r="U36" i="30" s="1"/>
  <c r="U19" i="27"/>
  <c r="U22" i="30"/>
  <c r="V17" i="30"/>
  <c r="V18" i="30" s="1"/>
  <c r="S26" i="27"/>
  <c r="S31" i="27"/>
  <c r="S73" i="27"/>
  <c r="S34" i="30"/>
  <c r="S33" i="30"/>
  <c r="S32" i="30"/>
  <c r="S31" i="30"/>
  <c r="C71" i="36"/>
  <c r="C96" i="36" s="1"/>
  <c r="C50" i="36"/>
  <c r="U20" i="27"/>
  <c r="U24" i="27" s="1"/>
  <c r="U20" i="31"/>
  <c r="U36" i="31" s="1"/>
  <c r="U22" i="31"/>
  <c r="V17" i="31"/>
  <c r="V18" i="31" s="1"/>
  <c r="T44" i="27"/>
  <c r="T28" i="27"/>
  <c r="T29" i="31"/>
  <c r="T30" i="31"/>
  <c r="S32" i="31"/>
  <c r="S33" i="31"/>
  <c r="S34" i="31"/>
  <c r="S31" i="31"/>
  <c r="S32" i="27"/>
  <c r="S81" i="27"/>
  <c r="Z114" i="28"/>
  <c r="AA36" i="28"/>
  <c r="AA91" i="28"/>
  <c r="Z36" i="28"/>
  <c r="Z91" i="28"/>
  <c r="I83" i="27"/>
  <c r="BS83" i="27" s="1"/>
  <c r="BS88" i="27"/>
  <c r="I36" i="27"/>
  <c r="I33" i="27" s="1"/>
  <c r="I112" i="31"/>
  <c r="I111" i="31" s="1"/>
  <c r="I54" i="27"/>
  <c r="BS54" i="27" s="1"/>
  <c r="F60" i="34" s="1"/>
  <c r="F59" i="34" s="1"/>
  <c r="L108" i="30"/>
  <c r="L45" i="30"/>
  <c r="AA57" i="28"/>
  <c r="AA114" i="28" s="1"/>
  <c r="AA103" i="28"/>
  <c r="F132" i="26"/>
  <c r="AC18" i="28"/>
  <c r="G132" i="26" s="1"/>
  <c r="AB50" i="28"/>
  <c r="BW16" i="28"/>
  <c r="J86" i="25" s="1"/>
  <c r="J14" i="25" s="1"/>
  <c r="T14" i="25" s="1"/>
  <c r="D78" i="36" s="1"/>
  <c r="AC16" i="28"/>
  <c r="AC52" i="28"/>
  <c r="AC109" i="28" s="1"/>
  <c r="AB109" i="28"/>
  <c r="BW109" i="28" s="1"/>
  <c r="AD17" i="28"/>
  <c r="F115" i="26"/>
  <c r="AB28" i="28"/>
  <c r="AB35" i="28"/>
  <c r="AB29" i="28"/>
  <c r="AC17" i="28"/>
  <c r="K51" i="27"/>
  <c r="S41" i="27"/>
  <c r="S89" i="27" s="1"/>
  <c r="S53" i="27"/>
  <c r="BN109" i="28"/>
  <c r="AX114" i="28"/>
  <c r="I131" i="30"/>
  <c r="I132" i="30" s="1"/>
  <c r="I133" i="30" s="1"/>
  <c r="BS133" i="30" s="1"/>
  <c r="F42" i="20" s="1"/>
  <c r="M58" i="30"/>
  <c r="AF15" i="27"/>
  <c r="AF11" i="32"/>
  <c r="AG16" i="29"/>
  <c r="S45" i="34"/>
  <c r="H39" i="34"/>
  <c r="H13" i="34"/>
  <c r="S13" i="34" s="1"/>
  <c r="C29" i="36" s="1"/>
  <c r="O110" i="29"/>
  <c r="O72" i="29"/>
  <c r="N93" i="32"/>
  <c r="N94" i="32" s="1"/>
  <c r="M94" i="32"/>
  <c r="M95" i="32" s="1"/>
  <c r="K41" i="14"/>
  <c r="K44" i="14"/>
  <c r="K47" i="14" s="1"/>
  <c r="L50" i="14"/>
  <c r="L52" i="14" s="1"/>
  <c r="L35" i="14"/>
  <c r="Q68" i="32"/>
  <c r="S34" i="32"/>
  <c r="T32" i="32"/>
  <c r="T31" i="32"/>
  <c r="T74" i="32" s="1"/>
  <c r="T73" i="32" s="1"/>
  <c r="T75" i="32"/>
  <c r="T71" i="32"/>
  <c r="T69" i="32" s="1"/>
  <c r="T29" i="32"/>
  <c r="T28" i="32"/>
  <c r="T27" i="32"/>
  <c r="T25" i="32"/>
  <c r="T24" i="32"/>
  <c r="U33" i="32"/>
  <c r="U23" i="32"/>
  <c r="U30" i="32"/>
  <c r="U26" i="32"/>
  <c r="U19" i="32"/>
  <c r="U20" i="32" s="1"/>
  <c r="V22" i="32"/>
  <c r="V18" i="32"/>
  <c r="W15" i="32"/>
  <c r="X12" i="32"/>
  <c r="X13" i="32" s="1"/>
  <c r="P79" i="32"/>
  <c r="O92" i="32"/>
  <c r="O46" i="27"/>
  <c r="K106" i="31"/>
  <c r="Q65" i="31"/>
  <c r="Q58" i="31" s="1"/>
  <c r="Q50" i="31" s="1"/>
  <c r="P57" i="31"/>
  <c r="O49" i="31"/>
  <c r="P49" i="31" s="1"/>
  <c r="O70" i="33"/>
  <c r="P70" i="33" s="1"/>
  <c r="P56" i="31"/>
  <c r="O48" i="31"/>
  <c r="P48" i="31" s="1"/>
  <c r="O69" i="33"/>
  <c r="P69" i="33" s="1"/>
  <c r="P57" i="30"/>
  <c r="O49" i="30"/>
  <c r="P49" i="30" s="1"/>
  <c r="O61" i="33"/>
  <c r="P61" i="33" s="1"/>
  <c r="P56" i="30"/>
  <c r="O48" i="30"/>
  <c r="P48" i="30" s="1"/>
  <c r="O60" i="33"/>
  <c r="P60" i="33" s="1"/>
  <c r="R66" i="32"/>
  <c r="R68" i="32" s="1"/>
  <c r="R79" i="32" s="1"/>
  <c r="R52" i="27"/>
  <c r="S73" i="32"/>
  <c r="S69" i="32"/>
  <c r="S62" i="32"/>
  <c r="T20" i="32"/>
  <c r="T64" i="32" s="1"/>
  <c r="M16" i="14"/>
  <c r="L25" i="14"/>
  <c r="E51" i="22"/>
  <c r="AI14" i="4"/>
  <c r="AI12" i="4"/>
  <c r="AJ11" i="4"/>
  <c r="AJ13" i="4"/>
  <c r="AK7" i="4"/>
  <c r="AK9" i="4"/>
  <c r="AL3" i="4"/>
  <c r="AW9" i="4"/>
  <c r="AX3" i="4"/>
  <c r="AW7" i="4"/>
  <c r="AV13" i="4"/>
  <c r="AV11" i="4"/>
  <c r="AU12" i="4"/>
  <c r="AU14" i="4"/>
  <c r="X12" i="4"/>
  <c r="X14" i="4"/>
  <c r="Y11" i="4"/>
  <c r="Y13" i="4"/>
  <c r="BK7" i="4"/>
  <c r="BL3" i="4"/>
  <c r="BK9" i="4"/>
  <c r="Z7" i="4"/>
  <c r="AA3" i="4"/>
  <c r="Z9" i="4"/>
  <c r="BI14" i="4"/>
  <c r="BI12" i="4"/>
  <c r="BJ11" i="4"/>
  <c r="BJ13" i="4"/>
  <c r="N11" i="4"/>
  <c r="N12" i="4" s="1"/>
  <c r="N13" i="4"/>
  <c r="O13" i="4" s="1"/>
  <c r="N12" i="3"/>
  <c r="O12" i="3" s="1"/>
  <c r="P110" i="29" l="1"/>
  <c r="P72" i="29"/>
  <c r="P73" i="29" s="1"/>
  <c r="N111" i="29"/>
  <c r="N73" i="29"/>
  <c r="S110" i="31"/>
  <c r="S110" i="30"/>
  <c r="BP51" i="28"/>
  <c r="BP108" i="28" s="1"/>
  <c r="BO17" i="28"/>
  <c r="BO18" i="28"/>
  <c r="BP15" i="28"/>
  <c r="I115" i="26" s="1"/>
  <c r="K115" i="26" s="1"/>
  <c r="L115" i="26" s="1"/>
  <c r="BO52" i="28"/>
  <c r="BO16" i="28"/>
  <c r="J40" i="27"/>
  <c r="J37" i="27" s="1"/>
  <c r="J68" i="33"/>
  <c r="J54" i="31"/>
  <c r="J52" i="31" s="1"/>
  <c r="J47" i="31"/>
  <c r="K62" i="31" s="1"/>
  <c r="R85" i="29"/>
  <c r="R57" i="29"/>
  <c r="Q96" i="29"/>
  <c r="Q47" i="27"/>
  <c r="Q70" i="29"/>
  <c r="T76" i="29"/>
  <c r="T44" i="29"/>
  <c r="V89" i="29"/>
  <c r="V47" i="29"/>
  <c r="V86" i="29" s="1"/>
  <c r="V34" i="27"/>
  <c r="V38" i="29"/>
  <c r="V39" i="29"/>
  <c r="V78" i="29" s="1"/>
  <c r="V45" i="29"/>
  <c r="V84" i="29" s="1"/>
  <c r="V25" i="29"/>
  <c r="V42" i="27"/>
  <c r="BV42" i="27" s="1"/>
  <c r="I44" i="25" s="1"/>
  <c r="V27" i="29"/>
  <c r="V38" i="27" s="1"/>
  <c r="X20" i="29"/>
  <c r="Y17" i="29"/>
  <c r="Y18" i="29" s="1"/>
  <c r="X22" i="29"/>
  <c r="X17" i="27"/>
  <c r="Y16" i="27" s="1"/>
  <c r="W25" i="27"/>
  <c r="W87" i="27" s="1"/>
  <c r="W50" i="29"/>
  <c r="W24" i="29"/>
  <c r="W26" i="29"/>
  <c r="U77" i="29"/>
  <c r="U37" i="29"/>
  <c r="S83" i="29"/>
  <c r="S46" i="29"/>
  <c r="J112" i="30"/>
  <c r="J111" i="30" s="1"/>
  <c r="J117" i="30" s="1"/>
  <c r="J35" i="27"/>
  <c r="K61" i="30"/>
  <c r="K59" i="30" s="1"/>
  <c r="K55" i="30"/>
  <c r="BO110" i="28"/>
  <c r="CC110" i="28" s="1"/>
  <c r="BP53" i="28"/>
  <c r="BP110" i="28" s="1"/>
  <c r="T117" i="28"/>
  <c r="T61" i="28"/>
  <c r="U116" i="28"/>
  <c r="U60" i="28"/>
  <c r="V59" i="28"/>
  <c r="U99" i="31"/>
  <c r="U105" i="31"/>
  <c r="BK58" i="28"/>
  <c r="BK115" i="28" s="1"/>
  <c r="BK101" i="28"/>
  <c r="BL58" i="28"/>
  <c r="BL115" i="28" s="1"/>
  <c r="BL101" i="28"/>
  <c r="BM34" i="28"/>
  <c r="BM84" i="28"/>
  <c r="BN34" i="28"/>
  <c r="BN84" i="28"/>
  <c r="BM114" i="28"/>
  <c r="BN57" i="28"/>
  <c r="BN103" i="28"/>
  <c r="AW44" i="28"/>
  <c r="AW93" i="28"/>
  <c r="AX44" i="28"/>
  <c r="AX93" i="28"/>
  <c r="AY36" i="28"/>
  <c r="AY91" i="28"/>
  <c r="AZ84" i="28"/>
  <c r="AZ34" i="28"/>
  <c r="BA27" i="28"/>
  <c r="BA85" i="28"/>
  <c r="AZ57" i="28"/>
  <c r="AZ114" i="28" s="1"/>
  <c r="AZ103" i="28"/>
  <c r="BB35" i="28"/>
  <c r="BB92" i="28" s="1"/>
  <c r="CA92" i="28" s="1"/>
  <c r="N105" i="34" s="1"/>
  <c r="BB28" i="28"/>
  <c r="BB29" i="28"/>
  <c r="BB86" i="28" s="1"/>
  <c r="CA86" i="28" s="1"/>
  <c r="N96" i="34" s="1"/>
  <c r="BC15" i="28"/>
  <c r="BB18" i="28"/>
  <c r="BB52" i="28"/>
  <c r="BB109" i="28" s="1"/>
  <c r="BB16" i="28"/>
  <c r="BA46" i="28"/>
  <c r="BA107" i="28"/>
  <c r="BA109" i="28"/>
  <c r="BC13" i="28"/>
  <c r="BB53" i="28"/>
  <c r="BB51" i="28"/>
  <c r="AM58" i="28"/>
  <c r="AM115" i="28" s="1"/>
  <c r="AM101" i="28"/>
  <c r="AN44" i="28"/>
  <c r="AN93" i="28"/>
  <c r="AO27" i="28"/>
  <c r="AO85" i="28"/>
  <c r="BY85" i="28" s="1"/>
  <c r="L92" i="34" s="1"/>
  <c r="BC17" i="28"/>
  <c r="AQ28" i="28"/>
  <c r="AQ29" i="28"/>
  <c r="AQ35" i="28"/>
  <c r="AP50" i="28"/>
  <c r="AP107" i="28" s="1"/>
  <c r="AO46" i="28"/>
  <c r="AO107" i="28"/>
  <c r="BY107" i="28" s="1"/>
  <c r="L108" i="31"/>
  <c r="L45" i="31"/>
  <c r="T32" i="30"/>
  <c r="T34" i="30"/>
  <c r="T31" i="30"/>
  <c r="T33" i="30"/>
  <c r="T31" i="27"/>
  <c r="T26" i="27"/>
  <c r="T73" i="27"/>
  <c r="U37" i="30"/>
  <c r="U38" i="30" s="1"/>
  <c r="U43" i="27"/>
  <c r="U18" i="27"/>
  <c r="U22" i="27" s="1"/>
  <c r="U23" i="27"/>
  <c r="V19" i="27"/>
  <c r="V22" i="30"/>
  <c r="W17" i="30"/>
  <c r="W18" i="30"/>
  <c r="V20" i="30"/>
  <c r="V36" i="30" s="1"/>
  <c r="U29" i="30"/>
  <c r="U30" i="30"/>
  <c r="U27" i="27"/>
  <c r="S30" i="27"/>
  <c r="S64" i="27"/>
  <c r="V20" i="27"/>
  <c r="V24" i="27" s="1"/>
  <c r="V20" i="31"/>
  <c r="V36" i="31" s="1"/>
  <c r="V105" i="31" s="1"/>
  <c r="V22" i="31"/>
  <c r="W17" i="31"/>
  <c r="W18" i="31" s="1"/>
  <c r="V99" i="31"/>
  <c r="U44" i="27"/>
  <c r="U29" i="31"/>
  <c r="U30" i="31"/>
  <c r="U28" i="27"/>
  <c r="T32" i="27"/>
  <c r="T81" i="27"/>
  <c r="T31" i="31"/>
  <c r="T32" i="31"/>
  <c r="T33" i="31"/>
  <c r="T34" i="31"/>
  <c r="AA44" i="28"/>
  <c r="AA93" i="28"/>
  <c r="Z44" i="28"/>
  <c r="Z93" i="28"/>
  <c r="F18" i="34"/>
  <c r="M60" i="30"/>
  <c r="M53" i="30" s="1"/>
  <c r="L98" i="30"/>
  <c r="L97" i="30" s="1"/>
  <c r="AC50" i="28"/>
  <c r="AC107" i="28" s="1"/>
  <c r="AB46" i="28"/>
  <c r="AB107" i="28"/>
  <c r="BW107" i="28" s="1"/>
  <c r="AP17" i="28"/>
  <c r="AD28" i="28"/>
  <c r="AD29" i="28"/>
  <c r="AD35" i="28"/>
  <c r="AC28" i="28"/>
  <c r="AC85" i="28" s="1"/>
  <c r="AB27" i="28"/>
  <c r="AB85" i="28"/>
  <c r="BW85" i="28" s="1"/>
  <c r="J92" i="34" s="1"/>
  <c r="T92" i="34" s="1"/>
  <c r="AC35" i="28"/>
  <c r="AC92" i="28" s="1"/>
  <c r="AB92" i="28"/>
  <c r="BW92" i="28" s="1"/>
  <c r="J105" i="34" s="1"/>
  <c r="T105" i="34" s="1"/>
  <c r="AC29" i="28"/>
  <c r="AC86" i="28" s="1"/>
  <c r="AB86" i="28"/>
  <c r="BW86" i="28" s="1"/>
  <c r="J96" i="34" s="1"/>
  <c r="T96" i="34" s="1"/>
  <c r="M50" i="30"/>
  <c r="M62" i="33"/>
  <c r="CC108" i="28"/>
  <c r="T41" i="27"/>
  <c r="T89" i="27" s="1"/>
  <c r="AY114" i="28"/>
  <c r="U99" i="30"/>
  <c r="U105" i="30"/>
  <c r="I55" i="27"/>
  <c r="BS55" i="27" s="1"/>
  <c r="F72" i="34" s="1"/>
  <c r="F71" i="34" s="1"/>
  <c r="I117" i="31"/>
  <c r="AG11" i="32"/>
  <c r="AG15" i="27"/>
  <c r="AH16" i="29"/>
  <c r="V65" i="32"/>
  <c r="BV18" i="32"/>
  <c r="I60" i="25" s="1"/>
  <c r="S39" i="34"/>
  <c r="H11" i="34"/>
  <c r="S11" i="34" s="1"/>
  <c r="C27" i="36" s="1"/>
  <c r="O111" i="29"/>
  <c r="P111" i="29" s="1"/>
  <c r="O73" i="29"/>
  <c r="K53" i="14"/>
  <c r="K56" i="14"/>
  <c r="L36" i="14"/>
  <c r="M33" i="14"/>
  <c r="L42" i="14"/>
  <c r="Q79" i="32"/>
  <c r="U25" i="32"/>
  <c r="U24" i="32"/>
  <c r="U32" i="32"/>
  <c r="U31" i="32"/>
  <c r="U74" i="32" s="1"/>
  <c r="U75" i="32"/>
  <c r="U71" i="32"/>
  <c r="U29" i="32"/>
  <c r="U28" i="32"/>
  <c r="U27" i="32"/>
  <c r="U64" i="32"/>
  <c r="V30" i="32"/>
  <c r="V26" i="32"/>
  <c r="V23" i="32"/>
  <c r="V33" i="32"/>
  <c r="V19" i="32"/>
  <c r="W22" i="32"/>
  <c r="W18" i="32"/>
  <c r="W65" i="32" s="1"/>
  <c r="Y12" i="32"/>
  <c r="Y13" i="32" s="1"/>
  <c r="X15" i="32"/>
  <c r="P92" i="32"/>
  <c r="O93" i="32"/>
  <c r="P46" i="27"/>
  <c r="O75" i="27"/>
  <c r="P75" i="27" s="1"/>
  <c r="O67" i="27"/>
  <c r="P67" i="27" s="1"/>
  <c r="O58" i="27"/>
  <c r="R65" i="31"/>
  <c r="R58" i="31" s="1"/>
  <c r="Q71" i="33"/>
  <c r="Q64" i="31"/>
  <c r="Q57" i="31" s="1"/>
  <c r="Q49" i="31" s="1"/>
  <c r="Q63" i="31"/>
  <c r="Q56" i="31" s="1"/>
  <c r="Q48" i="31" s="1"/>
  <c r="Q64" i="30"/>
  <c r="Q57" i="30" s="1"/>
  <c r="Q49" i="30" s="1"/>
  <c r="Q63" i="30"/>
  <c r="Q56" i="30" s="1"/>
  <c r="Q48" i="30" s="1"/>
  <c r="R92" i="32"/>
  <c r="R46" i="27"/>
  <c r="S66" i="32"/>
  <c r="S52" i="27"/>
  <c r="T34" i="32"/>
  <c r="T62" i="32"/>
  <c r="N95" i="32"/>
  <c r="M29" i="14"/>
  <c r="N28" i="14" s="1"/>
  <c r="M18" i="14"/>
  <c r="L38" i="14"/>
  <c r="L43" i="14"/>
  <c r="L39" i="14"/>
  <c r="L26" i="14"/>
  <c r="E49" i="22"/>
  <c r="E50" i="22" s="1"/>
  <c r="E171" i="22"/>
  <c r="E112" i="22"/>
  <c r="E172" i="22" s="1"/>
  <c r="AL9" i="4"/>
  <c r="AL7" i="4"/>
  <c r="AM3" i="4"/>
  <c r="AK11" i="4"/>
  <c r="AK13" i="4"/>
  <c r="AV14" i="4"/>
  <c r="AV12" i="4"/>
  <c r="AJ14" i="4"/>
  <c r="AJ12" i="4"/>
  <c r="AW11" i="4"/>
  <c r="AW13" i="4"/>
  <c r="AX7" i="4"/>
  <c r="AY3" i="4"/>
  <c r="AX9" i="4"/>
  <c r="BK13" i="4"/>
  <c r="BK11" i="4"/>
  <c r="AA7" i="4"/>
  <c r="AA9" i="4"/>
  <c r="Z13" i="4"/>
  <c r="Z11" i="4"/>
  <c r="Y14" i="4"/>
  <c r="Y12" i="4"/>
  <c r="N14" i="3"/>
  <c r="O14" i="3" s="1"/>
  <c r="BJ12" i="4"/>
  <c r="BJ14" i="4"/>
  <c r="BL7" i="4"/>
  <c r="BM3" i="4"/>
  <c r="BL9" i="4"/>
  <c r="N14" i="4"/>
  <c r="O14" i="4" s="1"/>
  <c r="BU73" i="29" l="1"/>
  <c r="H39" i="20" s="1"/>
  <c r="J90" i="27"/>
  <c r="J88" i="27"/>
  <c r="J83" i="27" s="1"/>
  <c r="J72" i="33"/>
  <c r="J74" i="33" s="1"/>
  <c r="J67" i="33"/>
  <c r="J46" i="31"/>
  <c r="J51" i="31" s="1"/>
  <c r="J113" i="31"/>
  <c r="J109" i="31"/>
  <c r="J107" i="31" s="1"/>
  <c r="J54" i="27" s="1"/>
  <c r="BC52" i="28"/>
  <c r="BC109" i="28" s="1"/>
  <c r="BO29" i="28"/>
  <c r="BO86" i="28" s="1"/>
  <c r="CC86" i="28" s="1"/>
  <c r="P96" i="34" s="1"/>
  <c r="BO35" i="28"/>
  <c r="BO92" i="28" s="1"/>
  <c r="CC92" i="28" s="1"/>
  <c r="P105" i="34" s="1"/>
  <c r="BO28" i="28"/>
  <c r="BP18" i="28"/>
  <c r="BO50" i="28"/>
  <c r="BO109" i="28"/>
  <c r="CC109" i="28" s="1"/>
  <c r="BP52" i="28"/>
  <c r="BP109" i="28" s="1"/>
  <c r="CC16" i="28"/>
  <c r="P86" i="25" s="1"/>
  <c r="BP16" i="28"/>
  <c r="U53" i="27"/>
  <c r="J130" i="30"/>
  <c r="J131" i="30" s="1"/>
  <c r="J132" i="30" s="1"/>
  <c r="J133" i="30" s="1"/>
  <c r="J48" i="27"/>
  <c r="J69" i="27" s="1"/>
  <c r="J65" i="27" s="1"/>
  <c r="O57" i="27"/>
  <c r="P57" i="27" s="1"/>
  <c r="P62" i="27" s="1"/>
  <c r="P58" i="27"/>
  <c r="R96" i="29"/>
  <c r="R47" i="27"/>
  <c r="R70" i="29"/>
  <c r="Q76" i="27"/>
  <c r="Q68" i="27"/>
  <c r="Q59" i="27"/>
  <c r="Q109" i="29"/>
  <c r="Q71" i="29"/>
  <c r="Q110" i="29" s="1"/>
  <c r="T83" i="29"/>
  <c r="T46" i="29"/>
  <c r="V77" i="29"/>
  <c r="V37" i="29"/>
  <c r="X26" i="29"/>
  <c r="X24" i="29"/>
  <c r="Z17" i="29"/>
  <c r="Z18" i="29" s="1"/>
  <c r="Y17" i="27"/>
  <c r="Z16" i="27" s="1"/>
  <c r="Y22" i="29"/>
  <c r="Y20" i="29"/>
  <c r="X25" i="27"/>
  <c r="X87" i="27" s="1"/>
  <c r="X50" i="29"/>
  <c r="W89" i="29"/>
  <c r="W47" i="29"/>
  <c r="W86" i="29" s="1"/>
  <c r="W45" i="29"/>
  <c r="W84" i="29" s="1"/>
  <c r="W42" i="27"/>
  <c r="W27" i="29"/>
  <c r="W38" i="27" s="1"/>
  <c r="W25" i="29"/>
  <c r="W39" i="29"/>
  <c r="W78" i="29" s="1"/>
  <c r="W34" i="27"/>
  <c r="W38" i="29"/>
  <c r="U76" i="29"/>
  <c r="U44" i="29"/>
  <c r="S57" i="29"/>
  <c r="S85" i="29"/>
  <c r="K39" i="27"/>
  <c r="K47" i="30"/>
  <c r="K54" i="30"/>
  <c r="K59" i="33"/>
  <c r="U117" i="28"/>
  <c r="U61" i="28"/>
  <c r="W59" i="28"/>
  <c r="V60" i="28"/>
  <c r="V116" i="28"/>
  <c r="BV116" i="28" s="1"/>
  <c r="T110" i="30"/>
  <c r="F19" i="34"/>
  <c r="F83" i="34"/>
  <c r="BM36" i="28"/>
  <c r="BM91" i="28"/>
  <c r="BN36" i="28"/>
  <c r="BN91" i="28"/>
  <c r="AW58" i="28"/>
  <c r="AW115" i="28" s="1"/>
  <c r="AW101" i="28"/>
  <c r="AX58" i="28"/>
  <c r="AX115" i="28" s="1"/>
  <c r="AX101" i="28"/>
  <c r="AY93" i="28"/>
  <c r="AY44" i="28"/>
  <c r="AZ36" i="28"/>
  <c r="AZ91" i="28"/>
  <c r="BA84" i="28"/>
  <c r="BA34" i="28"/>
  <c r="BB27" i="28"/>
  <c r="BB85" i="28"/>
  <c r="CA85" i="28" s="1"/>
  <c r="N92" i="34" s="1"/>
  <c r="BD17" i="28"/>
  <c r="H115" i="26"/>
  <c r="H132" i="26"/>
  <c r="BC18" i="28"/>
  <c r="I132" i="26" s="1"/>
  <c r="BB50" i="28"/>
  <c r="BC16" i="28"/>
  <c r="CA16" i="28"/>
  <c r="N86" i="25" s="1"/>
  <c r="N14" i="25" s="1"/>
  <c r="V14" i="25" s="1"/>
  <c r="F78" i="36" s="1"/>
  <c r="BA57" i="28"/>
  <c r="BA103" i="28"/>
  <c r="BC53" i="28"/>
  <c r="BC110" i="28" s="1"/>
  <c r="BB110" i="28"/>
  <c r="CA110" i="28" s="1"/>
  <c r="BC51" i="28"/>
  <c r="BC108" i="28" s="1"/>
  <c r="BB108" i="28"/>
  <c r="CA108" i="28" s="1"/>
  <c r="AN58" i="28"/>
  <c r="AN115" i="28" s="1"/>
  <c r="AN101" i="28"/>
  <c r="AO34" i="28"/>
  <c r="AO84" i="28"/>
  <c r="BY84" i="28" s="1"/>
  <c r="BC28" i="28"/>
  <c r="BC85" i="28" s="1"/>
  <c r="AQ27" i="28"/>
  <c r="AQ85" i="28"/>
  <c r="BZ85" i="28" s="1"/>
  <c r="M92" i="34" s="1"/>
  <c r="AQ86" i="28"/>
  <c r="BZ86" i="28" s="1"/>
  <c r="M96" i="34" s="1"/>
  <c r="V96" i="34" s="1"/>
  <c r="BC29" i="28"/>
  <c r="BC86" i="28" s="1"/>
  <c r="AQ92" i="28"/>
  <c r="BZ92" i="28" s="1"/>
  <c r="M105" i="34" s="1"/>
  <c r="V105" i="34" s="1"/>
  <c r="BC35" i="28"/>
  <c r="BC92" i="28" s="1"/>
  <c r="AP46" i="28"/>
  <c r="AP103" i="28" s="1"/>
  <c r="AO57" i="28"/>
  <c r="AO103" i="28"/>
  <c r="BY103" i="28" s="1"/>
  <c r="M60" i="31"/>
  <c r="M53" i="31" s="1"/>
  <c r="M45" i="31" s="1"/>
  <c r="L98" i="31"/>
  <c r="L97" i="31" s="1"/>
  <c r="T30" i="27"/>
  <c r="T64" i="27"/>
  <c r="V23" i="27"/>
  <c r="V18" i="27"/>
  <c r="V22" i="27" s="1"/>
  <c r="V29" i="30"/>
  <c r="V30" i="30"/>
  <c r="V27" i="27"/>
  <c r="W19" i="27"/>
  <c r="W22" i="30"/>
  <c r="W20" i="30"/>
  <c r="W36" i="30" s="1"/>
  <c r="W105" i="30" s="1"/>
  <c r="X17" i="30"/>
  <c r="X18" i="30" s="1"/>
  <c r="W99" i="30"/>
  <c r="V43" i="27"/>
  <c r="V37" i="30"/>
  <c r="V38" i="30" s="1"/>
  <c r="U31" i="30"/>
  <c r="U34" i="30"/>
  <c r="U33" i="30"/>
  <c r="U32" i="30"/>
  <c r="U26" i="27"/>
  <c r="U31" i="27"/>
  <c r="U73" i="27"/>
  <c r="W20" i="31"/>
  <c r="W36" i="31" s="1"/>
  <c r="W22" i="31"/>
  <c r="W20" i="27"/>
  <c r="W24" i="27" s="1"/>
  <c r="X17" i="31"/>
  <c r="X18" i="31" s="1"/>
  <c r="V44" i="27"/>
  <c r="BV44" i="27" s="1"/>
  <c r="I46" i="25" s="1"/>
  <c r="I13" i="25" s="1"/>
  <c r="V29" i="31"/>
  <c r="V30" i="31"/>
  <c r="V28" i="27"/>
  <c r="U31" i="31"/>
  <c r="U32" i="31"/>
  <c r="U33" i="31"/>
  <c r="U34" i="31"/>
  <c r="U32" i="27"/>
  <c r="U81" i="27"/>
  <c r="AA101" i="28"/>
  <c r="AA58" i="28"/>
  <c r="Z58" i="28"/>
  <c r="Z101" i="28"/>
  <c r="J36" i="27"/>
  <c r="J33" i="27" s="1"/>
  <c r="J112" i="31"/>
  <c r="L104" i="30"/>
  <c r="L106" i="30" s="1"/>
  <c r="AC46" i="28"/>
  <c r="AC103" i="28" s="1"/>
  <c r="AB57" i="28"/>
  <c r="AB103" i="28"/>
  <c r="BW103" i="28" s="1"/>
  <c r="AP28" i="28"/>
  <c r="AP85" i="28" s="1"/>
  <c r="AD27" i="28"/>
  <c r="AD85" i="28"/>
  <c r="BX85" i="28" s="1"/>
  <c r="K92" i="34" s="1"/>
  <c r="U92" i="34" s="1"/>
  <c r="AD86" i="28"/>
  <c r="BX86" i="28" s="1"/>
  <c r="K96" i="34" s="1"/>
  <c r="U96" i="34" s="1"/>
  <c r="AP29" i="28"/>
  <c r="AP86" i="28" s="1"/>
  <c r="AD92" i="28"/>
  <c r="BX92" i="28" s="1"/>
  <c r="K105" i="34" s="1"/>
  <c r="U105" i="34" s="1"/>
  <c r="AP35" i="28"/>
  <c r="AP92" i="28" s="1"/>
  <c r="AC27" i="28"/>
  <c r="AC84" i="28" s="1"/>
  <c r="AB34" i="28"/>
  <c r="AB84" i="28"/>
  <c r="BW84" i="28" s="1"/>
  <c r="N65" i="30"/>
  <c r="N58" i="30" s="1"/>
  <c r="I130" i="31"/>
  <c r="I49" i="27"/>
  <c r="CA109" i="28"/>
  <c r="U41" i="27"/>
  <c r="U89" i="27" s="1"/>
  <c r="T110" i="31"/>
  <c r="BN114" i="28"/>
  <c r="V99" i="30"/>
  <c r="V105" i="30"/>
  <c r="V53" i="27" s="1"/>
  <c r="K61" i="31"/>
  <c r="K59" i="31" s="1"/>
  <c r="K55" i="31"/>
  <c r="M45" i="30"/>
  <c r="M108" i="30"/>
  <c r="AH11" i="32"/>
  <c r="AH15" i="27"/>
  <c r="AI16" i="29"/>
  <c r="I65" i="25"/>
  <c r="I25" i="25"/>
  <c r="I23" i="25" s="1"/>
  <c r="I11" i="25"/>
  <c r="P93" i="32"/>
  <c r="O94" i="32"/>
  <c r="K55" i="14"/>
  <c r="K57" i="14"/>
  <c r="K58" i="14" s="1"/>
  <c r="K54" i="14"/>
  <c r="Q46" i="27"/>
  <c r="Q92" i="32"/>
  <c r="U73" i="32"/>
  <c r="U69" i="32"/>
  <c r="V32" i="32"/>
  <c r="V31" i="32"/>
  <c r="V74" i="32" s="1"/>
  <c r="V75" i="32"/>
  <c r="V71" i="32"/>
  <c r="V29" i="32"/>
  <c r="V28" i="32"/>
  <c r="V27" i="32"/>
  <c r="V25" i="32"/>
  <c r="V24" i="32"/>
  <c r="W23" i="32"/>
  <c r="W33" i="32"/>
  <c r="W30" i="32"/>
  <c r="W26" i="32"/>
  <c r="W19" i="32"/>
  <c r="W20" i="32" s="1"/>
  <c r="X18" i="32"/>
  <c r="X65" i="32" s="1"/>
  <c r="X22" i="32"/>
  <c r="Y15" i="32"/>
  <c r="Z12" i="32"/>
  <c r="Z13" i="32" s="1"/>
  <c r="R64" i="31"/>
  <c r="R57" i="31" s="1"/>
  <c r="Q70" i="33"/>
  <c r="R63" i="31"/>
  <c r="R56" i="31" s="1"/>
  <c r="Q69" i="33"/>
  <c r="R64" i="30"/>
  <c r="R57" i="30" s="1"/>
  <c r="Q61" i="33"/>
  <c r="R63" i="30"/>
  <c r="R56" i="30" s="1"/>
  <c r="Q60" i="33"/>
  <c r="R75" i="27"/>
  <c r="R67" i="27"/>
  <c r="R58" i="27"/>
  <c r="S68" i="32"/>
  <c r="T66" i="32"/>
  <c r="T52" i="27"/>
  <c r="U34" i="32"/>
  <c r="U62" i="32"/>
  <c r="V20" i="32"/>
  <c r="V64" i="32" s="1"/>
  <c r="R50" i="31"/>
  <c r="R71" i="33"/>
  <c r="L40" i="14"/>
  <c r="M21" i="14"/>
  <c r="M19" i="14"/>
  <c r="F51" i="22"/>
  <c r="AZ3" i="4"/>
  <c r="AY9" i="4"/>
  <c r="AY7" i="4"/>
  <c r="AN3" i="4"/>
  <c r="AM7" i="4"/>
  <c r="AM9" i="4"/>
  <c r="AX11" i="4"/>
  <c r="AX13" i="4"/>
  <c r="AK14" i="4"/>
  <c r="AK12" i="4"/>
  <c r="AW12" i="4"/>
  <c r="AW14" i="4"/>
  <c r="AL13" i="4"/>
  <c r="AL11" i="4"/>
  <c r="BM7" i="4"/>
  <c r="BM9" i="4"/>
  <c r="BN3" i="4"/>
  <c r="BL13" i="4"/>
  <c r="BL11" i="4"/>
  <c r="Z12" i="4"/>
  <c r="Z14" i="4"/>
  <c r="AA13" i="4"/>
  <c r="AB13" i="4" s="1"/>
  <c r="AA11" i="4"/>
  <c r="BK14" i="4"/>
  <c r="BK12" i="4"/>
  <c r="J111" i="31" l="1"/>
  <c r="BP50" i="28"/>
  <c r="BP107" i="28" s="1"/>
  <c r="BO46" i="28"/>
  <c r="BO107" i="28"/>
  <c r="CC107" i="28" s="1"/>
  <c r="R76" i="27"/>
  <c r="R68" i="27"/>
  <c r="R59" i="27"/>
  <c r="R57" i="27" s="1"/>
  <c r="Q72" i="29"/>
  <c r="P80" i="25"/>
  <c r="P93" i="25" s="1"/>
  <c r="P14" i="25"/>
  <c r="W14" i="25" s="1"/>
  <c r="G78" i="36" s="1"/>
  <c r="BO85" i="28"/>
  <c r="CC85" i="28" s="1"/>
  <c r="P92" i="34" s="1"/>
  <c r="BO27" i="28"/>
  <c r="BV53" i="27"/>
  <c r="I57" i="34" s="1"/>
  <c r="R109" i="29"/>
  <c r="R71" i="29"/>
  <c r="T85" i="29"/>
  <c r="T57" i="29"/>
  <c r="V76" i="29"/>
  <c r="V44" i="29"/>
  <c r="X34" i="27"/>
  <c r="X39" i="29"/>
  <c r="X78" i="29" s="1"/>
  <c r="X38" i="29"/>
  <c r="X89" i="29"/>
  <c r="X47" i="29"/>
  <c r="X86" i="29" s="1"/>
  <c r="X45" i="29"/>
  <c r="X84" i="29" s="1"/>
  <c r="X42" i="27"/>
  <c r="X27" i="29"/>
  <c r="X38" i="27" s="1"/>
  <c r="X25" i="29"/>
  <c r="AA17" i="29"/>
  <c r="AA18" i="29" s="1"/>
  <c r="Z17" i="27"/>
  <c r="AA16" i="27" s="1"/>
  <c r="Z22" i="29"/>
  <c r="Z20" i="29"/>
  <c r="Y25" i="27"/>
  <c r="Y87" i="27" s="1"/>
  <c r="Y50" i="29"/>
  <c r="Y26" i="29"/>
  <c r="Y24" i="29"/>
  <c r="W77" i="29"/>
  <c r="W37" i="29"/>
  <c r="U46" i="29"/>
  <c r="U83" i="29"/>
  <c r="S70" i="29"/>
  <c r="S47" i="27"/>
  <c r="S96" i="29"/>
  <c r="Q111" i="29"/>
  <c r="Q73" i="29"/>
  <c r="F22" i="34"/>
  <c r="F26" i="34" s="1"/>
  <c r="F28" i="34" s="1"/>
  <c r="F35" i="25" s="1"/>
  <c r="F85" i="34"/>
  <c r="F87" i="34" s="1"/>
  <c r="L62" i="30"/>
  <c r="L61" i="30" s="1"/>
  <c r="L59" i="30" s="1"/>
  <c r="K46" i="30"/>
  <c r="K51" i="30" s="1"/>
  <c r="K109" i="30"/>
  <c r="K107" i="30" s="1"/>
  <c r="K113" i="30"/>
  <c r="K52" i="30"/>
  <c r="K58" i="33"/>
  <c r="K63" i="33"/>
  <c r="X59" i="28"/>
  <c r="W116" i="28"/>
  <c r="W60" i="28"/>
  <c r="V61" i="28"/>
  <c r="BV61" i="28" s="1"/>
  <c r="I55" i="20" s="1"/>
  <c r="V117" i="28"/>
  <c r="BV117" i="28" s="1"/>
  <c r="V92" i="34"/>
  <c r="BM44" i="28"/>
  <c r="BM93" i="28"/>
  <c r="BN44" i="28"/>
  <c r="BN93" i="28"/>
  <c r="AY58" i="28"/>
  <c r="AY115" i="28" s="1"/>
  <c r="AY101" i="28"/>
  <c r="AZ44" i="28"/>
  <c r="AZ93" i="28"/>
  <c r="BA36" i="28"/>
  <c r="BA91" i="28"/>
  <c r="BB84" i="28"/>
  <c r="CA84" i="28" s="1"/>
  <c r="BB34" i="28"/>
  <c r="BP17" i="28"/>
  <c r="BD28" i="28"/>
  <c r="BD29" i="28"/>
  <c r="BD35" i="28"/>
  <c r="BC50" i="28"/>
  <c r="BC107" i="28" s="1"/>
  <c r="BB46" i="28"/>
  <c r="BB107" i="28"/>
  <c r="CA107" i="28" s="1"/>
  <c r="BA114" i="28"/>
  <c r="AO91" i="28"/>
  <c r="BY91" i="28" s="1"/>
  <c r="AO36" i="28"/>
  <c r="BC27" i="28"/>
  <c r="BC84" i="28" s="1"/>
  <c r="AQ34" i="28"/>
  <c r="AQ84" i="28"/>
  <c r="BZ84" i="28" s="1"/>
  <c r="AP57" i="28"/>
  <c r="AP114" i="28" s="1"/>
  <c r="AO114" i="28"/>
  <c r="BY114" i="28" s="1"/>
  <c r="M98" i="31"/>
  <c r="M97" i="31" s="1"/>
  <c r="N60" i="31"/>
  <c r="M108" i="31"/>
  <c r="V33" i="30"/>
  <c r="V32" i="30"/>
  <c r="V31" i="30"/>
  <c r="V34" i="30"/>
  <c r="V31" i="27"/>
  <c r="V26" i="27"/>
  <c r="V73" i="27"/>
  <c r="BV73" i="27" s="1"/>
  <c r="X19" i="27"/>
  <c r="Y17" i="30"/>
  <c r="Y18" i="30" s="1"/>
  <c r="X20" i="30"/>
  <c r="X36" i="30" s="1"/>
  <c r="X99" i="30" s="1"/>
  <c r="X22" i="30"/>
  <c r="W18" i="27"/>
  <c r="W22" i="27" s="1"/>
  <c r="W23" i="27"/>
  <c r="W27" i="27"/>
  <c r="W29" i="30"/>
  <c r="W30" i="30"/>
  <c r="X105" i="30"/>
  <c r="W43" i="27"/>
  <c r="W37" i="30"/>
  <c r="W38" i="30" s="1"/>
  <c r="V41" i="27"/>
  <c r="V89" i="27" s="1"/>
  <c r="BV89" i="27" s="1"/>
  <c r="BV43" i="27"/>
  <c r="I45" i="25" s="1"/>
  <c r="U30" i="27"/>
  <c r="U64" i="27"/>
  <c r="X20" i="31"/>
  <c r="X36" i="31" s="1"/>
  <c r="X105" i="31" s="1"/>
  <c r="X20" i="27"/>
  <c r="X24" i="27" s="1"/>
  <c r="X22" i="31"/>
  <c r="Y17" i="31"/>
  <c r="Y18" i="31" s="1"/>
  <c r="W44" i="27"/>
  <c r="W37" i="31"/>
  <c r="W38" i="31" s="1"/>
  <c r="W28" i="27"/>
  <c r="W29" i="31"/>
  <c r="W30" i="31"/>
  <c r="V33" i="31"/>
  <c r="V31" i="31"/>
  <c r="V32" i="31"/>
  <c r="V34" i="31"/>
  <c r="V32" i="27"/>
  <c r="V81" i="27"/>
  <c r="BV81" i="27" s="1"/>
  <c r="Z115" i="28"/>
  <c r="AC57" i="28"/>
  <c r="AC114" i="28" s="1"/>
  <c r="AB114" i="28"/>
  <c r="BW114" i="28" s="1"/>
  <c r="AD34" i="28"/>
  <c r="AP27" i="28"/>
  <c r="AP84" i="28" s="1"/>
  <c r="AD84" i="28"/>
  <c r="BX84" i="28" s="1"/>
  <c r="AC34" i="28"/>
  <c r="AC91" i="28" s="1"/>
  <c r="AB36" i="28"/>
  <c r="AB91" i="28"/>
  <c r="BW91" i="28" s="1"/>
  <c r="N62" i="33"/>
  <c r="N50" i="30"/>
  <c r="I131" i="31"/>
  <c r="I132" i="31" s="1"/>
  <c r="I133" i="31" s="1"/>
  <c r="BS133" i="31" s="1"/>
  <c r="F45" i="20" s="1"/>
  <c r="I45" i="27"/>
  <c r="I78" i="27"/>
  <c r="I94" i="27" s="1"/>
  <c r="K40" i="27"/>
  <c r="K37" i="27" s="1"/>
  <c r="K54" i="31"/>
  <c r="K68" i="33"/>
  <c r="K47" i="31"/>
  <c r="N60" i="30"/>
  <c r="N53" i="30"/>
  <c r="M98" i="30"/>
  <c r="M97" i="30" s="1"/>
  <c r="M104" i="30" s="1"/>
  <c r="M106" i="30" s="1"/>
  <c r="U110" i="31"/>
  <c r="U110" i="30"/>
  <c r="L104" i="31"/>
  <c r="L106" i="31" s="1"/>
  <c r="L51" i="27"/>
  <c r="BT51" i="27" s="1"/>
  <c r="G38" i="34" s="1"/>
  <c r="G35" i="34" s="1"/>
  <c r="W99" i="31"/>
  <c r="W105" i="31"/>
  <c r="W53" i="27" s="1"/>
  <c r="AA115" i="28"/>
  <c r="AI11" i="32"/>
  <c r="AI15" i="27"/>
  <c r="AJ16" i="29"/>
  <c r="P94" i="32"/>
  <c r="P95" i="32" s="1"/>
  <c r="O95" i="32"/>
  <c r="BU95" i="32" s="1"/>
  <c r="H36" i="20" s="1"/>
  <c r="Q75" i="27"/>
  <c r="Q67" i="27"/>
  <c r="Q58" i="27"/>
  <c r="Q93" i="32"/>
  <c r="Q94" i="32" s="1"/>
  <c r="V34" i="32"/>
  <c r="W25" i="32"/>
  <c r="W24" i="32"/>
  <c r="W32" i="32"/>
  <c r="W31" i="32"/>
  <c r="W74" i="32" s="1"/>
  <c r="W75" i="32"/>
  <c r="W71" i="32"/>
  <c r="W69" i="32" s="1"/>
  <c r="W29" i="32"/>
  <c r="W28" i="32"/>
  <c r="W27" i="32"/>
  <c r="W64" i="32"/>
  <c r="X19" i="32"/>
  <c r="X20" i="32" s="1"/>
  <c r="X30" i="32"/>
  <c r="X26" i="32"/>
  <c r="X23" i="32"/>
  <c r="X33" i="32"/>
  <c r="Y18" i="32"/>
  <c r="Y65" i="32" s="1"/>
  <c r="Y22" i="32"/>
  <c r="AA12" i="32"/>
  <c r="Z15" i="32"/>
  <c r="AA13" i="32"/>
  <c r="M104" i="31"/>
  <c r="S79" i="32"/>
  <c r="U66" i="32"/>
  <c r="U52" i="27"/>
  <c r="S65" i="31"/>
  <c r="S58" i="31" s="1"/>
  <c r="S50" i="31" s="1"/>
  <c r="V69" i="32"/>
  <c r="V73" i="32"/>
  <c r="R49" i="31"/>
  <c r="R70" i="33"/>
  <c r="R48" i="31"/>
  <c r="R69" i="33"/>
  <c r="R49" i="30"/>
  <c r="R61" i="33"/>
  <c r="R48" i="30"/>
  <c r="R60" i="33"/>
  <c r="T68" i="32"/>
  <c r="T79" i="32" s="1"/>
  <c r="V62" i="32"/>
  <c r="L44" i="14"/>
  <c r="L47" i="14" s="1"/>
  <c r="L41" i="14"/>
  <c r="M50" i="14"/>
  <c r="M52" i="14" s="1"/>
  <c r="M23" i="14"/>
  <c r="M24" i="14" s="1"/>
  <c r="M35" i="14"/>
  <c r="F49" i="22"/>
  <c r="F50" i="22" s="1"/>
  <c r="F171" i="22"/>
  <c r="AN9" i="4"/>
  <c r="AN7" i="4"/>
  <c r="AY13" i="4"/>
  <c r="AY11" i="4"/>
  <c r="AM11" i="4"/>
  <c r="AM13" i="4"/>
  <c r="AX14" i="4"/>
  <c r="AX12" i="4"/>
  <c r="AL12" i="4"/>
  <c r="AL14" i="4"/>
  <c r="AZ9" i="4"/>
  <c r="BA3" i="4"/>
  <c r="AZ7" i="4"/>
  <c r="BL14" i="4"/>
  <c r="BL12" i="4"/>
  <c r="BN7" i="4"/>
  <c r="BN9" i="4"/>
  <c r="AA12" i="4"/>
  <c r="AA14" i="4"/>
  <c r="AB14" i="4" s="1"/>
  <c r="BM13" i="4"/>
  <c r="BM11" i="4"/>
  <c r="J55" i="27" l="1"/>
  <c r="J117" i="31"/>
  <c r="BP46" i="28"/>
  <c r="BP103" i="28" s="1"/>
  <c r="BO57" i="28"/>
  <c r="BO103" i="28"/>
  <c r="CC103" i="28" s="1"/>
  <c r="R110" i="29"/>
  <c r="R72" i="29"/>
  <c r="T96" i="29"/>
  <c r="T47" i="27"/>
  <c r="T70" i="29"/>
  <c r="T109" i="29" s="1"/>
  <c r="V83" i="29"/>
  <c r="V46" i="29"/>
  <c r="X99" i="31"/>
  <c r="L55" i="30"/>
  <c r="F8" i="25"/>
  <c r="F21" i="25" s="1"/>
  <c r="F31" i="25"/>
  <c r="F33" i="25" s="1"/>
  <c r="BO34" i="28"/>
  <c r="BO84" i="28"/>
  <c r="CC84" i="28" s="1"/>
  <c r="X77" i="29"/>
  <c r="X37" i="29"/>
  <c r="U85" i="29"/>
  <c r="U57" i="29"/>
  <c r="Z25" i="27"/>
  <c r="Z87" i="27" s="1"/>
  <c r="Z50" i="29"/>
  <c r="Z26" i="29"/>
  <c r="Z24" i="29"/>
  <c r="AB17" i="29"/>
  <c r="AA17" i="27"/>
  <c r="AB16" i="27" s="1"/>
  <c r="AA22" i="29"/>
  <c r="AA20" i="29"/>
  <c r="Y89" i="29"/>
  <c r="Y47" i="29"/>
  <c r="Y86" i="29" s="1"/>
  <c r="Y38" i="29"/>
  <c r="Y39" i="29"/>
  <c r="Y78" i="29" s="1"/>
  <c r="Y34" i="27"/>
  <c r="Y45" i="29"/>
  <c r="Y84" i="29" s="1"/>
  <c r="Y42" i="27"/>
  <c r="Y27" i="29"/>
  <c r="Y38" i="27" s="1"/>
  <c r="Y25" i="29"/>
  <c r="W76" i="29"/>
  <c r="W44" i="29"/>
  <c r="S109" i="29"/>
  <c r="S71" i="29"/>
  <c r="S59" i="27"/>
  <c r="S68" i="27"/>
  <c r="S76" i="27"/>
  <c r="L39" i="27"/>
  <c r="K112" i="30"/>
  <c r="K111" i="30" s="1"/>
  <c r="K117" i="30" s="1"/>
  <c r="K35" i="27"/>
  <c r="Y59" i="28"/>
  <c r="X60" i="28"/>
  <c r="X116" i="28"/>
  <c r="W61" i="28"/>
  <c r="W117" i="28"/>
  <c r="V110" i="30"/>
  <c r="V110" i="31"/>
  <c r="BM58" i="28"/>
  <c r="BM115" i="28" s="1"/>
  <c r="BM101" i="28"/>
  <c r="BN58" i="28"/>
  <c r="BN115" i="28" s="1"/>
  <c r="BN101" i="28"/>
  <c r="AZ58" i="28"/>
  <c r="AZ115" i="28" s="1"/>
  <c r="AZ101" i="28"/>
  <c r="BA44" i="28"/>
  <c r="BA93" i="28"/>
  <c r="BB36" i="28"/>
  <c r="BB91" i="28"/>
  <c r="CA91" i="28" s="1"/>
  <c r="BP28" i="28"/>
  <c r="BP85" i="28" s="1"/>
  <c r="BD27" i="28"/>
  <c r="BD85" i="28"/>
  <c r="CB85" i="28" s="1"/>
  <c r="O92" i="34" s="1"/>
  <c r="W92" i="34" s="1"/>
  <c r="BD86" i="28"/>
  <c r="CB86" i="28" s="1"/>
  <c r="O96" i="34" s="1"/>
  <c r="W96" i="34" s="1"/>
  <c r="BP29" i="28"/>
  <c r="BP86" i="28" s="1"/>
  <c r="BD92" i="28"/>
  <c r="CB92" i="28" s="1"/>
  <c r="O105" i="34" s="1"/>
  <c r="W105" i="34" s="1"/>
  <c r="BP35" i="28"/>
  <c r="BP92" i="28" s="1"/>
  <c r="BC46" i="28"/>
  <c r="BC103" i="28" s="1"/>
  <c r="BB57" i="28"/>
  <c r="BB103" i="28"/>
  <c r="CA103" i="28" s="1"/>
  <c r="AO93" i="28"/>
  <c r="BY93" i="28" s="1"/>
  <c r="AO44" i="28"/>
  <c r="BC34" i="28"/>
  <c r="BC91" i="28" s="1"/>
  <c r="AQ36" i="28"/>
  <c r="AQ91" i="28"/>
  <c r="BZ91" i="28" s="1"/>
  <c r="N53" i="31"/>
  <c r="V30" i="27"/>
  <c r="V64" i="27"/>
  <c r="BV64" i="27" s="1"/>
  <c r="I61" i="34" s="1"/>
  <c r="Y19" i="27"/>
  <c r="Y20" i="30"/>
  <c r="Y36" i="30" s="1"/>
  <c r="Y105" i="30" s="1"/>
  <c r="Y22" i="30"/>
  <c r="Z17" i="30"/>
  <c r="Z18" i="30" s="1"/>
  <c r="X18" i="27"/>
  <c r="X22" i="27" s="1"/>
  <c r="X23" i="27"/>
  <c r="Y99" i="30"/>
  <c r="X43" i="27"/>
  <c r="X37" i="30"/>
  <c r="X38" i="30" s="1"/>
  <c r="X30" i="30"/>
  <c r="X27" i="27"/>
  <c r="X29" i="30"/>
  <c r="W31" i="27"/>
  <c r="W26" i="27"/>
  <c r="W73" i="27"/>
  <c r="W32" i="30"/>
  <c r="W33" i="30"/>
  <c r="W34" i="30"/>
  <c r="W31" i="30"/>
  <c r="I42" i="25"/>
  <c r="I12" i="25"/>
  <c r="I10" i="25" s="1"/>
  <c r="X37" i="31"/>
  <c r="X38" i="31" s="1"/>
  <c r="X44" i="27"/>
  <c r="Y20" i="31"/>
  <c r="Y36" i="31" s="1"/>
  <c r="Y22" i="31"/>
  <c r="Y20" i="27"/>
  <c r="Y24" i="27" s="1"/>
  <c r="Z17" i="31"/>
  <c r="X29" i="31"/>
  <c r="X30" i="31"/>
  <c r="X28" i="27"/>
  <c r="W32" i="27"/>
  <c r="W81" i="27"/>
  <c r="W31" i="31"/>
  <c r="W32" i="31"/>
  <c r="W33" i="31"/>
  <c r="W34" i="31"/>
  <c r="J130" i="31"/>
  <c r="J49" i="27"/>
  <c r="AD36" i="28"/>
  <c r="AP34" i="28"/>
  <c r="AP91" i="28" s="1"/>
  <c r="AD91" i="28"/>
  <c r="BX91" i="28" s="1"/>
  <c r="AC36" i="28"/>
  <c r="AC93" i="28" s="1"/>
  <c r="AB44" i="28"/>
  <c r="AB93" i="28"/>
  <c r="BW93" i="28" s="1"/>
  <c r="O65" i="30"/>
  <c r="BS94" i="27"/>
  <c r="I95" i="27"/>
  <c r="BS95" i="27" s="1"/>
  <c r="K88" i="27"/>
  <c r="K90" i="27"/>
  <c r="K83" i="27" s="1"/>
  <c r="K52" i="31"/>
  <c r="K109" i="31"/>
  <c r="K107" i="31" s="1"/>
  <c r="K113" i="31"/>
  <c r="K72" i="33"/>
  <c r="K74" i="33" s="1"/>
  <c r="K67" i="33"/>
  <c r="L62" i="31"/>
  <c r="K46" i="31"/>
  <c r="K51" i="31" s="1"/>
  <c r="N108" i="30"/>
  <c r="N45" i="30"/>
  <c r="G31" i="34"/>
  <c r="G10" i="34"/>
  <c r="M51" i="27"/>
  <c r="X53" i="27"/>
  <c r="W41" i="27"/>
  <c r="W89" i="27" s="1"/>
  <c r="I82" i="27"/>
  <c r="AJ15" i="27"/>
  <c r="AJ11" i="32"/>
  <c r="AK16" i="29"/>
  <c r="X44" i="29"/>
  <c r="X76" i="29"/>
  <c r="X64" i="32"/>
  <c r="X62" i="32" s="1"/>
  <c r="Q57" i="27"/>
  <c r="Q95" i="32"/>
  <c r="R93" i="32"/>
  <c r="X32" i="32"/>
  <c r="X31" i="32"/>
  <c r="X74" i="32" s="1"/>
  <c r="X75" i="32"/>
  <c r="X71" i="32"/>
  <c r="X29" i="32"/>
  <c r="X28" i="32"/>
  <c r="X27" i="32"/>
  <c r="X25" i="32"/>
  <c r="X24" i="32"/>
  <c r="Y19" i="32"/>
  <c r="Y20" i="32" s="1"/>
  <c r="Y23" i="32"/>
  <c r="Y33" i="32"/>
  <c r="Y30" i="32"/>
  <c r="Y26" i="32"/>
  <c r="Z22" i="32"/>
  <c r="Z18" i="32"/>
  <c r="Z65" i="32" s="1"/>
  <c r="AA15" i="32"/>
  <c r="AB12" i="32"/>
  <c r="M106" i="31"/>
  <c r="S92" i="32"/>
  <c r="S46" i="27"/>
  <c r="T65" i="31"/>
  <c r="T58" i="31" s="1"/>
  <c r="S71" i="33"/>
  <c r="S64" i="31"/>
  <c r="S57" i="31" s="1"/>
  <c r="S49" i="31" s="1"/>
  <c r="S63" i="31"/>
  <c r="S56" i="31" s="1"/>
  <c r="S48" i="31" s="1"/>
  <c r="S64" i="30"/>
  <c r="S57" i="30" s="1"/>
  <c r="S49" i="30" s="1"/>
  <c r="S63" i="30"/>
  <c r="S56" i="30" s="1"/>
  <c r="S48" i="30" s="1"/>
  <c r="T46" i="27"/>
  <c r="T92" i="32"/>
  <c r="V52" i="27"/>
  <c r="BV52" i="27" s="1"/>
  <c r="I50" i="34" s="1"/>
  <c r="I45" i="34" s="1"/>
  <c r="V66" i="32"/>
  <c r="W34" i="32"/>
  <c r="W73" i="32"/>
  <c r="W62" i="32"/>
  <c r="U68" i="32"/>
  <c r="L53" i="14"/>
  <c r="L56" i="14"/>
  <c r="N16" i="14"/>
  <c r="M25" i="14"/>
  <c r="M42" i="14"/>
  <c r="M36" i="14"/>
  <c r="N33" i="14"/>
  <c r="G51" i="22"/>
  <c r="I51" i="22"/>
  <c r="AZ13" i="4"/>
  <c r="AZ11" i="4"/>
  <c r="AM12" i="4"/>
  <c r="AM14" i="4"/>
  <c r="BA9" i="4"/>
  <c r="BA7" i="4"/>
  <c r="AY12" i="4"/>
  <c r="AY14" i="4"/>
  <c r="AN13" i="4"/>
  <c r="AO13" i="4" s="1"/>
  <c r="AN11" i="4"/>
  <c r="BM14" i="4"/>
  <c r="BM12" i="4"/>
  <c r="BN11" i="4"/>
  <c r="BN13" i="4"/>
  <c r="BO13" i="4" s="1"/>
  <c r="BP57" i="28" l="1"/>
  <c r="BP114" i="28" s="1"/>
  <c r="BO114" i="28"/>
  <c r="CC114" i="28" s="1"/>
  <c r="R111" i="29"/>
  <c r="R73" i="29"/>
  <c r="T76" i="27"/>
  <c r="T68" i="27"/>
  <c r="T59" i="27"/>
  <c r="V85" i="29"/>
  <c r="V57" i="29"/>
  <c r="V96" i="29" s="1"/>
  <c r="L59" i="33"/>
  <c r="L54" i="30"/>
  <c r="L47" i="30"/>
  <c r="W110" i="30"/>
  <c r="F38" i="25"/>
  <c r="BO91" i="28"/>
  <c r="CC91" i="28" s="1"/>
  <c r="BO36" i="28"/>
  <c r="T71" i="29"/>
  <c r="T110" i="29" s="1"/>
  <c r="S110" i="29"/>
  <c r="S72" i="29"/>
  <c r="U47" i="27"/>
  <c r="U70" i="29"/>
  <c r="U109" i="29" s="1"/>
  <c r="U96" i="29"/>
  <c r="Z89" i="29"/>
  <c r="Z47" i="29"/>
  <c r="Z86" i="29" s="1"/>
  <c r="Z38" i="29"/>
  <c r="Z34" i="27"/>
  <c r="Z39" i="29"/>
  <c r="Z78" i="29" s="1"/>
  <c r="Z45" i="29"/>
  <c r="Z84" i="29" s="1"/>
  <c r="Z42" i="27"/>
  <c r="Z27" i="29"/>
  <c r="Z38" i="27" s="1"/>
  <c r="Z25" i="29"/>
  <c r="AC17" i="29"/>
  <c r="AB18" i="29"/>
  <c r="AC18" i="29" s="1"/>
  <c r="AA50" i="29"/>
  <c r="AA25" i="27"/>
  <c r="AA87" i="27" s="1"/>
  <c r="AA26" i="29"/>
  <c r="AA24" i="29"/>
  <c r="Y77" i="29"/>
  <c r="Y37" i="29"/>
  <c r="W46" i="29"/>
  <c r="W83" i="29"/>
  <c r="AC12" i="32"/>
  <c r="AB13" i="32"/>
  <c r="L58" i="33"/>
  <c r="L63" i="33"/>
  <c r="L109" i="30"/>
  <c r="L107" i="30" s="1"/>
  <c r="L113" i="30"/>
  <c r="L52" i="30"/>
  <c r="L46" i="30"/>
  <c r="L51" i="30" s="1"/>
  <c r="M62" i="30"/>
  <c r="K130" i="30"/>
  <c r="K131" i="30" s="1"/>
  <c r="K132" i="30" s="1"/>
  <c r="K133" i="30" s="1"/>
  <c r="K48" i="27"/>
  <c r="K69" i="27" s="1"/>
  <c r="K65" i="27" s="1"/>
  <c r="Z59" i="28"/>
  <c r="Y116" i="28"/>
  <c r="Y60" i="28"/>
  <c r="X117" i="28"/>
  <c r="X61" i="28"/>
  <c r="BA58" i="28"/>
  <c r="BA115" i="28" s="1"/>
  <c r="BA101" i="28"/>
  <c r="BB93" i="28"/>
  <c r="CA93" i="28" s="1"/>
  <c r="BB44" i="28"/>
  <c r="BD34" i="28"/>
  <c r="BP27" i="28"/>
  <c r="BP84" i="28" s="1"/>
  <c r="BD84" i="28"/>
  <c r="CB84" i="28" s="1"/>
  <c r="BC57" i="28"/>
  <c r="BC114" i="28" s="1"/>
  <c r="BB114" i="28"/>
  <c r="CA114" i="28" s="1"/>
  <c r="AO58" i="28"/>
  <c r="AO115" i="28" s="1"/>
  <c r="BY115" i="28" s="1"/>
  <c r="AO101" i="28"/>
  <c r="BY101" i="28" s="1"/>
  <c r="BC36" i="28"/>
  <c r="BC93" i="28" s="1"/>
  <c r="AQ44" i="28"/>
  <c r="AQ93" i="28"/>
  <c r="BZ93" i="28" s="1"/>
  <c r="N108" i="31"/>
  <c r="N45" i="31"/>
  <c r="Z20" i="30"/>
  <c r="Z36" i="30" s="1"/>
  <c r="Z19" i="27"/>
  <c r="Z22" i="30"/>
  <c r="AA17" i="30"/>
  <c r="AA18" i="30" s="1"/>
  <c r="Y18" i="27"/>
  <c r="Y22" i="27" s="1"/>
  <c r="Y23" i="27"/>
  <c r="Z99" i="30"/>
  <c r="Z105" i="30"/>
  <c r="Y37" i="30"/>
  <c r="Y38" i="30" s="1"/>
  <c r="Y43" i="27"/>
  <c r="Y29" i="30"/>
  <c r="Y27" i="27"/>
  <c r="Y30" i="30"/>
  <c r="X33" i="30"/>
  <c r="X31" i="30"/>
  <c r="X32" i="30"/>
  <c r="X34" i="30"/>
  <c r="X26" i="27"/>
  <c r="X31" i="27"/>
  <c r="X73" i="27"/>
  <c r="W64" i="27"/>
  <c r="W30" i="27"/>
  <c r="I9" i="25"/>
  <c r="I55" i="25"/>
  <c r="Y37" i="31"/>
  <c r="Y38" i="31" s="1"/>
  <c r="Y44" i="27"/>
  <c r="Y29" i="31"/>
  <c r="Y30" i="31"/>
  <c r="Y28" i="27"/>
  <c r="Z18" i="31"/>
  <c r="X31" i="31"/>
  <c r="X32" i="31"/>
  <c r="X33" i="31"/>
  <c r="X34" i="31"/>
  <c r="X32" i="27"/>
  <c r="X81" i="27"/>
  <c r="J131" i="31"/>
  <c r="J132" i="31" s="1"/>
  <c r="J133" i="31" s="1"/>
  <c r="J45" i="27"/>
  <c r="J78" i="27"/>
  <c r="J74" i="27" s="1"/>
  <c r="AP36" i="28"/>
  <c r="AP93" i="28" s="1"/>
  <c r="AD44" i="28"/>
  <c r="AD93" i="28"/>
  <c r="BX93" i="28" s="1"/>
  <c r="AC44" i="28"/>
  <c r="AC101" i="28" s="1"/>
  <c r="AB58" i="28"/>
  <c r="AB101" i="28"/>
  <c r="BW101" i="28" s="1"/>
  <c r="K36" i="27"/>
  <c r="K33" i="27" s="1"/>
  <c r="K112" i="31"/>
  <c r="K111" i="31" s="1"/>
  <c r="K54" i="27"/>
  <c r="L61" i="31"/>
  <c r="L59" i="31" s="1"/>
  <c r="L55" i="31"/>
  <c r="O60" i="30"/>
  <c r="O53" i="30" s="1"/>
  <c r="N98" i="30"/>
  <c r="G53" i="34"/>
  <c r="G8" i="34"/>
  <c r="X41" i="27"/>
  <c r="X89" i="27" s="1"/>
  <c r="W110" i="31"/>
  <c r="Y105" i="31"/>
  <c r="Y53" i="27" s="1"/>
  <c r="Y99" i="31"/>
  <c r="P65" i="30"/>
  <c r="O58" i="30"/>
  <c r="AK11" i="32"/>
  <c r="AK15" i="27"/>
  <c r="AL16" i="29"/>
  <c r="X83" i="29"/>
  <c r="X46" i="29"/>
  <c r="X73" i="32"/>
  <c r="X66" i="32"/>
  <c r="X68" i="32" s="1"/>
  <c r="X52" i="27"/>
  <c r="U71" i="29"/>
  <c r="X69" i="32"/>
  <c r="X34" i="32"/>
  <c r="Y64" i="32"/>
  <c r="Y25" i="32"/>
  <c r="Y24" i="32"/>
  <c r="Y32" i="32"/>
  <c r="Y31" i="32"/>
  <c r="Y74" i="32" s="1"/>
  <c r="Y75" i="32"/>
  <c r="Y71" i="32"/>
  <c r="Y29" i="32"/>
  <c r="Y28" i="32"/>
  <c r="Y27" i="32"/>
  <c r="Z30" i="32"/>
  <c r="Z26" i="32"/>
  <c r="Z23" i="32"/>
  <c r="Z33" i="32"/>
  <c r="Z19" i="32"/>
  <c r="Z20" i="32" s="1"/>
  <c r="Z64" i="32" s="1"/>
  <c r="Z62" i="32" s="1"/>
  <c r="AA22" i="32"/>
  <c r="AA18" i="32"/>
  <c r="AA65" i="32" s="1"/>
  <c r="S93" i="32"/>
  <c r="S94" i="32" s="1"/>
  <c r="S95" i="32" s="1"/>
  <c r="S75" i="27"/>
  <c r="S67" i="27"/>
  <c r="S58" i="27"/>
  <c r="V47" i="27"/>
  <c r="V70" i="29"/>
  <c r="V109" i="29" s="1"/>
  <c r="T64" i="31"/>
  <c r="T57" i="31" s="1"/>
  <c r="S70" i="33"/>
  <c r="T63" i="31"/>
  <c r="T56" i="31" s="1"/>
  <c r="S69" i="33"/>
  <c r="T64" i="30"/>
  <c r="T57" i="30" s="1"/>
  <c r="S61" i="33"/>
  <c r="T63" i="30"/>
  <c r="T56" i="30" s="1"/>
  <c r="S60" i="33"/>
  <c r="T75" i="27"/>
  <c r="T67" i="27"/>
  <c r="T58" i="27"/>
  <c r="T57" i="27" s="1"/>
  <c r="W66" i="32"/>
  <c r="W52" i="27"/>
  <c r="U79" i="32"/>
  <c r="R94" i="32"/>
  <c r="T50" i="31"/>
  <c r="T71" i="33"/>
  <c r="V68" i="32"/>
  <c r="V79" i="32" s="1"/>
  <c r="L57" i="14"/>
  <c r="L58" i="14" s="1"/>
  <c r="L55" i="14"/>
  <c r="L54" i="14"/>
  <c r="N29" i="14"/>
  <c r="O28" i="14" s="1"/>
  <c r="N18" i="14"/>
  <c r="M38" i="14"/>
  <c r="M39" i="14"/>
  <c r="M26" i="14"/>
  <c r="M43" i="14"/>
  <c r="G49" i="22"/>
  <c r="G50" i="22" s="1"/>
  <c r="G171" i="22"/>
  <c r="I49" i="22"/>
  <c r="I50" i="22" s="1"/>
  <c r="I171" i="22"/>
  <c r="H51" i="22"/>
  <c r="BA13" i="4"/>
  <c r="BB13" i="4" s="1"/>
  <c r="BA11" i="4"/>
  <c r="AN12" i="4"/>
  <c r="AN14" i="4"/>
  <c r="AO14" i="4" s="1"/>
  <c r="AZ12" i="4"/>
  <c r="AZ14" i="4"/>
  <c r="BN12" i="4"/>
  <c r="BN14" i="4"/>
  <c r="BO14" i="4" s="1"/>
  <c r="S111" i="29" l="1"/>
  <c r="S73" i="29"/>
  <c r="T72" i="29"/>
  <c r="T111" i="29" s="1"/>
  <c r="BO44" i="28"/>
  <c r="BO93" i="28"/>
  <c r="CC93" i="28" s="1"/>
  <c r="Z77" i="29"/>
  <c r="Z37" i="29"/>
  <c r="Z76" i="29" s="1"/>
  <c r="J94" i="27"/>
  <c r="AA34" i="27"/>
  <c r="AA39" i="29"/>
  <c r="AA78" i="29" s="1"/>
  <c r="AA38" i="29"/>
  <c r="AA47" i="29"/>
  <c r="AA86" i="29" s="1"/>
  <c r="AA89" i="29"/>
  <c r="Y76" i="29"/>
  <c r="Y44" i="29"/>
  <c r="AA45" i="29"/>
  <c r="AA84" i="29" s="1"/>
  <c r="AA42" i="27"/>
  <c r="AA27" i="29"/>
  <c r="AA38" i="27" s="1"/>
  <c r="AA25" i="29"/>
  <c r="AB15" i="32"/>
  <c r="AC13" i="32"/>
  <c r="AD12" i="32" s="1"/>
  <c r="AD13" i="32" s="1"/>
  <c r="U68" i="27"/>
  <c r="U76" i="27"/>
  <c r="U59" i="27"/>
  <c r="AB17" i="27"/>
  <c r="AB22" i="29"/>
  <c r="AB20" i="29"/>
  <c r="W85" i="29"/>
  <c r="W57" i="29"/>
  <c r="W47" i="27" s="1"/>
  <c r="K55" i="27"/>
  <c r="K117" i="31"/>
  <c r="L35" i="27"/>
  <c r="L112" i="30"/>
  <c r="L111" i="30" s="1"/>
  <c r="L117" i="30" s="1"/>
  <c r="M55" i="30"/>
  <c r="M61" i="30"/>
  <c r="M59" i="30" s="1"/>
  <c r="Z60" i="28"/>
  <c r="AA59" i="28"/>
  <c r="AB59" i="28" s="1"/>
  <c r="AB60" i="28" s="1"/>
  <c r="Z116" i="28"/>
  <c r="Y61" i="28"/>
  <c r="Y117" i="28"/>
  <c r="X110" i="31"/>
  <c r="BB58" i="28"/>
  <c r="BB115" i="28" s="1"/>
  <c r="CA115" i="28" s="1"/>
  <c r="BB101" i="28"/>
  <c r="CA101" i="28" s="1"/>
  <c r="BP34" i="28"/>
  <c r="BP91" i="28" s="1"/>
  <c r="BD36" i="28"/>
  <c r="BD91" i="28"/>
  <c r="CB91" i="28" s="1"/>
  <c r="BC44" i="28"/>
  <c r="BC101" i="28" s="1"/>
  <c r="AQ58" i="28"/>
  <c r="AQ101" i="28"/>
  <c r="BZ101" i="28" s="1"/>
  <c r="O60" i="31"/>
  <c r="O53" i="31" s="1"/>
  <c r="O45" i="31" s="1"/>
  <c r="N98" i="31"/>
  <c r="N97" i="31" s="1"/>
  <c r="N104" i="31" s="1"/>
  <c r="N106" i="31" s="1"/>
  <c r="AA19" i="27"/>
  <c r="AA22" i="30"/>
  <c r="AA20" i="30"/>
  <c r="AA36" i="30" s="1"/>
  <c r="AA99" i="30" s="1"/>
  <c r="AB17" i="30"/>
  <c r="Z43" i="27"/>
  <c r="Z37" i="30"/>
  <c r="Z38" i="30" s="1"/>
  <c r="Z23" i="27"/>
  <c r="Z29" i="30"/>
  <c r="Z27" i="27"/>
  <c r="Z30" i="30"/>
  <c r="Y31" i="27"/>
  <c r="Y26" i="27"/>
  <c r="Y73" i="27"/>
  <c r="Y31" i="30"/>
  <c r="Y34" i="30"/>
  <c r="Y32" i="30"/>
  <c r="Y33" i="30"/>
  <c r="X64" i="27"/>
  <c r="X30" i="27"/>
  <c r="Y31" i="31"/>
  <c r="Y32" i="31"/>
  <c r="Y33" i="31"/>
  <c r="Y34" i="31"/>
  <c r="Y32" i="27"/>
  <c r="Y81" i="27"/>
  <c r="Z20" i="31"/>
  <c r="Z36" i="31" s="1"/>
  <c r="Z22" i="31"/>
  <c r="Z20" i="27"/>
  <c r="AA17" i="31"/>
  <c r="AA18" i="31" s="1"/>
  <c r="AD58" i="28"/>
  <c r="AP44" i="28"/>
  <c r="AP101" i="28" s="1"/>
  <c r="AD101" i="28"/>
  <c r="BX101" i="28" s="1"/>
  <c r="AC58" i="28"/>
  <c r="AB115" i="28"/>
  <c r="BW115" i="28" s="1"/>
  <c r="L40" i="27"/>
  <c r="L37" i="27" s="1"/>
  <c r="L68" i="33"/>
  <c r="L54" i="31"/>
  <c r="L47" i="31"/>
  <c r="P53" i="30"/>
  <c r="O108" i="30"/>
  <c r="P108" i="30" s="1"/>
  <c r="P60" i="30"/>
  <c r="G15" i="34"/>
  <c r="G58" i="34"/>
  <c r="G17" i="34" s="1"/>
  <c r="O62" i="33"/>
  <c r="P62" i="33" s="1"/>
  <c r="P58" i="30"/>
  <c r="O50" i="30"/>
  <c r="P50" i="30" s="1"/>
  <c r="Q65" i="30" s="1"/>
  <c r="Q58" i="30" s="1"/>
  <c r="Y41" i="27"/>
  <c r="Y89" i="27" s="1"/>
  <c r="X110" i="30"/>
  <c r="J82" i="27"/>
  <c r="O45" i="30"/>
  <c r="N97" i="30"/>
  <c r="AD17" i="29"/>
  <c r="AD18" i="29" s="1"/>
  <c r="F43" i="26"/>
  <c r="U110" i="29"/>
  <c r="U72" i="29"/>
  <c r="AL11" i="32"/>
  <c r="AL15" i="27"/>
  <c r="AM16" i="29"/>
  <c r="X57" i="29"/>
  <c r="X85" i="29"/>
  <c r="I13" i="34"/>
  <c r="I39" i="34"/>
  <c r="T73" i="29"/>
  <c r="X79" i="32"/>
  <c r="Y62" i="32"/>
  <c r="Z66" i="32"/>
  <c r="Z68" i="32" s="1"/>
  <c r="Z52" i="27"/>
  <c r="Y73" i="32"/>
  <c r="Z32" i="32"/>
  <c r="Z31" i="32"/>
  <c r="Z74" i="32" s="1"/>
  <c r="Z75" i="32"/>
  <c r="Z71" i="32"/>
  <c r="Z29" i="32"/>
  <c r="Z28" i="32"/>
  <c r="Z27" i="32"/>
  <c r="Z25" i="32"/>
  <c r="Z24" i="32"/>
  <c r="AA33" i="32"/>
  <c r="AA23" i="32"/>
  <c r="AA30" i="32"/>
  <c r="AA26" i="32"/>
  <c r="AA19" i="32"/>
  <c r="AA20" i="32" s="1"/>
  <c r="S57" i="27"/>
  <c r="V76" i="27"/>
  <c r="V68" i="27"/>
  <c r="V59" i="27"/>
  <c r="V71" i="29"/>
  <c r="U46" i="27"/>
  <c r="U92" i="32"/>
  <c r="Z44" i="29"/>
  <c r="Z83" i="29" s="1"/>
  <c r="R95" i="32"/>
  <c r="U65" i="31"/>
  <c r="U58" i="31" s="1"/>
  <c r="U50" i="31" s="1"/>
  <c r="V46" i="27"/>
  <c r="V92" i="32"/>
  <c r="Y34" i="32"/>
  <c r="Y69" i="32"/>
  <c r="T93" i="32"/>
  <c r="T49" i="31"/>
  <c r="T70" i="33"/>
  <c r="T48" i="31"/>
  <c r="T69" i="33"/>
  <c r="T49" i="30"/>
  <c r="T61" i="33"/>
  <c r="T48" i="30"/>
  <c r="T60" i="33"/>
  <c r="W68" i="32"/>
  <c r="M40" i="14"/>
  <c r="N21" i="14"/>
  <c r="N19" i="14"/>
  <c r="K51" i="22"/>
  <c r="L51" i="22"/>
  <c r="H49" i="22"/>
  <c r="H50" i="22" s="1"/>
  <c r="H171" i="22"/>
  <c r="BA14" i="4"/>
  <c r="BB14" i="4" s="1"/>
  <c r="BA12" i="4"/>
  <c r="AA105" i="30" l="1"/>
  <c r="BO101" i="28"/>
  <c r="CC101" i="28" s="1"/>
  <c r="BO58" i="28"/>
  <c r="BO115" i="28" s="1"/>
  <c r="CC115" i="28" s="1"/>
  <c r="J95" i="27"/>
  <c r="AA77" i="29"/>
  <c r="AA37" i="29"/>
  <c r="Y83" i="29"/>
  <c r="Y46" i="29"/>
  <c r="Y85" i="29" s="1"/>
  <c r="AC15" i="32"/>
  <c r="AC14" i="32" s="1"/>
  <c r="AB22" i="32"/>
  <c r="AB18" i="32"/>
  <c r="W70" i="29"/>
  <c r="W96" i="29"/>
  <c r="AC17" i="27"/>
  <c r="AD16" i="27" s="1"/>
  <c r="AC16" i="27"/>
  <c r="AB26" i="29"/>
  <c r="AC20" i="29"/>
  <c r="AC24" i="29" s="1"/>
  <c r="AB24" i="29"/>
  <c r="AB25" i="27"/>
  <c r="AB87" i="27" s="1"/>
  <c r="AB50" i="29"/>
  <c r="AC22" i="29"/>
  <c r="W76" i="27"/>
  <c r="W68" i="27"/>
  <c r="W59" i="27"/>
  <c r="K49" i="27"/>
  <c r="K130" i="31"/>
  <c r="K131" i="31" s="1"/>
  <c r="K132" i="31" s="1"/>
  <c r="K133" i="31" s="1"/>
  <c r="M47" i="30"/>
  <c r="M59" i="33"/>
  <c r="M54" i="30"/>
  <c r="M66" i="30"/>
  <c r="M39" i="27"/>
  <c r="L130" i="30"/>
  <c r="L131" i="30" s="1"/>
  <c r="L132" i="30" s="1"/>
  <c r="L133" i="30" s="1"/>
  <c r="BT133" i="30" s="1"/>
  <c r="G42" i="20" s="1"/>
  <c r="L48" i="27"/>
  <c r="L69" i="27" s="1"/>
  <c r="L65" i="27" s="1"/>
  <c r="F46" i="26"/>
  <c r="F50" i="26" s="1"/>
  <c r="F117" i="26"/>
  <c r="AE17" i="29"/>
  <c r="AE18" i="29" s="1"/>
  <c r="AD17" i="27"/>
  <c r="AE16" i="27" s="1"/>
  <c r="AD22" i="29"/>
  <c r="AD20" i="29"/>
  <c r="Z117" i="28"/>
  <c r="Z61" i="28"/>
  <c r="AA116" i="28"/>
  <c r="AA60" i="28"/>
  <c r="AC60" i="28" s="1"/>
  <c r="U111" i="29"/>
  <c r="U73" i="29"/>
  <c r="BP36" i="28"/>
  <c r="BP93" i="28" s="1"/>
  <c r="BD44" i="28"/>
  <c r="BD93" i="28"/>
  <c r="CB93" i="28" s="1"/>
  <c r="BC58" i="28"/>
  <c r="BC115" i="28" s="1"/>
  <c r="AQ59" i="28"/>
  <c r="AQ115" i="28"/>
  <c r="BZ115" i="28" s="1"/>
  <c r="O98" i="31"/>
  <c r="P45" i="31"/>
  <c r="P53" i="31"/>
  <c r="O108" i="31"/>
  <c r="P60" i="31"/>
  <c r="AA23" i="27"/>
  <c r="AA29" i="30"/>
  <c r="AA30" i="30"/>
  <c r="AA27" i="27"/>
  <c r="AA37" i="30"/>
  <c r="AA38" i="30" s="1"/>
  <c r="AA43" i="27"/>
  <c r="Z31" i="27"/>
  <c r="Z73" i="27"/>
  <c r="Z32" i="30"/>
  <c r="Z31" i="30"/>
  <c r="Z33" i="30"/>
  <c r="Z34" i="30"/>
  <c r="Y30" i="27"/>
  <c r="Y64" i="27"/>
  <c r="AA20" i="31"/>
  <c r="AA36" i="31" s="1"/>
  <c r="AA22" i="31"/>
  <c r="AA20" i="27"/>
  <c r="AB17" i="31"/>
  <c r="Z99" i="31"/>
  <c r="Z105" i="31"/>
  <c r="Z53" i="27" s="1"/>
  <c r="Z37" i="31"/>
  <c r="Z38" i="31" s="1"/>
  <c r="Z44" i="27"/>
  <c r="Z41" i="27" s="1"/>
  <c r="Z89" i="27" s="1"/>
  <c r="Z29" i="31"/>
  <c r="Z30" i="31"/>
  <c r="Z28" i="27"/>
  <c r="Z26" i="27" s="1"/>
  <c r="AP58" i="28"/>
  <c r="AD59" i="28"/>
  <c r="AD60" i="28" s="1"/>
  <c r="AD115" i="28"/>
  <c r="BX115" i="28" s="1"/>
  <c r="AB61" i="28"/>
  <c r="AB117" i="28"/>
  <c r="AC115" i="28"/>
  <c r="AB116" i="28"/>
  <c r="AC59" i="28"/>
  <c r="L90" i="27"/>
  <c r="BT90" i="27" s="1"/>
  <c r="L88" i="27"/>
  <c r="L72" i="33"/>
  <c r="L74" i="33" s="1"/>
  <c r="L67" i="33"/>
  <c r="L52" i="31"/>
  <c r="L109" i="31"/>
  <c r="L107" i="31" s="1"/>
  <c r="L54" i="27" s="1"/>
  <c r="BT54" i="27" s="1"/>
  <c r="G60" i="34" s="1"/>
  <c r="L113" i="31"/>
  <c r="L46" i="31"/>
  <c r="L51" i="31" s="1"/>
  <c r="M62" i="31"/>
  <c r="M55" i="31" s="1"/>
  <c r="M47" i="31" s="1"/>
  <c r="Q50" i="30"/>
  <c r="Q62" i="33"/>
  <c r="P45" i="30"/>
  <c r="Q60" i="30" s="1"/>
  <c r="Q53" i="30" s="1"/>
  <c r="O98" i="30"/>
  <c r="N104" i="30"/>
  <c r="N51" i="27"/>
  <c r="Y110" i="30"/>
  <c r="Y110" i="31"/>
  <c r="AC17" i="30"/>
  <c r="AB18" i="30"/>
  <c r="Z24" i="27"/>
  <c r="Z18" i="27"/>
  <c r="Z22" i="27" s="1"/>
  <c r="AM15" i="27"/>
  <c r="AM11" i="32"/>
  <c r="AN16" i="29"/>
  <c r="X47" i="27"/>
  <c r="X70" i="29"/>
  <c r="X109" i="29" s="1"/>
  <c r="X96" i="29"/>
  <c r="I11" i="34"/>
  <c r="V110" i="29"/>
  <c r="V72" i="29"/>
  <c r="V111" i="29" s="1"/>
  <c r="X46" i="27"/>
  <c r="X92" i="32"/>
  <c r="Y66" i="32"/>
  <c r="Y52" i="27"/>
  <c r="Z34" i="32"/>
  <c r="AA25" i="32"/>
  <c r="AA24" i="32"/>
  <c r="AA32" i="32"/>
  <c r="AA31" i="32"/>
  <c r="AA74" i="32" s="1"/>
  <c r="AA75" i="32"/>
  <c r="AA71" i="32"/>
  <c r="AA29" i="32"/>
  <c r="AA28" i="32"/>
  <c r="AA27" i="32"/>
  <c r="AA64" i="32"/>
  <c r="AE12" i="32"/>
  <c r="AE13" i="32" s="1"/>
  <c r="AD15" i="32"/>
  <c r="Y57" i="29"/>
  <c r="Y96" i="29" s="1"/>
  <c r="U75" i="27"/>
  <c r="U67" i="27"/>
  <c r="U58" i="27"/>
  <c r="U93" i="32"/>
  <c r="V65" i="31"/>
  <c r="V58" i="31" s="1"/>
  <c r="U71" i="33"/>
  <c r="V75" i="27"/>
  <c r="V67" i="27"/>
  <c r="V58" i="27"/>
  <c r="V57" i="27" s="1"/>
  <c r="U64" i="31"/>
  <c r="U57" i="31" s="1"/>
  <c r="U49" i="31" s="1"/>
  <c r="U63" i="31"/>
  <c r="U56" i="31" s="1"/>
  <c r="U48" i="31" s="1"/>
  <c r="U64" i="30"/>
  <c r="U57" i="30" s="1"/>
  <c r="U49" i="30" s="1"/>
  <c r="U63" i="30"/>
  <c r="U56" i="30" s="1"/>
  <c r="U48" i="30" s="1"/>
  <c r="W79" i="32"/>
  <c r="Z69" i="32"/>
  <c r="Z73" i="32"/>
  <c r="Z46" i="29"/>
  <c r="T94" i="32"/>
  <c r="T95" i="32" s="1"/>
  <c r="M44" i="14"/>
  <c r="M47" i="14" s="1"/>
  <c r="M41" i="14"/>
  <c r="N23" i="14"/>
  <c r="N24" i="14" s="1"/>
  <c r="N35" i="14"/>
  <c r="N50" i="14"/>
  <c r="N52" i="14" s="1"/>
  <c r="L171" i="22"/>
  <c r="K171" i="22"/>
  <c r="F131" i="26" l="1"/>
  <c r="F130" i="26" s="1"/>
  <c r="AC25" i="29"/>
  <c r="AC22" i="32"/>
  <c r="AB33" i="32"/>
  <c r="AC33" i="32" s="1"/>
  <c r="AB30" i="32"/>
  <c r="AB26" i="32"/>
  <c r="AB23" i="32"/>
  <c r="AB19" i="32"/>
  <c r="AC18" i="32"/>
  <c r="AA76" i="29"/>
  <c r="AA44" i="29"/>
  <c r="AB65" i="32"/>
  <c r="AC65" i="32" s="1"/>
  <c r="BW18" i="32"/>
  <c r="J60" i="25" s="1"/>
  <c r="J25" i="25" s="1"/>
  <c r="W109" i="29"/>
  <c r="W71" i="29"/>
  <c r="AB38" i="29"/>
  <c r="AB39" i="29"/>
  <c r="AC26" i="29"/>
  <c r="F53" i="26" s="1"/>
  <c r="AB34" i="27"/>
  <c r="AC34" i="27" s="1"/>
  <c r="AB45" i="29"/>
  <c r="AB42" i="27"/>
  <c r="AB27" i="29"/>
  <c r="AB25" i="29"/>
  <c r="AB89" i="29"/>
  <c r="AC89" i="29" s="1"/>
  <c r="AC50" i="29"/>
  <c r="AB47" i="29"/>
  <c r="F48" i="26"/>
  <c r="AC25" i="27"/>
  <c r="D68" i="36"/>
  <c r="T11" i="20"/>
  <c r="K78" i="27"/>
  <c r="K74" i="27" s="1"/>
  <c r="K45" i="27"/>
  <c r="N62" i="30"/>
  <c r="M46" i="30"/>
  <c r="M51" i="30" s="1"/>
  <c r="M63" i="33"/>
  <c r="M58" i="33"/>
  <c r="M109" i="30"/>
  <c r="M107" i="30" s="1"/>
  <c r="M52" i="30"/>
  <c r="M113" i="30"/>
  <c r="BW116" i="28"/>
  <c r="AD25" i="27"/>
  <c r="AD87" i="27" s="1"/>
  <c r="AD50" i="29"/>
  <c r="AD26" i="29"/>
  <c r="AD24" i="29"/>
  <c r="AF17" i="29"/>
  <c r="AF18" i="29" s="1"/>
  <c r="AE17" i="27"/>
  <c r="AF16" i="27" s="1"/>
  <c r="AE22" i="29"/>
  <c r="AE20" i="29"/>
  <c r="AA117" i="28"/>
  <c r="BW117" i="28" s="1"/>
  <c r="AA61" i="28"/>
  <c r="BW61" i="28" s="1"/>
  <c r="J55" i="20" s="1"/>
  <c r="T55" i="20" s="1"/>
  <c r="AP115" i="28"/>
  <c r="AR59" i="28"/>
  <c r="Z110" i="30"/>
  <c r="AC87" i="27"/>
  <c r="BW87" i="27"/>
  <c r="BP44" i="28"/>
  <c r="BP101" i="28" s="1"/>
  <c r="BD58" i="28"/>
  <c r="BD101" i="28"/>
  <c r="CB101" i="28" s="1"/>
  <c r="O97" i="31"/>
  <c r="P98" i="31"/>
  <c r="Q60" i="31"/>
  <c r="P108" i="31"/>
  <c r="AA31" i="30"/>
  <c r="AA32" i="30"/>
  <c r="AA33" i="30"/>
  <c r="AA34" i="30"/>
  <c r="AA31" i="27"/>
  <c r="AA73" i="27"/>
  <c r="Z64" i="27"/>
  <c r="Z30" i="27"/>
  <c r="AA37" i="31"/>
  <c r="AA38" i="31" s="1"/>
  <c r="AA44" i="27"/>
  <c r="AA41" i="27" s="1"/>
  <c r="AA89" i="27" s="1"/>
  <c r="AA29" i="31"/>
  <c r="AA28" i="27"/>
  <c r="AA26" i="27" s="1"/>
  <c r="AA30" i="31"/>
  <c r="Z32" i="31"/>
  <c r="Z34" i="31"/>
  <c r="Z31" i="31"/>
  <c r="Z33" i="31"/>
  <c r="Z32" i="27"/>
  <c r="Z81" i="27"/>
  <c r="AD61" i="28"/>
  <c r="AD117" i="28"/>
  <c r="AE59" i="28"/>
  <c r="AD116" i="28"/>
  <c r="AC61" i="28"/>
  <c r="F127" i="26"/>
  <c r="AC62" i="28"/>
  <c r="AC117" i="28"/>
  <c r="L83" i="27"/>
  <c r="BT88" i="27"/>
  <c r="L36" i="27"/>
  <c r="L33" i="27" s="1"/>
  <c r="L112" i="31"/>
  <c r="M46" i="31"/>
  <c r="M51" i="31" s="1"/>
  <c r="N62" i="31"/>
  <c r="M54" i="31"/>
  <c r="M68" i="33"/>
  <c r="M61" i="31"/>
  <c r="M59" i="31" s="1"/>
  <c r="R65" i="30"/>
  <c r="R58" i="30" s="1"/>
  <c r="Q108" i="30"/>
  <c r="Q45" i="30"/>
  <c r="P98" i="30"/>
  <c r="O97" i="30"/>
  <c r="AB22" i="30"/>
  <c r="AB20" i="30"/>
  <c r="AB36" i="30" s="1"/>
  <c r="AC18" i="30"/>
  <c r="AB19" i="27"/>
  <c r="AQ116" i="28"/>
  <c r="AQ60" i="28"/>
  <c r="AA99" i="31"/>
  <c r="AA105" i="31"/>
  <c r="AA53" i="27" s="1"/>
  <c r="AA24" i="27"/>
  <c r="AA18" i="27"/>
  <c r="AA22" i="27" s="1"/>
  <c r="AC17" i="31"/>
  <c r="AB18" i="31"/>
  <c r="AC116" i="28"/>
  <c r="BT74" i="33"/>
  <c r="G197" i="23" s="1"/>
  <c r="G68" i="34" s="1"/>
  <c r="G59" i="34" s="1"/>
  <c r="G18" i="34" s="1"/>
  <c r="N106" i="30"/>
  <c r="AN15" i="27"/>
  <c r="AN11" i="32"/>
  <c r="AO16" i="29"/>
  <c r="X76" i="27"/>
  <c r="X68" i="27"/>
  <c r="X59" i="27"/>
  <c r="V93" i="32"/>
  <c r="V94" i="32" s="1"/>
  <c r="U94" i="32"/>
  <c r="U95" i="32" s="1"/>
  <c r="Z57" i="29"/>
  <c r="Z85" i="29"/>
  <c r="V73" i="29"/>
  <c r="BV73" i="29" s="1"/>
  <c r="I39" i="20" s="1"/>
  <c r="X75" i="27"/>
  <c r="X67" i="27"/>
  <c r="X58" i="27"/>
  <c r="Y68" i="32"/>
  <c r="AA62" i="32"/>
  <c r="AD18" i="32"/>
  <c r="AD22" i="32"/>
  <c r="AF12" i="32"/>
  <c r="AE15" i="32"/>
  <c r="AF13" i="32"/>
  <c r="Y47" i="27"/>
  <c r="Y70" i="29"/>
  <c r="Y109" i="29" s="1"/>
  <c r="U57" i="27"/>
  <c r="V64" i="31"/>
  <c r="V57" i="31" s="1"/>
  <c r="U70" i="33"/>
  <c r="V63" i="31"/>
  <c r="V56" i="31" s="1"/>
  <c r="U69" i="33"/>
  <c r="V64" i="30"/>
  <c r="V57" i="30" s="1"/>
  <c r="U61" i="33"/>
  <c r="V63" i="30"/>
  <c r="V56" i="30" s="1"/>
  <c r="U60" i="33"/>
  <c r="W46" i="27"/>
  <c r="W92" i="32"/>
  <c r="Z79" i="32"/>
  <c r="AA34" i="32"/>
  <c r="AA73" i="32"/>
  <c r="AA69" i="32"/>
  <c r="V50" i="31"/>
  <c r="V71" i="33"/>
  <c r="M56" i="14"/>
  <c r="M53" i="14"/>
  <c r="O16" i="14"/>
  <c r="N25" i="14"/>
  <c r="N42" i="14"/>
  <c r="N36" i="14"/>
  <c r="O33" i="14"/>
  <c r="P36" i="23"/>
  <c r="F119" i="26" l="1"/>
  <c r="D69" i="36" s="1"/>
  <c r="F51" i="26"/>
  <c r="T12" i="20"/>
  <c r="K82" i="27"/>
  <c r="F52" i="26"/>
  <c r="AC30" i="32"/>
  <c r="AB32" i="32"/>
  <c r="AC32" i="32" s="1"/>
  <c r="AB31" i="32"/>
  <c r="AC31" i="32" s="1"/>
  <c r="AC26" i="32"/>
  <c r="AB75" i="32"/>
  <c r="AC75" i="32" s="1"/>
  <c r="AB71" i="32"/>
  <c r="AB29" i="32"/>
  <c r="AC29" i="32" s="1"/>
  <c r="AB28" i="32"/>
  <c r="AC28" i="32" s="1"/>
  <c r="AB27" i="32"/>
  <c r="AC27" i="32" s="1"/>
  <c r="AC23" i="32"/>
  <c r="AB25" i="32"/>
  <c r="AC25" i="32" s="1"/>
  <c r="AB24" i="32"/>
  <c r="AC24" i="32" s="1"/>
  <c r="AC19" i="32"/>
  <c r="AB20" i="32"/>
  <c r="AC20" i="32" s="1"/>
  <c r="K94" i="27"/>
  <c r="AD38" i="29"/>
  <c r="AD77" i="29" s="1"/>
  <c r="AA46" i="29"/>
  <c r="AA85" i="29" s="1"/>
  <c r="AA83" i="29"/>
  <c r="J23" i="25"/>
  <c r="T23" i="25" s="1"/>
  <c r="T25" i="25"/>
  <c r="D85" i="36" s="1"/>
  <c r="W110" i="29"/>
  <c r="W72" i="29"/>
  <c r="X71" i="29"/>
  <c r="AC38" i="29"/>
  <c r="AB77" i="29"/>
  <c r="AC77" i="29" s="1"/>
  <c r="AB37" i="29"/>
  <c r="AC37" i="29" s="1"/>
  <c r="AC39" i="29"/>
  <c r="AB78" i="29"/>
  <c r="AC78" i="29" s="1"/>
  <c r="AB84" i="29"/>
  <c r="AC84" i="29" s="1"/>
  <c r="AC45" i="29"/>
  <c r="BW42" i="27"/>
  <c r="J44" i="25" s="1"/>
  <c r="J11" i="25" s="1"/>
  <c r="T11" i="25" s="1"/>
  <c r="D74" i="36" s="1"/>
  <c r="AC42" i="27"/>
  <c r="AC27" i="29"/>
  <c r="AB38" i="27"/>
  <c r="AC38" i="27" s="1"/>
  <c r="AB86" i="29"/>
  <c r="AC86" i="29" s="1"/>
  <c r="AC47" i="29"/>
  <c r="N61" i="30"/>
  <c r="N59" i="30" s="1"/>
  <c r="N55" i="30"/>
  <c r="M112" i="30"/>
  <c r="M111" i="30" s="1"/>
  <c r="M117" i="30" s="1"/>
  <c r="M35" i="27"/>
  <c r="AD89" i="29"/>
  <c r="AD47" i="29"/>
  <c r="AD86" i="29" s="1"/>
  <c r="AD34" i="27"/>
  <c r="AD39" i="29"/>
  <c r="AD45" i="29"/>
  <c r="AD84" i="29" s="1"/>
  <c r="AD42" i="27"/>
  <c r="AD27" i="29"/>
  <c r="AD38" i="27" s="1"/>
  <c r="AD25" i="29"/>
  <c r="AE50" i="29"/>
  <c r="AE25" i="27"/>
  <c r="AE87" i="27" s="1"/>
  <c r="AE24" i="29"/>
  <c r="AE26" i="29"/>
  <c r="AF17" i="27"/>
  <c r="AG16" i="27" s="1"/>
  <c r="AG17" i="29"/>
  <c r="AG18" i="29" s="1"/>
  <c r="AF22" i="29"/>
  <c r="AF20" i="29"/>
  <c r="AR116" i="28"/>
  <c r="AR60" i="28"/>
  <c r="AA57" i="29"/>
  <c r="Z110" i="31"/>
  <c r="AA110" i="30"/>
  <c r="AB44" i="29"/>
  <c r="BD59" i="28"/>
  <c r="BE59" i="28" s="1"/>
  <c r="BP58" i="28"/>
  <c r="BP115" i="28" s="1"/>
  <c r="BD115" i="28"/>
  <c r="CB115" i="28" s="1"/>
  <c r="O104" i="31"/>
  <c r="P97" i="31"/>
  <c r="O51" i="27"/>
  <c r="Q53" i="31"/>
  <c r="AA30" i="27"/>
  <c r="AA64" i="27"/>
  <c r="AA32" i="27"/>
  <c r="AA81" i="27"/>
  <c r="AA31" i="31"/>
  <c r="AA32" i="31"/>
  <c r="AA33" i="31"/>
  <c r="AA34" i="31"/>
  <c r="AF59" i="28"/>
  <c r="AE116" i="28"/>
  <c r="AE60" i="28"/>
  <c r="L111" i="31"/>
  <c r="N61" i="31"/>
  <c r="N59" i="31" s="1"/>
  <c r="N55" i="31"/>
  <c r="M52" i="31"/>
  <c r="M109" i="31"/>
  <c r="M107" i="31" s="1"/>
  <c r="M113" i="31"/>
  <c r="M72" i="33"/>
  <c r="M74" i="33" s="1"/>
  <c r="M67" i="33"/>
  <c r="M40" i="27"/>
  <c r="M37" i="27" s="1"/>
  <c r="R60" i="30"/>
  <c r="R53" i="30" s="1"/>
  <c r="Q98" i="30"/>
  <c r="Q97" i="30" s="1"/>
  <c r="Q104" i="30" s="1"/>
  <c r="Q106" i="30" s="1"/>
  <c r="P97" i="30"/>
  <c r="O104" i="30"/>
  <c r="AB27" i="27"/>
  <c r="AB29" i="30"/>
  <c r="AB30" i="30"/>
  <c r="AB99" i="30"/>
  <c r="AC99" i="30" s="1"/>
  <c r="AC77" i="30" s="1"/>
  <c r="AB105" i="30"/>
  <c r="AB37" i="30"/>
  <c r="AB38" i="30" s="1"/>
  <c r="AB43" i="27"/>
  <c r="AC20" i="30"/>
  <c r="AC36" i="30" s="1"/>
  <c r="AC19" i="27"/>
  <c r="F66" i="26"/>
  <c r="AC22" i="30"/>
  <c r="AD17" i="30"/>
  <c r="AD18" i="30" s="1"/>
  <c r="AB23" i="27"/>
  <c r="AQ117" i="28"/>
  <c r="AQ61" i="28"/>
  <c r="AB20" i="27"/>
  <c r="AB20" i="31"/>
  <c r="AB36" i="31" s="1"/>
  <c r="AC18" i="31"/>
  <c r="AB22" i="31"/>
  <c r="X57" i="27"/>
  <c r="BT83" i="27"/>
  <c r="R62" i="33"/>
  <c r="R50" i="30"/>
  <c r="AO11" i="32"/>
  <c r="AO15" i="27"/>
  <c r="AQ16" i="29"/>
  <c r="W111" i="29"/>
  <c r="W73" i="29"/>
  <c r="X110" i="29"/>
  <c r="X72" i="29"/>
  <c r="Z96" i="29"/>
  <c r="Z70" i="29"/>
  <c r="Z109" i="29" s="1"/>
  <c r="Z47" i="27"/>
  <c r="Y79" i="32"/>
  <c r="AA66" i="32"/>
  <c r="AA52" i="27"/>
  <c r="AD65" i="32"/>
  <c r="AD19" i="32"/>
  <c r="AD20" i="32" s="1"/>
  <c r="AD33" i="32"/>
  <c r="AD30" i="32"/>
  <c r="AD26" i="32"/>
  <c r="AD23" i="32"/>
  <c r="AE22" i="32"/>
  <c r="AE18" i="32"/>
  <c r="AE65" i="32" s="1"/>
  <c r="AG12" i="32"/>
  <c r="AG13" i="32" s="1"/>
  <c r="AF15" i="32"/>
  <c r="Y76" i="27"/>
  <c r="Y68" i="27"/>
  <c r="Y59" i="27"/>
  <c r="Y71" i="29"/>
  <c r="W75" i="27"/>
  <c r="W67" i="27"/>
  <c r="W58" i="27"/>
  <c r="W93" i="32"/>
  <c r="Z46" i="27"/>
  <c r="Z92" i="32"/>
  <c r="AB64" i="32"/>
  <c r="W65" i="31"/>
  <c r="W58" i="31" s="1"/>
  <c r="W50" i="31" s="1"/>
  <c r="V49" i="31"/>
  <c r="V70" i="33"/>
  <c r="V48" i="31"/>
  <c r="V69" i="33"/>
  <c r="V49" i="30"/>
  <c r="V61" i="33"/>
  <c r="V48" i="30"/>
  <c r="V60" i="33"/>
  <c r="V95" i="32"/>
  <c r="BV95" i="32" s="1"/>
  <c r="I36" i="20" s="1"/>
  <c r="M57" i="14"/>
  <c r="M58" i="14" s="1"/>
  <c r="M55" i="14"/>
  <c r="M54" i="14"/>
  <c r="O29" i="14"/>
  <c r="P28" i="14" s="1"/>
  <c r="O18" i="14"/>
  <c r="N39" i="14"/>
  <c r="N38" i="14"/>
  <c r="N40" i="14" s="1"/>
  <c r="N26" i="14"/>
  <c r="N43" i="14"/>
  <c r="E8" i="5"/>
  <c r="AB69" i="32" l="1"/>
  <c r="AC69" i="32" s="1"/>
  <c r="AC71" i="32"/>
  <c r="AC34" i="32"/>
  <c r="AB34" i="32"/>
  <c r="AB74" i="32"/>
  <c r="AB76" i="29"/>
  <c r="AC76" i="29" s="1"/>
  <c r="K95" i="27"/>
  <c r="D56" i="36"/>
  <c r="D83" i="36"/>
  <c r="AR61" i="28"/>
  <c r="AR117" i="28"/>
  <c r="AE45" i="29"/>
  <c r="AE84" i="29" s="1"/>
  <c r="AE42" i="27"/>
  <c r="AE25" i="29"/>
  <c r="AD78" i="29"/>
  <c r="AD37" i="29"/>
  <c r="AE34" i="27"/>
  <c r="AE27" i="29"/>
  <c r="AE38" i="27" s="1"/>
  <c r="AG17" i="27"/>
  <c r="AH16" i="27" s="1"/>
  <c r="AH17" i="29"/>
  <c r="AH18" i="29" s="1"/>
  <c r="AG22" i="29"/>
  <c r="AG20" i="29"/>
  <c r="AF25" i="27"/>
  <c r="AF87" i="27" s="1"/>
  <c r="AF50" i="29"/>
  <c r="AF26" i="29"/>
  <c r="AF24" i="29"/>
  <c r="AA96" i="29"/>
  <c r="AA70" i="29"/>
  <c r="AA109" i="29" s="1"/>
  <c r="AA47" i="27"/>
  <c r="N47" i="30"/>
  <c r="N54" i="30"/>
  <c r="N59" i="33"/>
  <c r="N66" i="30"/>
  <c r="N39" i="27"/>
  <c r="M130" i="30"/>
  <c r="M131" i="30" s="1"/>
  <c r="M132" i="30" s="1"/>
  <c r="M133" i="30" s="1"/>
  <c r="M48" i="27"/>
  <c r="M69" i="27" s="1"/>
  <c r="M65" i="27" s="1"/>
  <c r="AE89" i="29"/>
  <c r="AE47" i="29"/>
  <c r="AE86" i="29" s="1"/>
  <c r="AE38" i="29"/>
  <c r="AE39" i="29"/>
  <c r="AE78" i="29" s="1"/>
  <c r="AA110" i="31"/>
  <c r="AB83" i="29"/>
  <c r="AC83" i="29" s="1"/>
  <c r="AC44" i="29"/>
  <c r="AB46" i="29"/>
  <c r="BE116" i="28"/>
  <c r="BE60" i="28"/>
  <c r="O106" i="31"/>
  <c r="P104" i="31"/>
  <c r="P51" i="27"/>
  <c r="BU51" i="27"/>
  <c r="H38" i="34" s="1"/>
  <c r="Q108" i="31"/>
  <c r="Q45" i="31"/>
  <c r="AF60" i="28"/>
  <c r="AF116" i="28"/>
  <c r="AE61" i="28"/>
  <c r="AE117" i="28"/>
  <c r="L55" i="27"/>
  <c r="L117" i="31"/>
  <c r="N40" i="27"/>
  <c r="N68" i="33"/>
  <c r="N54" i="31"/>
  <c r="N47" i="31"/>
  <c r="M36" i="27"/>
  <c r="M33" i="27" s="1"/>
  <c r="M112" i="31"/>
  <c r="M54" i="27"/>
  <c r="M88" i="27"/>
  <c r="M90" i="27"/>
  <c r="P104" i="30"/>
  <c r="O106" i="30"/>
  <c r="AB31" i="27"/>
  <c r="AB73" i="27"/>
  <c r="AB33" i="30"/>
  <c r="AB34" i="30"/>
  <c r="AB32" i="30"/>
  <c r="AB31" i="30"/>
  <c r="AC105" i="30"/>
  <c r="BW43" i="27"/>
  <c r="J45" i="25" s="1"/>
  <c r="J12" i="25" s="1"/>
  <c r="AC43" i="27"/>
  <c r="AD19" i="27"/>
  <c r="AD20" i="30"/>
  <c r="AD36" i="30" s="1"/>
  <c r="AE17" i="30"/>
  <c r="AE18" i="30"/>
  <c r="AD22" i="30"/>
  <c r="AC37" i="30"/>
  <c r="AC38" i="30" s="1"/>
  <c r="AC23" i="27"/>
  <c r="F69" i="26"/>
  <c r="AC29" i="30"/>
  <c r="F71" i="26"/>
  <c r="AC30" i="30"/>
  <c r="AC27" i="27"/>
  <c r="AB99" i="31"/>
  <c r="AC99" i="31" s="1"/>
  <c r="AC77" i="31" s="1"/>
  <c r="AB105" i="31"/>
  <c r="AB37" i="31"/>
  <c r="AB38" i="31" s="1"/>
  <c r="AB44" i="27"/>
  <c r="AB41" i="27" s="1"/>
  <c r="AB89" i="27" s="1"/>
  <c r="AC20" i="31"/>
  <c r="AC36" i="31" s="1"/>
  <c r="AC20" i="27"/>
  <c r="F88" i="26"/>
  <c r="AD17" i="31"/>
  <c r="AD18" i="31" s="1"/>
  <c r="AC22" i="31"/>
  <c r="AB28" i="27"/>
  <c r="AB26" i="27" s="1"/>
  <c r="AB30" i="31"/>
  <c r="AB29" i="31"/>
  <c r="S65" i="30"/>
  <c r="S58" i="30" s="1"/>
  <c r="BD116" i="28"/>
  <c r="BD60" i="28"/>
  <c r="AG59" i="28"/>
  <c r="AH59" i="28" s="1"/>
  <c r="AI59" i="28" s="1"/>
  <c r="R108" i="30"/>
  <c r="R45" i="30"/>
  <c r="AB24" i="27"/>
  <c r="AB18" i="27"/>
  <c r="AB22" i="27" s="1"/>
  <c r="AQ15" i="27"/>
  <c r="AQ11" i="32"/>
  <c r="AR16" i="29"/>
  <c r="X111" i="29"/>
  <c r="X73" i="29"/>
  <c r="Z76" i="27"/>
  <c r="Z59" i="27"/>
  <c r="Z68" i="27"/>
  <c r="Y110" i="29"/>
  <c r="Y72" i="29"/>
  <c r="W94" i="32"/>
  <c r="W95" i="32" s="1"/>
  <c r="X93" i="32"/>
  <c r="X94" i="32" s="1"/>
  <c r="X95" i="32" s="1"/>
  <c r="Z71" i="29"/>
  <c r="Y92" i="32"/>
  <c r="Y46" i="27"/>
  <c r="AA68" i="32"/>
  <c r="AD64" i="32"/>
  <c r="AD32" i="32"/>
  <c r="AD31" i="32"/>
  <c r="AD75" i="32"/>
  <c r="AD71" i="32"/>
  <c r="AD29" i="32"/>
  <c r="AD28" i="32"/>
  <c r="AD27" i="32"/>
  <c r="AD25" i="32"/>
  <c r="AD74" i="32"/>
  <c r="AD24" i="32"/>
  <c r="AE33" i="32"/>
  <c r="AE30" i="32"/>
  <c r="AE26" i="32"/>
  <c r="AE23" i="32"/>
  <c r="AE19" i="32"/>
  <c r="AF18" i="32"/>
  <c r="AF65" i="32" s="1"/>
  <c r="AF22" i="32"/>
  <c r="AH12" i="32"/>
  <c r="AH13" i="32" s="1"/>
  <c r="AG15" i="32"/>
  <c r="W57" i="27"/>
  <c r="Z75" i="27"/>
  <c r="Z67" i="27"/>
  <c r="Z58" i="27"/>
  <c r="AC64" i="32"/>
  <c r="AB62" i="32"/>
  <c r="X65" i="31"/>
  <c r="X58" i="31" s="1"/>
  <c r="W71" i="33"/>
  <c r="W64" i="31"/>
  <c r="W57" i="31" s="1"/>
  <c r="W49" i="31" s="1"/>
  <c r="W63" i="31"/>
  <c r="W56" i="31" s="1"/>
  <c r="W48" i="31" s="1"/>
  <c r="W64" i="30"/>
  <c r="W57" i="30" s="1"/>
  <c r="W49" i="30" s="1"/>
  <c r="W63" i="30"/>
  <c r="W56" i="30" s="1"/>
  <c r="W48" i="30" s="1"/>
  <c r="O21" i="14"/>
  <c r="O19" i="14"/>
  <c r="N44" i="14"/>
  <c r="N47" i="14" s="1"/>
  <c r="N41" i="14"/>
  <c r="E7" i="5"/>
  <c r="E17" i="5" s="1"/>
  <c r="E9" i="5"/>
  <c r="E11" i="5"/>
  <c r="F8" i="5"/>
  <c r="AC74" i="32" l="1"/>
  <c r="AB73" i="32"/>
  <c r="AC73" i="32" s="1"/>
  <c r="AB110" i="30"/>
  <c r="AC110" i="30" s="1"/>
  <c r="AD76" i="29"/>
  <c r="AD44" i="29"/>
  <c r="AG50" i="29"/>
  <c r="AG25" i="27"/>
  <c r="AG87" i="27" s="1"/>
  <c r="AG24" i="29"/>
  <c r="AG26" i="29"/>
  <c r="AH17" i="27"/>
  <c r="AI16" i="27" s="1"/>
  <c r="AH20" i="29"/>
  <c r="AI17" i="29"/>
  <c r="AI18" i="29" s="1"/>
  <c r="AH22" i="29"/>
  <c r="AF89" i="29"/>
  <c r="AF47" i="29"/>
  <c r="AF86" i="29" s="1"/>
  <c r="AF38" i="29"/>
  <c r="AF39" i="29"/>
  <c r="AF78" i="29" s="1"/>
  <c r="AF34" i="27"/>
  <c r="AF45" i="29"/>
  <c r="AF84" i="29" s="1"/>
  <c r="AF42" i="27"/>
  <c r="AF27" i="29"/>
  <c r="AF38" i="27" s="1"/>
  <c r="AF25" i="29"/>
  <c r="AA76" i="27"/>
  <c r="AA68" i="27"/>
  <c r="AA59" i="27"/>
  <c r="N46" i="30"/>
  <c r="N51" i="30" s="1"/>
  <c r="O62" i="30"/>
  <c r="N113" i="30"/>
  <c r="N52" i="30"/>
  <c r="N109" i="30"/>
  <c r="N107" i="30" s="1"/>
  <c r="N63" i="33"/>
  <c r="N58" i="33"/>
  <c r="N37" i="27"/>
  <c r="AE77" i="29"/>
  <c r="AE37" i="29"/>
  <c r="AC105" i="31"/>
  <c r="AB53" i="27"/>
  <c r="AB85" i="29"/>
  <c r="AC85" i="29" s="1"/>
  <c r="AB57" i="29"/>
  <c r="AC46" i="29"/>
  <c r="BE61" i="28"/>
  <c r="BE117" i="28"/>
  <c r="P106" i="31"/>
  <c r="S38" i="34"/>
  <c r="H35" i="34"/>
  <c r="R60" i="31"/>
  <c r="R53" i="31" s="1"/>
  <c r="R45" i="31" s="1"/>
  <c r="Q98" i="31"/>
  <c r="Q97" i="31" s="1"/>
  <c r="AH60" i="28"/>
  <c r="AH116" i="28"/>
  <c r="AI116" i="28"/>
  <c r="AI60" i="28"/>
  <c r="AF61" i="28"/>
  <c r="AF117" i="28"/>
  <c r="BT55" i="27"/>
  <c r="G72" i="34" s="1"/>
  <c r="L130" i="31"/>
  <c r="L49" i="27"/>
  <c r="N72" i="33"/>
  <c r="N67" i="33"/>
  <c r="N52" i="31"/>
  <c r="N109" i="31"/>
  <c r="N107" i="31" s="1"/>
  <c r="N113" i="31"/>
  <c r="O62" i="31"/>
  <c r="O55" i="31" s="1"/>
  <c r="O47" i="31" s="1"/>
  <c r="N46" i="31"/>
  <c r="N51" i="31" s="1"/>
  <c r="M111" i="31"/>
  <c r="M83" i="27"/>
  <c r="P106" i="30"/>
  <c r="AB30" i="27"/>
  <c r="AB64" i="27"/>
  <c r="BW73" i="27"/>
  <c r="AC73" i="27"/>
  <c r="BW89" i="27"/>
  <c r="AC89" i="27"/>
  <c r="T12" i="25"/>
  <c r="D75" i="36" s="1"/>
  <c r="AD23" i="27"/>
  <c r="AD37" i="30"/>
  <c r="AD38" i="30" s="1"/>
  <c r="AD43" i="27"/>
  <c r="AE19" i="27"/>
  <c r="AE20" i="30"/>
  <c r="AE36" i="30" s="1"/>
  <c r="AE22" i="30"/>
  <c r="AF17" i="30"/>
  <c r="AF18" i="30" s="1"/>
  <c r="AD29" i="30"/>
  <c r="AD30" i="30"/>
  <c r="AD27" i="27"/>
  <c r="F73" i="26"/>
  <c r="AC31" i="30"/>
  <c r="AC32" i="30"/>
  <c r="AC34" i="30"/>
  <c r="AC33" i="30"/>
  <c r="AC31" i="27"/>
  <c r="BW44" i="27"/>
  <c r="J46" i="25" s="1"/>
  <c r="J13" i="25" s="1"/>
  <c r="AC44" i="27"/>
  <c r="AC41" i="27" s="1"/>
  <c r="AC37" i="31"/>
  <c r="AC38" i="31" s="1"/>
  <c r="AD22" i="31"/>
  <c r="AE17" i="31"/>
  <c r="AE18" i="31" s="1"/>
  <c r="AD20" i="31"/>
  <c r="AD36" i="31" s="1"/>
  <c r="AD20" i="27"/>
  <c r="AC29" i="31"/>
  <c r="AC28" i="27"/>
  <c r="F93" i="26"/>
  <c r="AC30" i="31"/>
  <c r="AB32" i="27"/>
  <c r="AB81" i="27"/>
  <c r="AB31" i="31"/>
  <c r="AB32" i="31"/>
  <c r="AB33" i="31"/>
  <c r="AB34" i="31"/>
  <c r="S62" i="33"/>
  <c r="S50" i="30"/>
  <c r="BD117" i="28"/>
  <c r="BD61" i="28"/>
  <c r="AG60" i="28"/>
  <c r="AG116" i="28"/>
  <c r="AJ59" i="28"/>
  <c r="S60" i="30"/>
  <c r="S53" i="30" s="1"/>
  <c r="R98" i="30"/>
  <c r="R97" i="30" s="1"/>
  <c r="R104" i="30" s="1"/>
  <c r="R106" i="30" s="1"/>
  <c r="AD99" i="30"/>
  <c r="AD105" i="30"/>
  <c r="AC24" i="27"/>
  <c r="AC18" i="27"/>
  <c r="AC22" i="27" s="1"/>
  <c r="F91" i="26"/>
  <c r="F99" i="26"/>
  <c r="AR11" i="32"/>
  <c r="AR15" i="27"/>
  <c r="AS16" i="29"/>
  <c r="Z110" i="29"/>
  <c r="AA71" i="29"/>
  <c r="Y111" i="29"/>
  <c r="Y73" i="29"/>
  <c r="Z57" i="27"/>
  <c r="AA72" i="29"/>
  <c r="AA110" i="29"/>
  <c r="Z72" i="29"/>
  <c r="Z111" i="29" s="1"/>
  <c r="O35" i="14"/>
  <c r="O50" i="14"/>
  <c r="O52" i="14" s="1"/>
  <c r="O23" i="14"/>
  <c r="O24" i="14" s="1"/>
  <c r="Y93" i="32"/>
  <c r="Y75" i="27"/>
  <c r="Y67" i="27"/>
  <c r="Y58" i="27"/>
  <c r="AA79" i="32"/>
  <c r="AD62" i="32"/>
  <c r="AD69" i="32"/>
  <c r="AD73" i="32"/>
  <c r="AD34" i="32"/>
  <c r="AE32" i="32"/>
  <c r="AE31" i="32"/>
  <c r="AE74" i="32" s="1"/>
  <c r="AE75" i="32"/>
  <c r="AE71" i="32"/>
  <c r="AE29" i="32"/>
  <c r="AE28" i="32"/>
  <c r="AE27" i="32"/>
  <c r="AE25" i="32"/>
  <c r="AE24" i="32"/>
  <c r="AF19" i="32"/>
  <c r="AF20" i="32" s="1"/>
  <c r="AF33" i="32"/>
  <c r="AF30" i="32"/>
  <c r="AF26" i="32"/>
  <c r="AF23" i="32"/>
  <c r="AG22" i="32"/>
  <c r="AG18" i="32"/>
  <c r="AG65" i="32" s="1"/>
  <c r="AI12" i="32"/>
  <c r="AI13" i="32" s="1"/>
  <c r="AH15" i="32"/>
  <c r="AC62" i="32"/>
  <c r="AB52" i="27"/>
  <c r="AB66" i="32"/>
  <c r="X64" i="31"/>
  <c r="X57" i="31" s="1"/>
  <c r="W70" i="33"/>
  <c r="X63" i="31"/>
  <c r="X56" i="31" s="1"/>
  <c r="W69" i="33"/>
  <c r="X64" i="30"/>
  <c r="X57" i="30" s="1"/>
  <c r="W61" i="33"/>
  <c r="X63" i="30"/>
  <c r="X56" i="30" s="1"/>
  <c r="W60" i="33"/>
  <c r="AE20" i="32"/>
  <c r="AE64" i="32"/>
  <c r="AE62" i="32" s="1"/>
  <c r="X50" i="31"/>
  <c r="X71" i="33"/>
  <c r="N56" i="14"/>
  <c r="N53" i="14"/>
  <c r="E35" i="5"/>
  <c r="E39" i="5" s="1"/>
  <c r="E33" i="5"/>
  <c r="E21" i="5"/>
  <c r="E23" i="5" s="1"/>
  <c r="F7" i="5"/>
  <c r="F17" i="5" s="1"/>
  <c r="F11" i="5"/>
  <c r="F9" i="5"/>
  <c r="G8" i="5"/>
  <c r="F95" i="26" l="1"/>
  <c r="F118" i="26"/>
  <c r="N74" i="33"/>
  <c r="N54" i="27"/>
  <c r="N90" i="27"/>
  <c r="N88" i="27"/>
  <c r="BW53" i="27"/>
  <c r="J57" i="34" s="1"/>
  <c r="T57" i="34" s="1"/>
  <c r="AC53" i="27"/>
  <c r="AD83" i="29"/>
  <c r="AD46" i="29"/>
  <c r="AG89" i="29"/>
  <c r="AG47" i="29"/>
  <c r="AG86" i="29" s="1"/>
  <c r="AG45" i="29"/>
  <c r="AG84" i="29" s="1"/>
  <c r="AG42" i="27"/>
  <c r="AG25" i="29"/>
  <c r="AG27" i="29"/>
  <c r="AG38" i="27" s="1"/>
  <c r="AG38" i="29"/>
  <c r="AG34" i="27"/>
  <c r="AG39" i="29"/>
  <c r="AG78" i="29" s="1"/>
  <c r="AH26" i="29"/>
  <c r="AH24" i="29"/>
  <c r="AH50" i="29"/>
  <c r="AH25" i="27"/>
  <c r="AH87" i="27" s="1"/>
  <c r="AI17" i="27"/>
  <c r="AJ16" i="27" s="1"/>
  <c r="AI22" i="29"/>
  <c r="AI20" i="29"/>
  <c r="AJ17" i="29"/>
  <c r="AJ18" i="29" s="1"/>
  <c r="AF77" i="29"/>
  <c r="AF37" i="29"/>
  <c r="P62" i="30"/>
  <c r="O61" i="30"/>
  <c r="O55" i="30"/>
  <c r="N112" i="30"/>
  <c r="N111" i="30" s="1"/>
  <c r="N117" i="30" s="1"/>
  <c r="N35" i="27"/>
  <c r="AE76" i="29"/>
  <c r="AE44" i="29"/>
  <c r="F96" i="26"/>
  <c r="F97" i="26" s="1"/>
  <c r="AB110" i="31"/>
  <c r="AC110" i="31" s="1"/>
  <c r="AB96" i="29"/>
  <c r="AC96" i="29" s="1"/>
  <c r="AB47" i="27"/>
  <c r="AB70" i="29"/>
  <c r="AC57" i="29"/>
  <c r="AK59" i="28"/>
  <c r="AL59" i="28" s="1"/>
  <c r="H10" i="34"/>
  <c r="S10" i="34" s="1"/>
  <c r="C26" i="36" s="1"/>
  <c r="H31" i="34"/>
  <c r="S35" i="34"/>
  <c r="R98" i="31"/>
  <c r="R97" i="31" s="1"/>
  <c r="S60" i="31"/>
  <c r="R108" i="31"/>
  <c r="Q104" i="31"/>
  <c r="Q106" i="31" s="1"/>
  <c r="Q51" i="27"/>
  <c r="AH117" i="28"/>
  <c r="AH61" i="28"/>
  <c r="AI117" i="28"/>
  <c r="AI61" i="28"/>
  <c r="G71" i="34"/>
  <c r="L131" i="31"/>
  <c r="L132" i="31" s="1"/>
  <c r="L133" i="31" s="1"/>
  <c r="BT133" i="31" s="1"/>
  <c r="G45" i="20" s="1"/>
  <c r="L45" i="27"/>
  <c r="L78" i="27"/>
  <c r="N112" i="31"/>
  <c r="N36" i="27"/>
  <c r="P47" i="31"/>
  <c r="O46" i="31"/>
  <c r="O51" i="31" s="1"/>
  <c r="P55" i="31"/>
  <c r="O68" i="33"/>
  <c r="O54" i="31"/>
  <c r="P62" i="31"/>
  <c r="O61" i="31"/>
  <c r="M117" i="31"/>
  <c r="M55" i="27"/>
  <c r="BW64" i="27"/>
  <c r="AC64" i="27"/>
  <c r="AF19" i="27"/>
  <c r="AF22" i="30"/>
  <c r="AG17" i="30"/>
  <c r="AG18" i="30" s="1"/>
  <c r="AF20" i="30"/>
  <c r="AF36" i="30" s="1"/>
  <c r="AE23" i="27"/>
  <c r="AE37" i="30"/>
  <c r="AE38" i="30" s="1"/>
  <c r="AE43" i="27"/>
  <c r="AE27" i="27"/>
  <c r="AE30" i="30"/>
  <c r="AE29" i="30"/>
  <c r="AD32" i="30"/>
  <c r="AD34" i="30"/>
  <c r="AD31" i="30"/>
  <c r="AD33" i="30"/>
  <c r="AD31" i="27"/>
  <c r="AD73" i="27"/>
  <c r="F74" i="26"/>
  <c r="F75" i="26" s="1"/>
  <c r="F121" i="26"/>
  <c r="AE20" i="31"/>
  <c r="AE36" i="31" s="1"/>
  <c r="AE22" i="31"/>
  <c r="AE20" i="27"/>
  <c r="AF17" i="31"/>
  <c r="AF18" i="31" s="1"/>
  <c r="AD29" i="31"/>
  <c r="AD30" i="31"/>
  <c r="AD28" i="27"/>
  <c r="AD26" i="27" s="1"/>
  <c r="AD37" i="31"/>
  <c r="AD38" i="31" s="1"/>
  <c r="AD44" i="27"/>
  <c r="AD41" i="27" s="1"/>
  <c r="AD89" i="27" s="1"/>
  <c r="AC31" i="31"/>
  <c r="AC32" i="31"/>
  <c r="AC33" i="31"/>
  <c r="AC34" i="31"/>
  <c r="AC81" i="27"/>
  <c r="BW81" i="27"/>
  <c r="T65" i="30"/>
  <c r="T58" i="30" s="1"/>
  <c r="AG117" i="28"/>
  <c r="AG61" i="28"/>
  <c r="AJ60" i="28"/>
  <c r="AJ116" i="28"/>
  <c r="S108" i="30"/>
  <c r="S45" i="30"/>
  <c r="BX116" i="28"/>
  <c r="AE105" i="30"/>
  <c r="AE99" i="30"/>
  <c r="T13" i="25"/>
  <c r="D76" i="36" s="1"/>
  <c r="J10" i="25"/>
  <c r="T10" i="25" s="1"/>
  <c r="AD99" i="31"/>
  <c r="AD105" i="31"/>
  <c r="AD53" i="27" s="1"/>
  <c r="AD24" i="27"/>
  <c r="AD18" i="27"/>
  <c r="AD22" i="27" s="1"/>
  <c r="AC32" i="27"/>
  <c r="AC26" i="27"/>
  <c r="AC30" i="27" s="1"/>
  <c r="AS11" i="32"/>
  <c r="AS15" i="27"/>
  <c r="AT16" i="29"/>
  <c r="AC52" i="27"/>
  <c r="BW52" i="27"/>
  <c r="J50" i="34" s="1"/>
  <c r="AA111" i="29"/>
  <c r="AA73" i="29"/>
  <c r="Z73" i="29"/>
  <c r="O36" i="14"/>
  <c r="P33" i="14"/>
  <c r="O42" i="14"/>
  <c r="P16" i="14"/>
  <c r="O25" i="14"/>
  <c r="Y57" i="27"/>
  <c r="AA92" i="32"/>
  <c r="AA46" i="27"/>
  <c r="AD52" i="27"/>
  <c r="AD66" i="32"/>
  <c r="AF64" i="32"/>
  <c r="AF31" i="32"/>
  <c r="AF74" i="32" s="1"/>
  <c r="AF32" i="32"/>
  <c r="AF75" i="32"/>
  <c r="AF71" i="32"/>
  <c r="AF29" i="32"/>
  <c r="AF28" i="32"/>
  <c r="AF27" i="32"/>
  <c r="AF24" i="32"/>
  <c r="AF25" i="32"/>
  <c r="AG33" i="32"/>
  <c r="AG30" i="32"/>
  <c r="AG26" i="32"/>
  <c r="AG23" i="32"/>
  <c r="AG19" i="32"/>
  <c r="AG20" i="32" s="1"/>
  <c r="AH18" i="32"/>
  <c r="AH65" i="32" s="1"/>
  <c r="AH22" i="32"/>
  <c r="AJ12" i="32"/>
  <c r="AI15" i="32"/>
  <c r="AJ13" i="32"/>
  <c r="AC66" i="32"/>
  <c r="AB68" i="32"/>
  <c r="AE52" i="27"/>
  <c r="AE66" i="32"/>
  <c r="AE68" i="32" s="1"/>
  <c r="Y65" i="31"/>
  <c r="Y58" i="31" s="1"/>
  <c r="Y50" i="31" s="1"/>
  <c r="AE34" i="32"/>
  <c r="Z93" i="32"/>
  <c r="Y94" i="32"/>
  <c r="AE73" i="32"/>
  <c r="AE69" i="32"/>
  <c r="X49" i="31"/>
  <c r="X70" i="33"/>
  <c r="X48" i="31"/>
  <c r="X69" i="33"/>
  <c r="X49" i="30"/>
  <c r="X61" i="33"/>
  <c r="X48" i="30"/>
  <c r="X60" i="33"/>
  <c r="N57" i="14"/>
  <c r="N58" i="14" s="1"/>
  <c r="N55" i="14"/>
  <c r="N54" i="14"/>
  <c r="F35" i="5"/>
  <c r="F39" i="5" s="1"/>
  <c r="F33" i="5"/>
  <c r="F21" i="5"/>
  <c r="F23" i="5" s="1"/>
  <c r="G7" i="5"/>
  <c r="G17" i="5" s="1"/>
  <c r="G9" i="5"/>
  <c r="G11" i="5"/>
  <c r="H8" i="5"/>
  <c r="N48" i="27" l="1"/>
  <c r="N130" i="30"/>
  <c r="N83" i="27"/>
  <c r="AE83" i="29"/>
  <c r="AE46" i="29"/>
  <c r="AD85" i="29"/>
  <c r="AD57" i="29"/>
  <c r="AG77" i="29"/>
  <c r="AG37" i="29"/>
  <c r="AH34" i="27"/>
  <c r="AH38" i="29"/>
  <c r="AH39" i="29"/>
  <c r="AH78" i="29" s="1"/>
  <c r="AH45" i="29"/>
  <c r="AH84" i="29" s="1"/>
  <c r="AH42" i="27"/>
  <c r="AH25" i="29"/>
  <c r="AH27" i="29"/>
  <c r="AH38" i="27" s="1"/>
  <c r="AH89" i="29"/>
  <c r="AH47" i="29"/>
  <c r="AH86" i="29" s="1"/>
  <c r="AI50" i="29"/>
  <c r="AI25" i="27"/>
  <c r="AI87" i="27" s="1"/>
  <c r="BX87" i="27" s="1"/>
  <c r="AI24" i="29"/>
  <c r="AI26" i="29"/>
  <c r="AK17" i="29"/>
  <c r="AK18" i="29" s="1"/>
  <c r="AJ17" i="27"/>
  <c r="AK16" i="27" s="1"/>
  <c r="AJ22" i="29"/>
  <c r="AJ20" i="29"/>
  <c r="AF76" i="29"/>
  <c r="AF44" i="29"/>
  <c r="AF105" i="30"/>
  <c r="AF99" i="30"/>
  <c r="N33" i="27"/>
  <c r="O59" i="30"/>
  <c r="P61" i="30"/>
  <c r="O59" i="33"/>
  <c r="O54" i="30"/>
  <c r="P55" i="30"/>
  <c r="O47" i="30"/>
  <c r="BX117" i="28"/>
  <c r="BX61" i="28"/>
  <c r="K55" i="20" s="1"/>
  <c r="AM59" i="28"/>
  <c r="AK116" i="28"/>
  <c r="AK60" i="28"/>
  <c r="AL60" i="28"/>
  <c r="AL116" i="28"/>
  <c r="AE99" i="31"/>
  <c r="AE105" i="31"/>
  <c r="AE53" i="27" s="1"/>
  <c r="AD110" i="30"/>
  <c r="AC47" i="27"/>
  <c r="AB76" i="27"/>
  <c r="AC76" i="27" s="1"/>
  <c r="AB68" i="27"/>
  <c r="AC68" i="27" s="1"/>
  <c r="AB59" i="27"/>
  <c r="AC59" i="27" s="1"/>
  <c r="AB109" i="29"/>
  <c r="AC109" i="29" s="1"/>
  <c r="AC70" i="29"/>
  <c r="AB71" i="29"/>
  <c r="R51" i="27"/>
  <c r="R104" i="31"/>
  <c r="R106" i="31" s="1"/>
  <c r="H53" i="34"/>
  <c r="H8" i="34"/>
  <c r="S8" i="34" s="1"/>
  <c r="C24" i="36" s="1"/>
  <c r="S31" i="34"/>
  <c r="S53" i="31"/>
  <c r="G83" i="34"/>
  <c r="G19" i="34"/>
  <c r="N111" i="31"/>
  <c r="Q62" i="31"/>
  <c r="P46" i="31"/>
  <c r="P51" i="31" s="1"/>
  <c r="P68" i="33"/>
  <c r="O72" i="33"/>
  <c r="O67" i="33"/>
  <c r="P67" i="33" s="1"/>
  <c r="P54" i="31"/>
  <c r="O52" i="31"/>
  <c r="O109" i="31"/>
  <c r="O113" i="31"/>
  <c r="P113" i="31" s="1"/>
  <c r="O59" i="31"/>
  <c r="P61" i="31"/>
  <c r="M49" i="27"/>
  <c r="M130" i="31"/>
  <c r="N69" i="27"/>
  <c r="N131" i="30"/>
  <c r="AF23" i="27"/>
  <c r="AF30" i="30"/>
  <c r="AF27" i="27"/>
  <c r="AF29" i="30"/>
  <c r="AG19" i="27"/>
  <c r="AG22" i="30"/>
  <c r="AG20" i="30"/>
  <c r="AG36" i="30" s="1"/>
  <c r="AG105" i="30" s="1"/>
  <c r="AH17" i="30"/>
  <c r="AH18" i="30" s="1"/>
  <c r="AF37" i="30"/>
  <c r="AF38" i="30" s="1"/>
  <c r="AF43" i="27"/>
  <c r="AE31" i="27"/>
  <c r="AE73" i="27"/>
  <c r="AE32" i="30"/>
  <c r="AE33" i="30"/>
  <c r="AE31" i="30"/>
  <c r="AE34" i="30"/>
  <c r="AD30" i="27"/>
  <c r="AD64" i="27"/>
  <c r="AE44" i="27"/>
  <c r="AE41" i="27" s="1"/>
  <c r="AE89" i="27" s="1"/>
  <c r="AE37" i="31"/>
  <c r="AE38" i="31" s="1"/>
  <c r="AE28" i="27"/>
  <c r="AE26" i="27" s="1"/>
  <c r="AE30" i="31"/>
  <c r="AE29" i="31"/>
  <c r="AF20" i="31"/>
  <c r="AF36" i="31" s="1"/>
  <c r="AG17" i="31"/>
  <c r="AG18" i="31" s="1"/>
  <c r="AF22" i="31"/>
  <c r="AF20" i="27"/>
  <c r="AD32" i="31"/>
  <c r="AD31" i="31"/>
  <c r="AD34" i="31"/>
  <c r="AD33" i="31"/>
  <c r="AD32" i="27"/>
  <c r="AD81" i="27"/>
  <c r="AJ61" i="28"/>
  <c r="AJ117" i="28"/>
  <c r="T60" i="30"/>
  <c r="T53" i="30" s="1"/>
  <c r="S98" i="30"/>
  <c r="S97" i="30" s="1"/>
  <c r="D72" i="36"/>
  <c r="D51" i="36"/>
  <c r="J61" i="34"/>
  <c r="T61" i="34" s="1"/>
  <c r="L74" i="27"/>
  <c r="AE24" i="27"/>
  <c r="AE18" i="27"/>
  <c r="AE22" i="27" s="1"/>
  <c r="T62" i="33"/>
  <c r="T50" i="30"/>
  <c r="U65" i="30" s="1"/>
  <c r="U58" i="30" s="1"/>
  <c r="AT15" i="27"/>
  <c r="AT11" i="32"/>
  <c r="AU16" i="29"/>
  <c r="AG64" i="32"/>
  <c r="AG62" i="32" s="1"/>
  <c r="T50" i="34"/>
  <c r="P29" i="14"/>
  <c r="P18" i="14"/>
  <c r="O38" i="14"/>
  <c r="O43" i="14"/>
  <c r="O26" i="14"/>
  <c r="O39" i="14"/>
  <c r="AA93" i="32"/>
  <c r="AA75" i="27"/>
  <c r="AA67" i="27"/>
  <c r="AA58" i="27"/>
  <c r="AD68" i="32"/>
  <c r="AF62" i="32"/>
  <c r="AF34" i="32"/>
  <c r="AG31" i="32"/>
  <c r="AG74" i="32" s="1"/>
  <c r="AG32" i="32"/>
  <c r="AG75" i="32"/>
  <c r="AG71" i="32"/>
  <c r="AG29" i="32"/>
  <c r="AG28" i="32"/>
  <c r="AG27" i="32"/>
  <c r="AG25" i="32"/>
  <c r="AG24" i="32"/>
  <c r="AH19" i="32"/>
  <c r="AH20" i="32" s="1"/>
  <c r="AH33" i="32"/>
  <c r="AH30" i="32"/>
  <c r="AH26" i="32"/>
  <c r="AH23" i="32"/>
  <c r="AI18" i="32"/>
  <c r="AI22" i="32"/>
  <c r="AK12" i="32"/>
  <c r="AK13" i="32" s="1"/>
  <c r="AJ15" i="32"/>
  <c r="AC68" i="32"/>
  <c r="AB79" i="32"/>
  <c r="Z65" i="31"/>
  <c r="Z58" i="31" s="1"/>
  <c r="Y71" i="33"/>
  <c r="Z94" i="32"/>
  <c r="Z95" i="32" s="1"/>
  <c r="Y95" i="32"/>
  <c r="Y64" i="31"/>
  <c r="Y57" i="31" s="1"/>
  <c r="Y49" i="31" s="1"/>
  <c r="Y63" i="31"/>
  <c r="Y56" i="31" s="1"/>
  <c r="Y48" i="31" s="1"/>
  <c r="Y64" i="30"/>
  <c r="Y57" i="30"/>
  <c r="Y49" i="30" s="1"/>
  <c r="Y63" i="30"/>
  <c r="Y56" i="30" s="1"/>
  <c r="Y48" i="30" s="1"/>
  <c r="AE79" i="32"/>
  <c r="AF69" i="32"/>
  <c r="AF73" i="32"/>
  <c r="G35" i="5"/>
  <c r="G39" i="5" s="1"/>
  <c r="G33" i="5"/>
  <c r="G21" i="5"/>
  <c r="G23" i="5" s="1"/>
  <c r="H7" i="5"/>
  <c r="H17" i="5" s="1"/>
  <c r="H11" i="5"/>
  <c r="H9" i="5"/>
  <c r="I8" i="5"/>
  <c r="AG99" i="30" l="1"/>
  <c r="AE85" i="29"/>
  <c r="AE57" i="29"/>
  <c r="AD96" i="29"/>
  <c r="AD47" i="27"/>
  <c r="AD70" i="29"/>
  <c r="AG76" i="29"/>
  <c r="AG44" i="29"/>
  <c r="AH37" i="29"/>
  <c r="AH77" i="29"/>
  <c r="AI89" i="29"/>
  <c r="AI47" i="29"/>
  <c r="AI86" i="29" s="1"/>
  <c r="AI45" i="29"/>
  <c r="AI84" i="29" s="1"/>
  <c r="AI42" i="27"/>
  <c r="BX42" i="27" s="1"/>
  <c r="K44" i="25" s="1"/>
  <c r="AI27" i="29"/>
  <c r="AI38" i="27" s="1"/>
  <c r="AI25" i="29"/>
  <c r="AI34" i="27"/>
  <c r="AI39" i="29"/>
  <c r="AI78" i="29" s="1"/>
  <c r="AI38" i="29"/>
  <c r="AJ25" i="27"/>
  <c r="AJ87" i="27" s="1"/>
  <c r="AJ50" i="29"/>
  <c r="AJ26" i="29"/>
  <c r="AJ24" i="29"/>
  <c r="AL17" i="29"/>
  <c r="AL18" i="29" s="1"/>
  <c r="AK17" i="27"/>
  <c r="AL16" i="27" s="1"/>
  <c r="AK22" i="29"/>
  <c r="AK20" i="29"/>
  <c r="AF83" i="29"/>
  <c r="AF46" i="29"/>
  <c r="P59" i="30"/>
  <c r="O39" i="27"/>
  <c r="P39" i="27" s="1"/>
  <c r="O66" i="30"/>
  <c r="P59" i="33"/>
  <c r="O58" i="33"/>
  <c r="P58" i="33" s="1"/>
  <c r="O63" i="33"/>
  <c r="P54" i="30"/>
  <c r="O113" i="30"/>
  <c r="P113" i="30" s="1"/>
  <c r="O109" i="30"/>
  <c r="O52" i="30"/>
  <c r="O46" i="30"/>
  <c r="O51" i="30" s="1"/>
  <c r="P47" i="30"/>
  <c r="L94" i="27"/>
  <c r="L82" i="27"/>
  <c r="AN59" i="28"/>
  <c r="AM60" i="28"/>
  <c r="AM116" i="28"/>
  <c r="AK117" i="28"/>
  <c r="AK61" i="28"/>
  <c r="AL61" i="28"/>
  <c r="AL117" i="28"/>
  <c r="AB110" i="29"/>
  <c r="AC110" i="29" s="1"/>
  <c r="AC71" i="29"/>
  <c r="AB72" i="29"/>
  <c r="AF105" i="31"/>
  <c r="AF53" i="27" s="1"/>
  <c r="AF99" i="31"/>
  <c r="AF24" i="27"/>
  <c r="AF18" i="27"/>
  <c r="AF22" i="27" s="1"/>
  <c r="H58" i="34"/>
  <c r="S53" i="34"/>
  <c r="H15" i="34"/>
  <c r="S15" i="34" s="1"/>
  <c r="C31" i="36" s="1"/>
  <c r="S108" i="31"/>
  <c r="S45" i="31"/>
  <c r="G22" i="34"/>
  <c r="G26" i="34" s="1"/>
  <c r="G28" i="34" s="1"/>
  <c r="G35" i="25" s="1"/>
  <c r="G85" i="34"/>
  <c r="G87" i="34" s="1"/>
  <c r="N55" i="27"/>
  <c r="N117" i="31"/>
  <c r="Q61" i="31"/>
  <c r="Q59" i="31" s="1"/>
  <c r="Q55" i="31"/>
  <c r="P72" i="33"/>
  <c r="P52" i="31"/>
  <c r="E98" i="26" s="1"/>
  <c r="O36" i="27"/>
  <c r="O112" i="31"/>
  <c r="O107" i="31"/>
  <c r="P109" i="31"/>
  <c r="P59" i="31"/>
  <c r="O40" i="27"/>
  <c r="M78" i="27"/>
  <c r="M45" i="27"/>
  <c r="M131" i="31"/>
  <c r="N65" i="27"/>
  <c r="N132" i="30"/>
  <c r="AF34" i="30"/>
  <c r="AF31" i="30"/>
  <c r="AF32" i="30"/>
  <c r="AF33" i="30"/>
  <c r="AF31" i="27"/>
  <c r="AF73" i="27"/>
  <c r="AG23" i="27"/>
  <c r="AG30" i="30"/>
  <c r="AG29" i="30"/>
  <c r="AG27" i="27"/>
  <c r="AG43" i="27"/>
  <c r="AG37" i="30"/>
  <c r="AG38" i="30" s="1"/>
  <c r="AH20" i="30"/>
  <c r="AH36" i="30" s="1"/>
  <c r="AH19" i="27"/>
  <c r="AH22" i="30"/>
  <c r="AI17" i="30"/>
  <c r="AI18" i="30" s="1"/>
  <c r="AE30" i="27"/>
  <c r="AE64" i="27"/>
  <c r="AE32" i="27"/>
  <c r="AE81" i="27"/>
  <c r="AE31" i="31"/>
  <c r="AE32" i="31"/>
  <c r="AE33" i="31"/>
  <c r="AE34" i="31"/>
  <c r="AF37" i="31"/>
  <c r="AF38" i="31" s="1"/>
  <c r="AF44" i="27"/>
  <c r="AF41" i="27" s="1"/>
  <c r="AF89" i="27" s="1"/>
  <c r="AG20" i="31"/>
  <c r="AG36" i="31" s="1"/>
  <c r="AG22" i="31"/>
  <c r="AG20" i="27"/>
  <c r="AH17" i="31"/>
  <c r="AH18" i="31" s="1"/>
  <c r="AF29" i="31"/>
  <c r="AF30" i="31"/>
  <c r="AF28" i="27"/>
  <c r="AF26" i="27" s="1"/>
  <c r="S104" i="30"/>
  <c r="S106" i="30" s="1"/>
  <c r="U50" i="30"/>
  <c r="U62" i="33"/>
  <c r="AE110" i="30"/>
  <c r="AD110" i="31"/>
  <c r="T108" i="30"/>
  <c r="T45" i="30"/>
  <c r="AU11" i="32"/>
  <c r="AU15" i="27"/>
  <c r="AV16" i="29"/>
  <c r="AG66" i="32"/>
  <c r="AG68" i="32" s="1"/>
  <c r="AG52" i="27"/>
  <c r="AI65" i="32"/>
  <c r="BX18" i="32"/>
  <c r="K60" i="25" s="1"/>
  <c r="K25" i="25" s="1"/>
  <c r="K23" i="25" s="1"/>
  <c r="O40" i="14"/>
  <c r="P19" i="14"/>
  <c r="P21" i="14"/>
  <c r="AA57" i="27"/>
  <c r="AD79" i="32"/>
  <c r="AF66" i="32"/>
  <c r="AF52" i="27"/>
  <c r="AH64" i="32"/>
  <c r="AH31" i="32"/>
  <c r="AH74" i="32" s="1"/>
  <c r="AH32" i="32"/>
  <c r="AH75" i="32"/>
  <c r="AH71" i="32"/>
  <c r="AH69" i="32" s="1"/>
  <c r="AH29" i="32"/>
  <c r="AH28" i="32"/>
  <c r="AH27" i="32"/>
  <c r="AH25" i="32"/>
  <c r="AH24" i="32"/>
  <c r="AI19" i="32"/>
  <c r="AI20" i="32" s="1"/>
  <c r="AI64" i="32" s="1"/>
  <c r="AI33" i="32"/>
  <c r="AI30" i="32"/>
  <c r="AI26" i="32"/>
  <c r="AI23" i="32"/>
  <c r="AJ18" i="32"/>
  <c r="AJ65" i="32" s="1"/>
  <c r="AJ22" i="32"/>
  <c r="AL12" i="32"/>
  <c r="AL13" i="32" s="1"/>
  <c r="AK15" i="32"/>
  <c r="AC79" i="32"/>
  <c r="AB92" i="32"/>
  <c r="AB46" i="27"/>
  <c r="Z64" i="31"/>
  <c r="Z57" i="31" s="1"/>
  <c r="Y70" i="33"/>
  <c r="Z63" i="31"/>
  <c r="Z56" i="31" s="1"/>
  <c r="Y69" i="33"/>
  <c r="Z64" i="30"/>
  <c r="Z57" i="30" s="1"/>
  <c r="Y61" i="33"/>
  <c r="Z63" i="30"/>
  <c r="Z56" i="30" s="1"/>
  <c r="Y60" i="33"/>
  <c r="AE46" i="27"/>
  <c r="AE92" i="32"/>
  <c r="AA94" i="32"/>
  <c r="AG69" i="32"/>
  <c r="AG73" i="32"/>
  <c r="AG34" i="32"/>
  <c r="Z50" i="31"/>
  <c r="Z71" i="33"/>
  <c r="H35" i="5"/>
  <c r="H39" i="5" s="1"/>
  <c r="H33" i="5"/>
  <c r="H21" i="5"/>
  <c r="H23" i="5" s="1"/>
  <c r="I7" i="5"/>
  <c r="I17" i="5" s="1"/>
  <c r="I11" i="5"/>
  <c r="I9" i="5"/>
  <c r="G31" i="25" l="1"/>
  <c r="G33" i="25" s="1"/>
  <c r="G8" i="25"/>
  <c r="G21" i="25" s="1"/>
  <c r="AE96" i="29"/>
  <c r="AE70" i="29"/>
  <c r="AE109" i="29" s="1"/>
  <c r="AE47" i="27"/>
  <c r="AD76" i="27"/>
  <c r="AD59" i="27"/>
  <c r="AD68" i="27"/>
  <c r="AD71" i="29"/>
  <c r="AD109" i="29"/>
  <c r="AG46" i="29"/>
  <c r="AG83" i="29"/>
  <c r="AH76" i="29"/>
  <c r="AH44" i="29"/>
  <c r="AI77" i="29"/>
  <c r="AI37" i="29"/>
  <c r="AJ47" i="29"/>
  <c r="AJ86" i="29" s="1"/>
  <c r="AJ89" i="29"/>
  <c r="AJ38" i="29"/>
  <c r="AJ39" i="29"/>
  <c r="AJ78" i="29" s="1"/>
  <c r="AJ34" i="27"/>
  <c r="AJ45" i="29"/>
  <c r="AJ84" i="29" s="1"/>
  <c r="AJ42" i="27"/>
  <c r="AJ27" i="29"/>
  <c r="AJ38" i="27" s="1"/>
  <c r="AJ25" i="29"/>
  <c r="AM17" i="29"/>
  <c r="AM18" i="29" s="1"/>
  <c r="AL17" i="27"/>
  <c r="AM16" i="27" s="1"/>
  <c r="AL22" i="29"/>
  <c r="AL20" i="29"/>
  <c r="AK25" i="27"/>
  <c r="AK87" i="27" s="1"/>
  <c r="AK50" i="29"/>
  <c r="AK26" i="29"/>
  <c r="AK24" i="29"/>
  <c r="AF85" i="29"/>
  <c r="AF57" i="29"/>
  <c r="P63" i="33"/>
  <c r="O74" i="33"/>
  <c r="BT94" i="27"/>
  <c r="L95" i="27"/>
  <c r="BT95" i="27" s="1"/>
  <c r="G33" i="20" s="1"/>
  <c r="P109" i="30"/>
  <c r="O107" i="30"/>
  <c r="O54" i="27" s="1"/>
  <c r="O112" i="30"/>
  <c r="P52" i="30"/>
  <c r="E76" i="26" s="1"/>
  <c r="E120" i="26" s="1"/>
  <c r="O35" i="27"/>
  <c r="P46" i="30"/>
  <c r="P51" i="30" s="1"/>
  <c r="Q62" i="30"/>
  <c r="AO59" i="28"/>
  <c r="AP59" i="28" s="1"/>
  <c r="AS59" i="28" s="1"/>
  <c r="AN60" i="28"/>
  <c r="AN116" i="28"/>
  <c r="AM117" i="28"/>
  <c r="AM61" i="28"/>
  <c r="AB111" i="29"/>
  <c r="AC111" i="29" s="1"/>
  <c r="AB73" i="29"/>
  <c r="BW73" i="29" s="1"/>
  <c r="J39" i="20" s="1"/>
  <c r="AC72" i="29"/>
  <c r="AC73" i="29" s="1"/>
  <c r="AG99" i="31"/>
  <c r="AG105" i="31"/>
  <c r="AG53" i="27" s="1"/>
  <c r="AG24" i="27"/>
  <c r="AG18" i="27"/>
  <c r="AG22" i="27" s="1"/>
  <c r="S58" i="34"/>
  <c r="H17" i="34"/>
  <c r="S17" i="34" s="1"/>
  <c r="C33" i="36" s="1"/>
  <c r="T60" i="31"/>
  <c r="T53" i="31" s="1"/>
  <c r="T45" i="31" s="1"/>
  <c r="S98" i="31"/>
  <c r="S97" i="31" s="1"/>
  <c r="N130" i="31"/>
  <c r="N49" i="27"/>
  <c r="Q40" i="27"/>
  <c r="Q54" i="31"/>
  <c r="Q68" i="33"/>
  <c r="Q47" i="31"/>
  <c r="P36" i="27"/>
  <c r="P112" i="31"/>
  <c r="O111" i="31"/>
  <c r="O117" i="31" s="1"/>
  <c r="P117" i="31" s="1"/>
  <c r="P107" i="31"/>
  <c r="O37" i="27"/>
  <c r="P40" i="27"/>
  <c r="M74" i="27"/>
  <c r="M132" i="31"/>
  <c r="N133" i="30"/>
  <c r="AF30" i="27"/>
  <c r="AF64" i="27"/>
  <c r="AG33" i="30"/>
  <c r="AG34" i="30"/>
  <c r="AG32" i="30"/>
  <c r="AG31" i="30"/>
  <c r="AG31" i="27"/>
  <c r="AG73" i="27"/>
  <c r="AH37" i="30"/>
  <c r="AH38" i="30" s="1"/>
  <c r="AH43" i="27"/>
  <c r="AH23" i="27"/>
  <c r="AI19" i="27"/>
  <c r="AI22" i="30"/>
  <c r="AI20" i="30"/>
  <c r="AI36" i="30" s="1"/>
  <c r="AJ17" i="30"/>
  <c r="AJ18" i="30" s="1"/>
  <c r="AH27" i="27"/>
  <c r="AH29" i="30"/>
  <c r="AH30" i="30"/>
  <c r="AH20" i="31"/>
  <c r="AH36" i="31" s="1"/>
  <c r="AH20" i="27"/>
  <c r="AH22" i="31"/>
  <c r="AI17" i="31"/>
  <c r="AI18" i="31" s="1"/>
  <c r="AG44" i="27"/>
  <c r="AG41" i="27" s="1"/>
  <c r="AG89" i="27" s="1"/>
  <c r="AG37" i="31"/>
  <c r="AG38" i="31" s="1"/>
  <c r="AG28" i="27"/>
  <c r="AG26" i="27" s="1"/>
  <c r="AG29" i="31"/>
  <c r="AG30" i="31"/>
  <c r="AF32" i="31"/>
  <c r="AF33" i="31"/>
  <c r="AF34" i="31"/>
  <c r="AF31" i="31"/>
  <c r="AF32" i="27"/>
  <c r="AF81" i="27"/>
  <c r="V65" i="30"/>
  <c r="V58" i="30" s="1"/>
  <c r="T98" i="30"/>
  <c r="T97" i="30" s="1"/>
  <c r="T104" i="30" s="1"/>
  <c r="T106" i="30" s="1"/>
  <c r="U60" i="30"/>
  <c r="U53" i="30" s="1"/>
  <c r="AF110" i="30"/>
  <c r="AE110" i="31"/>
  <c r="AH105" i="30"/>
  <c r="AH99" i="30"/>
  <c r="AV15" i="27"/>
  <c r="AV11" i="32"/>
  <c r="AW16" i="29"/>
  <c r="AI62" i="32"/>
  <c r="K11" i="25"/>
  <c r="O41" i="14"/>
  <c r="O44" i="14"/>
  <c r="O47" i="14" s="1"/>
  <c r="P23" i="14"/>
  <c r="P24" i="14" s="1"/>
  <c r="P25" i="14" s="1"/>
  <c r="P35" i="14"/>
  <c r="P50" i="14"/>
  <c r="P52" i="14" s="1"/>
  <c r="AD46" i="27"/>
  <c r="AD92" i="32"/>
  <c r="AF68" i="32"/>
  <c r="AH62" i="32"/>
  <c r="AI31" i="32"/>
  <c r="AI74" i="32" s="1"/>
  <c r="AI32" i="32"/>
  <c r="AI75" i="32"/>
  <c r="AI71" i="32"/>
  <c r="AI29" i="32"/>
  <c r="AI28" i="32"/>
  <c r="AI27" i="32"/>
  <c r="AI25" i="32"/>
  <c r="AI24" i="32"/>
  <c r="AJ19" i="32"/>
  <c r="AJ20" i="32" s="1"/>
  <c r="AJ33" i="32"/>
  <c r="AJ30" i="32"/>
  <c r="AJ26" i="32"/>
  <c r="AJ23" i="32"/>
  <c r="AK22" i="32"/>
  <c r="AK18" i="32"/>
  <c r="AK65" i="32" s="1"/>
  <c r="AM12" i="32"/>
  <c r="AM13" i="32" s="1"/>
  <c r="AL15" i="32"/>
  <c r="AC92" i="32"/>
  <c r="AB93" i="32"/>
  <c r="AC46" i="27"/>
  <c r="AB75" i="27"/>
  <c r="AB67" i="27"/>
  <c r="AB58" i="27"/>
  <c r="AE75" i="27"/>
  <c r="AE67" i="27"/>
  <c r="AE58" i="27"/>
  <c r="AA95" i="32"/>
  <c r="AG79" i="32"/>
  <c r="AA65" i="31"/>
  <c r="AA58" i="31" s="1"/>
  <c r="AA50" i="31" s="1"/>
  <c r="AH34" i="32"/>
  <c r="AH73" i="32"/>
  <c r="Z49" i="31"/>
  <c r="Z70" i="33"/>
  <c r="Z48" i="31"/>
  <c r="Z69" i="33"/>
  <c r="Z49" i="30"/>
  <c r="Z61" i="33"/>
  <c r="Z48" i="30"/>
  <c r="Z60" i="33"/>
  <c r="I35" i="5"/>
  <c r="I39" i="5" s="1"/>
  <c r="I33" i="5"/>
  <c r="I21" i="5"/>
  <c r="I23" i="5" s="1"/>
  <c r="D35" i="5"/>
  <c r="AH46" i="29" l="1"/>
  <c r="AH83" i="29"/>
  <c r="AF110" i="31"/>
  <c r="G38" i="25"/>
  <c r="M94" i="27"/>
  <c r="M95" i="27" s="1"/>
  <c r="M82" i="27"/>
  <c r="AE76" i="27"/>
  <c r="AE68" i="27"/>
  <c r="AE59" i="27"/>
  <c r="AE57" i="27" s="1"/>
  <c r="AI76" i="29"/>
  <c r="AI44" i="29"/>
  <c r="AN17" i="29"/>
  <c r="AN18" i="29" s="1"/>
  <c r="AM17" i="27"/>
  <c r="AN16" i="27" s="1"/>
  <c r="AM22" i="29"/>
  <c r="AM20" i="29"/>
  <c r="AG85" i="29"/>
  <c r="AG57" i="29"/>
  <c r="AD72" i="29"/>
  <c r="AD110" i="29"/>
  <c r="AE71" i="29"/>
  <c r="AJ77" i="29"/>
  <c r="AJ37" i="29"/>
  <c r="AL25" i="27"/>
  <c r="AL87" i="27" s="1"/>
  <c r="AL50" i="29"/>
  <c r="AL24" i="29"/>
  <c r="AL26" i="29"/>
  <c r="AL34" i="27" s="1"/>
  <c r="AK89" i="29"/>
  <c r="AK47" i="29"/>
  <c r="AK86" i="29" s="1"/>
  <c r="AK34" i="27"/>
  <c r="AK39" i="29"/>
  <c r="AK78" i="29" s="1"/>
  <c r="AK38" i="29"/>
  <c r="AK45" i="29"/>
  <c r="AK84" i="29" s="1"/>
  <c r="AK27" i="29"/>
  <c r="AK38" i="27" s="1"/>
  <c r="AK25" i="29"/>
  <c r="AK42" i="27"/>
  <c r="AF47" i="27"/>
  <c r="AF70" i="29"/>
  <c r="AF96" i="29"/>
  <c r="AH85" i="29"/>
  <c r="AH57" i="29"/>
  <c r="P74" i="33"/>
  <c r="BU74" i="33"/>
  <c r="H197" i="23" s="1"/>
  <c r="H68" i="34" s="1"/>
  <c r="S68" i="34" s="1"/>
  <c r="P35" i="27"/>
  <c r="O33" i="27"/>
  <c r="P33" i="27" s="1"/>
  <c r="P107" i="30"/>
  <c r="O111" i="30"/>
  <c r="P112" i="30"/>
  <c r="Q61" i="30"/>
  <c r="Q59" i="30" s="1"/>
  <c r="Q55" i="30"/>
  <c r="AI66" i="32"/>
  <c r="AI68" i="32" s="1"/>
  <c r="AI52" i="27"/>
  <c r="AO116" i="28"/>
  <c r="BY116" i="28" s="1"/>
  <c r="AO60" i="28"/>
  <c r="AP60" i="28" s="1"/>
  <c r="AP116" i="28"/>
  <c r="AT59" i="28"/>
  <c r="AS116" i="28"/>
  <c r="AS60" i="28"/>
  <c r="AN117" i="28"/>
  <c r="AN61" i="28"/>
  <c r="AG110" i="30"/>
  <c r="T98" i="31"/>
  <c r="T97" i="31" s="1"/>
  <c r="U60" i="31"/>
  <c r="T108" i="31"/>
  <c r="S51" i="27"/>
  <c r="S104" i="31"/>
  <c r="S106" i="31" s="1"/>
  <c r="N131" i="31"/>
  <c r="N45" i="27"/>
  <c r="N78" i="27"/>
  <c r="Q52" i="31"/>
  <c r="Q109" i="31"/>
  <c r="Q107" i="31" s="1"/>
  <c r="Q113" i="31"/>
  <c r="Q72" i="33"/>
  <c r="Q67" i="33"/>
  <c r="Q46" i="31"/>
  <c r="Q51" i="31" s="1"/>
  <c r="R62" i="31"/>
  <c r="P111" i="31"/>
  <c r="BU54" i="27"/>
  <c r="H60" i="34" s="1"/>
  <c r="P54" i="27"/>
  <c r="O130" i="31"/>
  <c r="O49" i="27"/>
  <c r="P49" i="27" s="1"/>
  <c r="O88" i="27"/>
  <c r="O90" i="27"/>
  <c r="P37" i="27"/>
  <c r="M133" i="31"/>
  <c r="AG30" i="27"/>
  <c r="AG64" i="27"/>
  <c r="AJ20" i="30"/>
  <c r="AJ36" i="30" s="1"/>
  <c r="AJ22" i="30"/>
  <c r="AK17" i="30"/>
  <c r="AK18" i="30" s="1"/>
  <c r="AJ19" i="27"/>
  <c r="AI23" i="27"/>
  <c r="AI29" i="30"/>
  <c r="AI27" i="27"/>
  <c r="AI30" i="30"/>
  <c r="AI37" i="30"/>
  <c r="AI38" i="30" s="1"/>
  <c r="AI43" i="27"/>
  <c r="AH31" i="27"/>
  <c r="AH73" i="27"/>
  <c r="AH31" i="30"/>
  <c r="AH33" i="30"/>
  <c r="AH34" i="30"/>
  <c r="AH32" i="30"/>
  <c r="AH37" i="31"/>
  <c r="AH38" i="31" s="1"/>
  <c r="AH44" i="27"/>
  <c r="AH41" i="27" s="1"/>
  <c r="AH89" i="27" s="1"/>
  <c r="AH29" i="31"/>
  <c r="AH30" i="31"/>
  <c r="AH28" i="27"/>
  <c r="AI20" i="31"/>
  <c r="AI36" i="31" s="1"/>
  <c r="AI22" i="31"/>
  <c r="AI20" i="27"/>
  <c r="AJ17" i="31"/>
  <c r="AJ18" i="31" s="1"/>
  <c r="AG32" i="27"/>
  <c r="AG81" i="27"/>
  <c r="AG31" i="31"/>
  <c r="AG32" i="31"/>
  <c r="AG33" i="31"/>
  <c r="AG34" i="31"/>
  <c r="U45" i="30"/>
  <c r="U108" i="30"/>
  <c r="AI99" i="30"/>
  <c r="AI105" i="30"/>
  <c r="AH105" i="31"/>
  <c r="AH53" i="27" s="1"/>
  <c r="AH99" i="31"/>
  <c r="AH24" i="27"/>
  <c r="AH18" i="27"/>
  <c r="AH22" i="27" s="1"/>
  <c r="V62" i="33"/>
  <c r="V50" i="30"/>
  <c r="W65" i="30" s="1"/>
  <c r="W58" i="30" s="1"/>
  <c r="AW15" i="27"/>
  <c r="AW11" i="32"/>
  <c r="AX16" i="29"/>
  <c r="O53" i="14"/>
  <c r="O56" i="14"/>
  <c r="AI73" i="32"/>
  <c r="AC93" i="32"/>
  <c r="AB94" i="32"/>
  <c r="P43" i="14"/>
  <c r="P26" i="14"/>
  <c r="P38" i="14"/>
  <c r="P39" i="14"/>
  <c r="P36" i="14"/>
  <c r="P42" i="14"/>
  <c r="AD75" i="27"/>
  <c r="AD67" i="27"/>
  <c r="AD58" i="27"/>
  <c r="AD93" i="32"/>
  <c r="AD94" i="32" s="1"/>
  <c r="AF79" i="32"/>
  <c r="AH66" i="32"/>
  <c r="AH52" i="27"/>
  <c r="AI69" i="32"/>
  <c r="AI34" i="32"/>
  <c r="AJ64" i="32"/>
  <c r="AJ31" i="32"/>
  <c r="AJ74" i="32" s="1"/>
  <c r="AJ32" i="32"/>
  <c r="AJ75" i="32"/>
  <c r="AJ71" i="32"/>
  <c r="AJ69" i="32" s="1"/>
  <c r="AJ29" i="32"/>
  <c r="AJ28" i="32"/>
  <c r="AJ27" i="32"/>
  <c r="AJ25" i="32"/>
  <c r="AJ24" i="32"/>
  <c r="AK33" i="32"/>
  <c r="AK30" i="32"/>
  <c r="AK26" i="32"/>
  <c r="AK23" i="32"/>
  <c r="AK19" i="32"/>
  <c r="AK20" i="32" s="1"/>
  <c r="AK64" i="32" s="1"/>
  <c r="AK62" i="32" s="1"/>
  <c r="AL18" i="32"/>
  <c r="AL65" i="32" s="1"/>
  <c r="AL22" i="32"/>
  <c r="AN12" i="32"/>
  <c r="AM15" i="32"/>
  <c r="AN13" i="32"/>
  <c r="AC75" i="27"/>
  <c r="AC67" i="27"/>
  <c r="AC58" i="27"/>
  <c r="AB57" i="27"/>
  <c r="AG46" i="27"/>
  <c r="AG92" i="32"/>
  <c r="AB65" i="31"/>
  <c r="AA71" i="33"/>
  <c r="AA64" i="31"/>
  <c r="AA57" i="31" s="1"/>
  <c r="AA49" i="31" s="1"/>
  <c r="AA63" i="31"/>
  <c r="AA56" i="31" s="1"/>
  <c r="AA48" i="31" s="1"/>
  <c r="AA64" i="30"/>
  <c r="AA57" i="30" s="1"/>
  <c r="AA49" i="30" s="1"/>
  <c r="AA63" i="30"/>
  <c r="AA56" i="30"/>
  <c r="AA48" i="30" s="1"/>
  <c r="G66" i="10"/>
  <c r="H66" i="10" s="1"/>
  <c r="H67" i="10" s="1"/>
  <c r="I63" i="10"/>
  <c r="N63" i="10"/>
  <c r="K63" i="10"/>
  <c r="P63" i="10"/>
  <c r="L63" i="10"/>
  <c r="H63" i="10"/>
  <c r="J63" i="10"/>
  <c r="O63" i="10"/>
  <c r="M63" i="10"/>
  <c r="BX52" i="27" l="1"/>
  <c r="K50" i="34" s="1"/>
  <c r="AO17" i="29"/>
  <c r="AP17" i="29" s="1"/>
  <c r="AN22" i="29"/>
  <c r="AN20" i="29"/>
  <c r="AN17" i="27"/>
  <c r="AO16" i="27" s="1"/>
  <c r="AO18" i="29"/>
  <c r="AI83" i="29"/>
  <c r="AI46" i="29"/>
  <c r="AM25" i="27"/>
  <c r="AM87" i="27" s="1"/>
  <c r="AM50" i="29"/>
  <c r="AM26" i="29"/>
  <c r="AM24" i="29"/>
  <c r="AM45" i="29" s="1"/>
  <c r="AM84" i="29" s="1"/>
  <c r="AL45" i="29"/>
  <c r="AL84" i="29" s="1"/>
  <c r="AL42" i="27"/>
  <c r="AL27" i="29"/>
  <c r="AL38" i="27" s="1"/>
  <c r="AL25" i="29"/>
  <c r="AG70" i="29"/>
  <c r="AG96" i="29"/>
  <c r="AG47" i="27"/>
  <c r="AD73" i="29"/>
  <c r="AD111" i="29"/>
  <c r="AE110" i="29"/>
  <c r="AE72" i="29"/>
  <c r="AJ76" i="29"/>
  <c r="AJ44" i="29"/>
  <c r="AL89" i="29"/>
  <c r="AL47" i="29"/>
  <c r="AL86" i="29" s="1"/>
  <c r="AL39" i="29"/>
  <c r="AL78" i="29" s="1"/>
  <c r="AL38" i="29"/>
  <c r="AK77" i="29"/>
  <c r="AK37" i="29"/>
  <c r="AF59" i="27"/>
  <c r="AF68" i="27"/>
  <c r="AF76" i="27"/>
  <c r="AF109" i="29"/>
  <c r="AF71" i="29"/>
  <c r="AH70" i="29"/>
  <c r="AH109" i="29" s="1"/>
  <c r="AH47" i="27"/>
  <c r="AH96" i="29"/>
  <c r="Q39" i="27"/>
  <c r="Q37" i="27" s="1"/>
  <c r="Q66" i="30"/>
  <c r="Q59" i="33"/>
  <c r="Q54" i="30"/>
  <c r="Q47" i="30"/>
  <c r="P111" i="30"/>
  <c r="O55" i="27"/>
  <c r="P55" i="27" s="1"/>
  <c r="O117" i="30"/>
  <c r="AU59" i="28"/>
  <c r="AV59" i="28" s="1"/>
  <c r="AT60" i="28"/>
  <c r="AT116" i="28"/>
  <c r="AS117" i="28"/>
  <c r="AS61" i="28"/>
  <c r="AP61" i="28"/>
  <c r="AP117" i="28"/>
  <c r="AP62" i="28"/>
  <c r="G127" i="26"/>
  <c r="AJ105" i="30"/>
  <c r="AJ99" i="30"/>
  <c r="O57" i="14"/>
  <c r="O58" i="14" s="1"/>
  <c r="O55" i="14"/>
  <c r="O54" i="14"/>
  <c r="AO61" i="28"/>
  <c r="BY61" i="28" s="1"/>
  <c r="L55" i="20" s="1"/>
  <c r="U55" i="20" s="1"/>
  <c r="AO117" i="28"/>
  <c r="BY117" i="28" s="1"/>
  <c r="AH26" i="27"/>
  <c r="AI99" i="31"/>
  <c r="AI105" i="31"/>
  <c r="AI53" i="27" s="1"/>
  <c r="BX53" i="27" s="1"/>
  <c r="K57" i="34" s="1"/>
  <c r="AI24" i="27"/>
  <c r="AI18" i="27"/>
  <c r="AI22" i="27" s="1"/>
  <c r="U53" i="31"/>
  <c r="N132" i="31"/>
  <c r="N74" i="27"/>
  <c r="Q36" i="27"/>
  <c r="Q112" i="31"/>
  <c r="Q111" i="31" s="1"/>
  <c r="S60" i="34"/>
  <c r="H59" i="34"/>
  <c r="O78" i="27"/>
  <c r="BU88" i="27"/>
  <c r="P88" i="27"/>
  <c r="O83" i="27"/>
  <c r="BU90" i="27"/>
  <c r="P90" i="27"/>
  <c r="AK20" i="30"/>
  <c r="AK36" i="30" s="1"/>
  <c r="AL17" i="30"/>
  <c r="AL18" i="30" s="1"/>
  <c r="AK22" i="30"/>
  <c r="AK19" i="27"/>
  <c r="AJ37" i="30"/>
  <c r="AJ38" i="30" s="1"/>
  <c r="AJ43" i="27"/>
  <c r="AJ27" i="27"/>
  <c r="AJ30" i="30"/>
  <c r="AJ29" i="30"/>
  <c r="AJ23" i="27"/>
  <c r="AI31" i="27"/>
  <c r="AI73" i="27"/>
  <c r="BX73" i="27" s="1"/>
  <c r="AI33" i="30"/>
  <c r="AI32" i="30"/>
  <c r="AI34" i="30"/>
  <c r="AI31" i="30"/>
  <c r="AI110" i="30" s="1"/>
  <c r="BX43" i="27"/>
  <c r="K45" i="25" s="1"/>
  <c r="K12" i="25" s="1"/>
  <c r="AH33" i="31"/>
  <c r="AH31" i="31"/>
  <c r="AH34" i="31"/>
  <c r="AH32" i="31"/>
  <c r="AH32" i="27"/>
  <c r="AH81" i="27"/>
  <c r="AJ20" i="31"/>
  <c r="AJ36" i="31" s="1"/>
  <c r="AJ20" i="27"/>
  <c r="AK17" i="31"/>
  <c r="AK18" i="31" s="1"/>
  <c r="AJ22" i="31"/>
  <c r="AI44" i="27"/>
  <c r="AI37" i="31"/>
  <c r="AI38" i="31" s="1"/>
  <c r="AI28" i="27"/>
  <c r="AI26" i="27" s="1"/>
  <c r="AI29" i="31"/>
  <c r="AI30" i="31"/>
  <c r="V60" i="30"/>
  <c r="V53" i="30" s="1"/>
  <c r="U98" i="30"/>
  <c r="U97" i="30" s="1"/>
  <c r="W50" i="30"/>
  <c r="W62" i="33"/>
  <c r="AH110" i="30"/>
  <c r="AG110" i="31"/>
  <c r="T51" i="27"/>
  <c r="T104" i="31"/>
  <c r="T106" i="31" s="1"/>
  <c r="R61" i="31"/>
  <c r="R59" i="31" s="1"/>
  <c r="R55" i="31"/>
  <c r="O131" i="31"/>
  <c r="P130" i="31"/>
  <c r="AX11" i="32"/>
  <c r="AX15" i="27"/>
  <c r="AY16" i="29"/>
  <c r="AC94" i="32"/>
  <c r="AC95" i="32" s="1"/>
  <c r="AB95" i="32"/>
  <c r="BW95" i="32" s="1"/>
  <c r="J36" i="20" s="1"/>
  <c r="P40" i="14"/>
  <c r="AD57" i="27"/>
  <c r="AD95" i="32"/>
  <c r="AE93" i="32"/>
  <c r="AF92" i="32"/>
  <c r="AF46" i="27"/>
  <c r="AH68" i="32"/>
  <c r="AI79" i="32"/>
  <c r="AJ62" i="32"/>
  <c r="AK66" i="32"/>
  <c r="AK68" i="32" s="1"/>
  <c r="AK52" i="27"/>
  <c r="AJ73" i="32"/>
  <c r="AK31" i="32"/>
  <c r="AK74" i="32" s="1"/>
  <c r="AK32" i="32"/>
  <c r="AK75" i="32"/>
  <c r="AK71" i="32"/>
  <c r="AK29" i="32"/>
  <c r="AK28" i="32"/>
  <c r="AK27" i="32"/>
  <c r="AK25" i="32"/>
  <c r="AK24" i="32"/>
  <c r="AL19" i="32"/>
  <c r="AL20" i="32" s="1"/>
  <c r="AL33" i="32"/>
  <c r="AL26" i="32"/>
  <c r="AL30" i="32"/>
  <c r="AL23" i="32"/>
  <c r="AM22" i="32"/>
  <c r="AM18" i="32"/>
  <c r="AM65" i="32" s="1"/>
  <c r="AO12" i="32"/>
  <c r="AN15" i="32"/>
  <c r="AC57" i="27"/>
  <c r="AG75" i="27"/>
  <c r="AG67" i="27"/>
  <c r="AG58" i="27"/>
  <c r="AB64" i="31"/>
  <c r="AA70" i="33"/>
  <c r="AB63" i="31"/>
  <c r="AA69" i="33"/>
  <c r="AB64" i="30"/>
  <c r="AA61" i="33"/>
  <c r="AB63" i="30"/>
  <c r="AA60" i="33"/>
  <c r="AJ34" i="32"/>
  <c r="AC65" i="31"/>
  <c r="AB58" i="31"/>
  <c r="BU55" i="27" l="1"/>
  <c r="H72" i="34" s="1"/>
  <c r="AJ105" i="31"/>
  <c r="AJ99" i="31"/>
  <c r="AN50" i="29"/>
  <c r="AN25" i="27"/>
  <c r="AN87" i="27" s="1"/>
  <c r="AN24" i="29"/>
  <c r="AN26" i="29"/>
  <c r="AO22" i="29"/>
  <c r="AP18" i="29"/>
  <c r="AO17" i="27"/>
  <c r="AO20" i="29"/>
  <c r="AN45" i="29"/>
  <c r="AN84" i="29" s="1"/>
  <c r="AI85" i="29"/>
  <c r="AI57" i="29"/>
  <c r="AM89" i="29"/>
  <c r="AM47" i="29"/>
  <c r="AM86" i="29" s="1"/>
  <c r="AM39" i="29"/>
  <c r="AM78" i="29" s="1"/>
  <c r="AM38" i="29"/>
  <c r="AM34" i="27"/>
  <c r="AM42" i="27"/>
  <c r="AM27" i="29"/>
  <c r="AM38" i="27" s="1"/>
  <c r="AM25" i="29"/>
  <c r="AG59" i="27"/>
  <c r="AG57" i="27" s="1"/>
  <c r="AG76" i="27"/>
  <c r="AG68" i="27"/>
  <c r="AJ83" i="29"/>
  <c r="AJ46" i="29"/>
  <c r="AG109" i="29"/>
  <c r="AG71" i="29"/>
  <c r="AE111" i="29"/>
  <c r="AE73" i="29"/>
  <c r="AL77" i="29"/>
  <c r="AL37" i="29"/>
  <c r="AK76" i="29"/>
  <c r="AK44" i="29"/>
  <c r="AF72" i="29"/>
  <c r="AF110" i="29"/>
  <c r="AH68" i="27"/>
  <c r="AH76" i="27"/>
  <c r="Q90" i="27"/>
  <c r="Q88" i="27"/>
  <c r="Q83" i="27" s="1"/>
  <c r="Q58" i="33"/>
  <c r="Q63" i="33"/>
  <c r="Q74" i="33" s="1"/>
  <c r="Q113" i="30"/>
  <c r="Q52" i="30"/>
  <c r="Q109" i="30"/>
  <c r="Q107" i="30" s="1"/>
  <c r="Q54" i="27" s="1"/>
  <c r="R62" i="30"/>
  <c r="R61" i="30" s="1"/>
  <c r="R59" i="30" s="1"/>
  <c r="Q46" i="30"/>
  <c r="Q51" i="30" s="1"/>
  <c r="O130" i="30"/>
  <c r="P117" i="30"/>
  <c r="O48" i="27"/>
  <c r="AU116" i="28"/>
  <c r="AU60" i="28"/>
  <c r="AJ53" i="27"/>
  <c r="AT61" i="28"/>
  <c r="AT117" i="28"/>
  <c r="AV116" i="28"/>
  <c r="AV60" i="28"/>
  <c r="AV61" i="28" s="1"/>
  <c r="AW59" i="28"/>
  <c r="AH59" i="27"/>
  <c r="AH30" i="27"/>
  <c r="AH64" i="27"/>
  <c r="AK105" i="30"/>
  <c r="AK99" i="30"/>
  <c r="O132" i="31"/>
  <c r="O133" i="31" s="1"/>
  <c r="P131" i="31"/>
  <c r="BX44" i="27"/>
  <c r="K46" i="25" s="1"/>
  <c r="K13" i="25" s="1"/>
  <c r="K10" i="25" s="1"/>
  <c r="AI41" i="27"/>
  <c r="AI89" i="27" s="1"/>
  <c r="BX89" i="27" s="1"/>
  <c r="U108" i="31"/>
  <c r="U45" i="31"/>
  <c r="P132" i="31"/>
  <c r="P133" i="31" s="1"/>
  <c r="N133" i="31"/>
  <c r="BU133" i="31" s="1"/>
  <c r="H45" i="20" s="1"/>
  <c r="S72" i="34"/>
  <c r="H71" i="34"/>
  <c r="H83" i="34" s="1"/>
  <c r="S59" i="34"/>
  <c r="H18" i="34"/>
  <c r="S18" i="34" s="1"/>
  <c r="C34" i="36" s="1"/>
  <c r="BU83" i="27"/>
  <c r="P83" i="27"/>
  <c r="E126" i="26" s="1"/>
  <c r="AK37" i="30"/>
  <c r="AK38" i="30" s="1"/>
  <c r="AK43" i="27"/>
  <c r="AL22" i="30"/>
  <c r="AM17" i="30"/>
  <c r="AM18" i="30" s="1"/>
  <c r="AL19" i="27"/>
  <c r="AL20" i="30"/>
  <c r="AL36" i="30" s="1"/>
  <c r="AK29" i="30"/>
  <c r="AK30" i="30"/>
  <c r="AK27" i="27"/>
  <c r="AK23" i="27"/>
  <c r="AJ31" i="27"/>
  <c r="AJ73" i="27"/>
  <c r="AJ32" i="30"/>
  <c r="AJ33" i="30"/>
  <c r="AJ31" i="30"/>
  <c r="AJ34" i="30"/>
  <c r="AI30" i="27"/>
  <c r="AI64" i="27"/>
  <c r="AJ44" i="27"/>
  <c r="AJ41" i="27" s="1"/>
  <c r="AJ89" i="27" s="1"/>
  <c r="AJ37" i="31"/>
  <c r="AJ38" i="31" s="1"/>
  <c r="AK20" i="31"/>
  <c r="AK36" i="31" s="1"/>
  <c r="AL17" i="31"/>
  <c r="AL18" i="31" s="1"/>
  <c r="AK20" i="27"/>
  <c r="AK22" i="31"/>
  <c r="AJ29" i="31"/>
  <c r="AJ30" i="31"/>
  <c r="AJ28" i="27"/>
  <c r="AI32" i="27"/>
  <c r="AI81" i="27"/>
  <c r="BX81" i="27" s="1"/>
  <c r="AI31" i="31"/>
  <c r="AI34" i="31"/>
  <c r="AI32" i="31"/>
  <c r="AI33" i="31"/>
  <c r="U104" i="30"/>
  <c r="U106" i="30" s="1"/>
  <c r="X65" i="30"/>
  <c r="X58" i="30" s="1"/>
  <c r="R40" i="27"/>
  <c r="R54" i="31"/>
  <c r="R68" i="33"/>
  <c r="R47" i="31"/>
  <c r="AH110" i="31"/>
  <c r="N94" i="27"/>
  <c r="N82" i="27"/>
  <c r="Q117" i="31"/>
  <c r="O74" i="27"/>
  <c r="P74" i="27" s="1"/>
  <c r="P79" i="27" s="1"/>
  <c r="P78" i="27"/>
  <c r="AJ24" i="27"/>
  <c r="AJ18" i="27"/>
  <c r="AJ22" i="27" s="1"/>
  <c r="V108" i="30"/>
  <c r="V45" i="30"/>
  <c r="AY15" i="27"/>
  <c r="AY11" i="32"/>
  <c r="AZ16" i="29"/>
  <c r="AP12" i="32"/>
  <c r="AO13" i="32"/>
  <c r="P44" i="14"/>
  <c r="P47" i="14" s="1"/>
  <c r="P41" i="14"/>
  <c r="AC63" i="30"/>
  <c r="AB56" i="30"/>
  <c r="AF93" i="32"/>
  <c r="AF75" i="27"/>
  <c r="AF67" i="27"/>
  <c r="AF58" i="27"/>
  <c r="AH79" i="32"/>
  <c r="AI46" i="27"/>
  <c r="AI92" i="32"/>
  <c r="AJ52" i="27"/>
  <c r="AJ66" i="32"/>
  <c r="AK69" i="32"/>
  <c r="AK34" i="32"/>
  <c r="AL64" i="32"/>
  <c r="AL75" i="32"/>
  <c r="AL71" i="32"/>
  <c r="AL29" i="32"/>
  <c r="AL28" i="32"/>
  <c r="AL27" i="32"/>
  <c r="AL32" i="32"/>
  <c r="AL31" i="32"/>
  <c r="AL74" i="32" s="1"/>
  <c r="AL25" i="32"/>
  <c r="AL24" i="32"/>
  <c r="AM30" i="32"/>
  <c r="AM26" i="32"/>
  <c r="AM23" i="32"/>
  <c r="AM33" i="32"/>
  <c r="AM19" i="32"/>
  <c r="AM20" i="32" s="1"/>
  <c r="AM64" i="32" s="1"/>
  <c r="AM62" i="32" s="1"/>
  <c r="AN22" i="32"/>
  <c r="AN18" i="32"/>
  <c r="AN65" i="32" s="1"/>
  <c r="F123" i="26"/>
  <c r="AC62" i="27"/>
  <c r="AC58" i="31"/>
  <c r="AB50" i="31"/>
  <c r="AC50" i="31" s="1"/>
  <c r="AB71" i="33"/>
  <c r="AC71" i="33" s="1"/>
  <c r="AE94" i="32"/>
  <c r="AK73" i="32"/>
  <c r="AC64" i="31"/>
  <c r="AB57" i="31"/>
  <c r="AC63" i="31"/>
  <c r="AB56" i="31"/>
  <c r="AC64" i="30"/>
  <c r="AB57" i="30"/>
  <c r="AW60" i="28" l="1"/>
  <c r="AX59" i="28"/>
  <c r="AW116" i="28"/>
  <c r="BZ116" i="28"/>
  <c r="AV117" i="28"/>
  <c r="R55" i="30"/>
  <c r="R47" i="30" s="1"/>
  <c r="AN89" i="29"/>
  <c r="AN47" i="29"/>
  <c r="AN86" i="29" s="1"/>
  <c r="AN34" i="27"/>
  <c r="AN39" i="29"/>
  <c r="AN78" i="29" s="1"/>
  <c r="AN38" i="29"/>
  <c r="AN42" i="27"/>
  <c r="AN27" i="29"/>
  <c r="AN38" i="27" s="1"/>
  <c r="AN25" i="29"/>
  <c r="AO25" i="27"/>
  <c r="AP22" i="29"/>
  <c r="AO50" i="29"/>
  <c r="AQ17" i="29"/>
  <c r="G43" i="26"/>
  <c r="AQ18" i="29"/>
  <c r="AP16" i="27"/>
  <c r="AP17" i="27"/>
  <c r="AQ16" i="27" s="1"/>
  <c r="AO26" i="29"/>
  <c r="AO24" i="29"/>
  <c r="AP20" i="29"/>
  <c r="AP24" i="29" s="1"/>
  <c r="AI96" i="29"/>
  <c r="AI47" i="27"/>
  <c r="AI70" i="29"/>
  <c r="AM37" i="29"/>
  <c r="AM77" i="29"/>
  <c r="AH71" i="29"/>
  <c r="AG110" i="29"/>
  <c r="AG72" i="29"/>
  <c r="AL76" i="29"/>
  <c r="AL44" i="29"/>
  <c r="AJ85" i="29"/>
  <c r="AJ57" i="29"/>
  <c r="AK83" i="29"/>
  <c r="AK46" i="29"/>
  <c r="AF111" i="29"/>
  <c r="AF73" i="29"/>
  <c r="Q35" i="27"/>
  <c r="Q33" i="27" s="1"/>
  <c r="Q112" i="30"/>
  <c r="Q111" i="30" s="1"/>
  <c r="R39" i="27"/>
  <c r="R37" i="27" s="1"/>
  <c r="R66" i="30"/>
  <c r="R59" i="33"/>
  <c r="R54" i="30"/>
  <c r="R46" i="30"/>
  <c r="R51" i="30" s="1"/>
  <c r="S62" i="30"/>
  <c r="O131" i="30"/>
  <c r="P130" i="30"/>
  <c r="O45" i="27"/>
  <c r="O69" i="27"/>
  <c r="P48" i="27"/>
  <c r="AU61" i="28"/>
  <c r="BZ61" i="28" s="1"/>
  <c r="M55" i="20" s="1"/>
  <c r="AU117" i="28"/>
  <c r="BZ117" i="28" s="1"/>
  <c r="BX64" i="27"/>
  <c r="K61" i="34" s="1"/>
  <c r="AJ110" i="30"/>
  <c r="V60" i="31"/>
  <c r="V53" i="31" s="1"/>
  <c r="V45" i="31" s="1"/>
  <c r="U98" i="31"/>
  <c r="U97" i="31" s="1"/>
  <c r="S71" i="34"/>
  <c r="H19" i="34"/>
  <c r="S19" i="34" s="1"/>
  <c r="C35" i="36" s="1"/>
  <c r="H22" i="34"/>
  <c r="S83" i="34"/>
  <c r="H85" i="34"/>
  <c r="AM20" i="30"/>
  <c r="AM36" i="30" s="1"/>
  <c r="AN17" i="30"/>
  <c r="AN18" i="30" s="1"/>
  <c r="AM22" i="30"/>
  <c r="AM19" i="27"/>
  <c r="AL29" i="30"/>
  <c r="AL30" i="30"/>
  <c r="AL27" i="27"/>
  <c r="AL23" i="27"/>
  <c r="AL37" i="30"/>
  <c r="AL38" i="30" s="1"/>
  <c r="AL43" i="27"/>
  <c r="AK31" i="30"/>
  <c r="AK32" i="30"/>
  <c r="AK33" i="30"/>
  <c r="AK34" i="30"/>
  <c r="AK31" i="27"/>
  <c r="AK73" i="27"/>
  <c r="AK37" i="31"/>
  <c r="AK38" i="31" s="1"/>
  <c r="AK44" i="27"/>
  <c r="AK41" i="27" s="1"/>
  <c r="AK89" i="27" s="1"/>
  <c r="AL20" i="31"/>
  <c r="AL36" i="31" s="1"/>
  <c r="AL22" i="31"/>
  <c r="AL20" i="27"/>
  <c r="AM17" i="31"/>
  <c r="AM18" i="31" s="1"/>
  <c r="AK29" i="31"/>
  <c r="AK30" i="31"/>
  <c r="AK28" i="27"/>
  <c r="AK26" i="27" s="1"/>
  <c r="AJ31" i="31"/>
  <c r="AJ32" i="31"/>
  <c r="AJ33" i="31"/>
  <c r="AJ34" i="31"/>
  <c r="AJ32" i="27"/>
  <c r="AJ81" i="27"/>
  <c r="AW61" i="28"/>
  <c r="AW117" i="28"/>
  <c r="AX60" i="28"/>
  <c r="AX116" i="28"/>
  <c r="R52" i="31"/>
  <c r="R109" i="31"/>
  <c r="R107" i="31" s="1"/>
  <c r="R113" i="31"/>
  <c r="R72" i="33"/>
  <c r="R67" i="33"/>
  <c r="S62" i="31"/>
  <c r="R46" i="31"/>
  <c r="R51" i="31" s="1"/>
  <c r="N95" i="27"/>
  <c r="Q130" i="31"/>
  <c r="Q49" i="27"/>
  <c r="V98" i="30"/>
  <c r="V97" i="30" s="1"/>
  <c r="V104" i="30" s="1"/>
  <c r="V106" i="30" s="1"/>
  <c r="W60" i="30"/>
  <c r="W53" i="30" s="1"/>
  <c r="AI110" i="31"/>
  <c r="AL105" i="30"/>
  <c r="AL99" i="30"/>
  <c r="AK105" i="31"/>
  <c r="AK53" i="27" s="1"/>
  <c r="AK99" i="31"/>
  <c r="AK24" i="27"/>
  <c r="AK18" i="27"/>
  <c r="AK22" i="27" s="1"/>
  <c r="AJ26" i="27"/>
  <c r="AY59" i="28"/>
  <c r="AZ59" i="28" s="1"/>
  <c r="X62" i="33"/>
  <c r="X50" i="30"/>
  <c r="Y65" i="30" s="1"/>
  <c r="AZ11" i="32"/>
  <c r="AZ15" i="27"/>
  <c r="BA16" i="29"/>
  <c r="AO15" i="32"/>
  <c r="AP13" i="32"/>
  <c r="AQ12" i="32" s="1"/>
  <c r="AQ13" i="32" s="1"/>
  <c r="AG93" i="32"/>
  <c r="AG94" i="32" s="1"/>
  <c r="AG95" i="32" s="1"/>
  <c r="AF94" i="32"/>
  <c r="AF95" i="32" s="1"/>
  <c r="P53" i="14"/>
  <c r="P54" i="14" s="1"/>
  <c r="P56" i="14"/>
  <c r="AB60" i="33"/>
  <c r="AC60" i="33" s="1"/>
  <c r="AB48" i="30"/>
  <c r="AC48" i="30" s="1"/>
  <c r="AC56" i="30"/>
  <c r="AF57" i="27"/>
  <c r="AH92" i="32"/>
  <c r="AH46" i="27"/>
  <c r="AI75" i="27"/>
  <c r="AI67" i="27"/>
  <c r="AI58" i="27"/>
  <c r="AJ68" i="32"/>
  <c r="AK79" i="32"/>
  <c r="AL62" i="32"/>
  <c r="AM66" i="32"/>
  <c r="AM68" i="32" s="1"/>
  <c r="AM52" i="27"/>
  <c r="AM32" i="32"/>
  <c r="AM31" i="32"/>
  <c r="AM74" i="32" s="1"/>
  <c r="AM75" i="32"/>
  <c r="AM71" i="32"/>
  <c r="AM29" i="32"/>
  <c r="AM28" i="32"/>
  <c r="AM27" i="32"/>
  <c r="AM25" i="32"/>
  <c r="AM24" i="32"/>
  <c r="AN30" i="32"/>
  <c r="AN23" i="32"/>
  <c r="AN33" i="32"/>
  <c r="AN26" i="32"/>
  <c r="AN19" i="32"/>
  <c r="AN20" i="32" s="1"/>
  <c r="AD65" i="31"/>
  <c r="AD58" i="31" s="1"/>
  <c r="AD50" i="31" s="1"/>
  <c r="AE95" i="32"/>
  <c r="AC57" i="31"/>
  <c r="AB49" i="31"/>
  <c r="AC49" i="31" s="1"/>
  <c r="AB70" i="33"/>
  <c r="AC70" i="33" s="1"/>
  <c r="AB48" i="31"/>
  <c r="AC48" i="31" s="1"/>
  <c r="AC56" i="31"/>
  <c r="AB69" i="33"/>
  <c r="AC69" i="33" s="1"/>
  <c r="AC57" i="30"/>
  <c r="AB49" i="30"/>
  <c r="AC49" i="30" s="1"/>
  <c r="AB61" i="33"/>
  <c r="AC61" i="33" s="1"/>
  <c r="AL69" i="32"/>
  <c r="AL73" i="32"/>
  <c r="AL34" i="32"/>
  <c r="AP25" i="29" l="1"/>
  <c r="AN77" i="29"/>
  <c r="AN37" i="29"/>
  <c r="G131" i="26"/>
  <c r="G130" i="26" s="1"/>
  <c r="AO87" i="27"/>
  <c r="G48" i="26"/>
  <c r="G119" i="26" s="1"/>
  <c r="AP25" i="27"/>
  <c r="AO89" i="29"/>
  <c r="AP89" i="29" s="1"/>
  <c r="AO47" i="29"/>
  <c r="AP50" i="29"/>
  <c r="G117" i="26"/>
  <c r="G46" i="26"/>
  <c r="G50" i="26" s="1"/>
  <c r="G51" i="26" s="1"/>
  <c r="AQ22" i="29"/>
  <c r="AQ17" i="27"/>
  <c r="AR16" i="27" s="1"/>
  <c r="AR17" i="29"/>
  <c r="AR18" i="29" s="1"/>
  <c r="AQ20" i="29"/>
  <c r="AO34" i="27"/>
  <c r="AP34" i="27" s="1"/>
  <c r="AP26" i="29"/>
  <c r="G53" i="26" s="1"/>
  <c r="AO39" i="29"/>
  <c r="AO38" i="29"/>
  <c r="AO45" i="29"/>
  <c r="AO42" i="27"/>
  <c r="AO27" i="29"/>
  <c r="AO25" i="29"/>
  <c r="AI59" i="27"/>
  <c r="AI57" i="27" s="1"/>
  <c r="AI68" i="27"/>
  <c r="AI76" i="27"/>
  <c r="AI109" i="29"/>
  <c r="AI71" i="29"/>
  <c r="AH72" i="29"/>
  <c r="AH110" i="29"/>
  <c r="AG73" i="29"/>
  <c r="AG111" i="29"/>
  <c r="AL83" i="29"/>
  <c r="AL46" i="29"/>
  <c r="AM44" i="29"/>
  <c r="AM76" i="29"/>
  <c r="AK57" i="29"/>
  <c r="AK85" i="29"/>
  <c r="R90" i="27"/>
  <c r="R88" i="27"/>
  <c r="R83" i="27" s="1"/>
  <c r="AJ47" i="27"/>
  <c r="AJ59" i="27" s="1"/>
  <c r="AJ70" i="29"/>
  <c r="AJ96" i="29"/>
  <c r="AO22" i="32"/>
  <c r="AP15" i="32"/>
  <c r="AP14" i="32" s="1"/>
  <c r="AO18" i="32"/>
  <c r="Q55" i="27"/>
  <c r="Q117" i="30"/>
  <c r="R63" i="33"/>
  <c r="R74" i="33" s="1"/>
  <c r="R58" i="33"/>
  <c r="R109" i="30"/>
  <c r="R107" i="30" s="1"/>
  <c r="R54" i="27" s="1"/>
  <c r="R52" i="30"/>
  <c r="R113" i="30"/>
  <c r="P45" i="27"/>
  <c r="O65" i="27"/>
  <c r="P65" i="27" s="1"/>
  <c r="P69" i="27"/>
  <c r="S61" i="30"/>
  <c r="S59" i="30" s="1"/>
  <c r="S55" i="30"/>
  <c r="P131" i="30"/>
  <c r="O132" i="30"/>
  <c r="AM99" i="30"/>
  <c r="AM105" i="30"/>
  <c r="V98" i="31"/>
  <c r="V97" i="31" s="1"/>
  <c r="W60" i="31"/>
  <c r="W53" i="31" s="1"/>
  <c r="V108" i="31"/>
  <c r="U51" i="27"/>
  <c r="U104" i="31"/>
  <c r="U106" i="31" s="1"/>
  <c r="S22" i="34"/>
  <c r="H26" i="34"/>
  <c r="S85" i="34"/>
  <c r="H87" i="34"/>
  <c r="S87" i="34" s="1"/>
  <c r="AN19" i="27"/>
  <c r="AN22" i="30"/>
  <c r="AN20" i="30"/>
  <c r="AN36" i="30" s="1"/>
  <c r="AO17" i="30"/>
  <c r="AM37" i="30"/>
  <c r="AM38" i="30" s="1"/>
  <c r="AM43" i="27"/>
  <c r="AM30" i="30"/>
  <c r="AM29" i="30"/>
  <c r="AM27" i="27"/>
  <c r="AM23" i="27"/>
  <c r="AL31" i="30"/>
  <c r="AL34" i="30"/>
  <c r="AL33" i="30"/>
  <c r="AL32" i="30"/>
  <c r="AL31" i="27"/>
  <c r="AL73" i="27"/>
  <c r="AK64" i="27"/>
  <c r="AK30" i="27"/>
  <c r="AM20" i="27"/>
  <c r="AM22" i="31"/>
  <c r="AM20" i="31"/>
  <c r="AM36" i="31" s="1"/>
  <c r="AM105" i="31" s="1"/>
  <c r="AN17" i="31"/>
  <c r="AN18" i="31" s="1"/>
  <c r="AM99" i="31"/>
  <c r="AL44" i="27"/>
  <c r="AL41" i="27" s="1"/>
  <c r="AL89" i="27" s="1"/>
  <c r="AL37" i="31"/>
  <c r="AL38" i="31" s="1"/>
  <c r="AL30" i="31"/>
  <c r="AL28" i="27"/>
  <c r="AL26" i="27" s="1"/>
  <c r="AL29" i="31"/>
  <c r="AK31" i="31"/>
  <c r="AK32" i="31"/>
  <c r="AK33" i="31"/>
  <c r="AK34" i="31"/>
  <c r="AK32" i="27"/>
  <c r="AK81" i="27"/>
  <c r="AZ60" i="28"/>
  <c r="AZ116" i="28"/>
  <c r="AX61" i="28"/>
  <c r="AX117" i="28"/>
  <c r="R36" i="27"/>
  <c r="R112" i="31"/>
  <c r="R111" i="31" s="1"/>
  <c r="Q131" i="31"/>
  <c r="Q132" i="31" s="1"/>
  <c r="Q133" i="31" s="1"/>
  <c r="Q78" i="27"/>
  <c r="Q74" i="27" s="1"/>
  <c r="W45" i="30"/>
  <c r="W108" i="30"/>
  <c r="AJ64" i="27"/>
  <c r="AJ30" i="27"/>
  <c r="AY116" i="28"/>
  <c r="AY60" i="28"/>
  <c r="Y58" i="30"/>
  <c r="AK110" i="30"/>
  <c r="AJ110" i="31"/>
  <c r="AL105" i="31"/>
  <c r="AL53" i="27" s="1"/>
  <c r="AL99" i="31"/>
  <c r="AL24" i="27"/>
  <c r="AL18" i="27"/>
  <c r="AL22" i="27" s="1"/>
  <c r="S61" i="31"/>
  <c r="S59" i="31" s="1"/>
  <c r="S55" i="31"/>
  <c r="BA59" i="28"/>
  <c r="BB59" i="28" s="1"/>
  <c r="BA11" i="32"/>
  <c r="BA15" i="27"/>
  <c r="BB16" i="29"/>
  <c r="AD63" i="30"/>
  <c r="AD56" i="30" s="1"/>
  <c r="P55" i="14"/>
  <c r="P57" i="14"/>
  <c r="P58" i="14" s="1"/>
  <c r="AH93" i="32"/>
  <c r="AH75" i="27"/>
  <c r="AH67" i="27"/>
  <c r="AH58" i="27"/>
  <c r="AJ79" i="32"/>
  <c r="AK46" i="27"/>
  <c r="AK92" i="32"/>
  <c r="AL66" i="32"/>
  <c r="AL52" i="27"/>
  <c r="AN32" i="32"/>
  <c r="AN31" i="32"/>
  <c r="AN74" i="32" s="1"/>
  <c r="AN25" i="32"/>
  <c r="AN24" i="32"/>
  <c r="AN75" i="32"/>
  <c r="AN71" i="32"/>
  <c r="AN29" i="32"/>
  <c r="AN28" i="32"/>
  <c r="AN27" i="32"/>
  <c r="AN64" i="32"/>
  <c r="AR12" i="32"/>
  <c r="AR13" i="32" s="1"/>
  <c r="AQ15" i="32"/>
  <c r="AE65" i="31"/>
  <c r="AE58" i="31" s="1"/>
  <c r="AD71" i="33"/>
  <c r="AD64" i="31"/>
  <c r="AD57" i="31" s="1"/>
  <c r="AD49" i="31" s="1"/>
  <c r="AD63" i="31"/>
  <c r="AD56" i="31" s="1"/>
  <c r="AD48" i="31" s="1"/>
  <c r="AD64" i="30"/>
  <c r="AD57" i="30" s="1"/>
  <c r="AD49" i="30" s="1"/>
  <c r="AM34" i="32"/>
  <c r="AM69" i="32"/>
  <c r="AM73" i="32"/>
  <c r="S39" i="20"/>
  <c r="P82" i="27" l="1"/>
  <c r="P71" i="27"/>
  <c r="AP45" i="29"/>
  <c r="AO84" i="29"/>
  <c r="AP84" i="29" s="1"/>
  <c r="AN76" i="29"/>
  <c r="AN44" i="29"/>
  <c r="BY87" i="27"/>
  <c r="AP87" i="27"/>
  <c r="E69" i="36"/>
  <c r="U12" i="20"/>
  <c r="AP47" i="29"/>
  <c r="AO86" i="29"/>
  <c r="AP86" i="29" s="1"/>
  <c r="E68" i="36"/>
  <c r="U11" i="20"/>
  <c r="AQ50" i="29"/>
  <c r="AQ25" i="27"/>
  <c r="AQ87" i="27" s="1"/>
  <c r="AS17" i="29"/>
  <c r="AS18" i="29" s="1"/>
  <c r="AR17" i="27"/>
  <c r="AS16" i="27" s="1"/>
  <c r="AR22" i="29"/>
  <c r="AR20" i="29"/>
  <c r="AQ26" i="29"/>
  <c r="AQ24" i="29"/>
  <c r="AO78" i="29"/>
  <c r="AP78" i="29" s="1"/>
  <c r="AP39" i="29"/>
  <c r="AO37" i="29"/>
  <c r="AP38" i="29"/>
  <c r="AO77" i="29"/>
  <c r="AP77" i="29" s="1"/>
  <c r="BY42" i="27"/>
  <c r="L44" i="25" s="1"/>
  <c r="L11" i="25" s="1"/>
  <c r="U11" i="25" s="1"/>
  <c r="E74" i="36" s="1"/>
  <c r="AP42" i="27"/>
  <c r="AO38" i="27"/>
  <c r="AP38" i="27" s="1"/>
  <c r="AP27" i="29"/>
  <c r="AI110" i="29"/>
  <c r="AI72" i="29"/>
  <c r="AH73" i="29"/>
  <c r="AH111" i="29"/>
  <c r="AL85" i="29"/>
  <c r="AL57" i="29"/>
  <c r="AM83" i="29"/>
  <c r="AM46" i="29"/>
  <c r="AK96" i="29"/>
  <c r="AK70" i="29"/>
  <c r="AK109" i="29" s="1"/>
  <c r="AK47" i="27"/>
  <c r="C38" i="36"/>
  <c r="S130" i="20"/>
  <c r="S136" i="20"/>
  <c r="AJ76" i="27"/>
  <c r="AJ68" i="27"/>
  <c r="AJ71" i="29"/>
  <c r="AK71" i="29" s="1"/>
  <c r="AJ109" i="29"/>
  <c r="AP22" i="32"/>
  <c r="AO26" i="32"/>
  <c r="AO30" i="32"/>
  <c r="AO33" i="32"/>
  <c r="AP33" i="32" s="1"/>
  <c r="AO23" i="32"/>
  <c r="AN105" i="30"/>
  <c r="AN99" i="30"/>
  <c r="AO65" i="32"/>
  <c r="AP65" i="32" s="1"/>
  <c r="BY18" i="32"/>
  <c r="L60" i="25" s="1"/>
  <c r="L25" i="25" s="1"/>
  <c r="AP18" i="32"/>
  <c r="AO19" i="32"/>
  <c r="Q130" i="30"/>
  <c r="Q48" i="27"/>
  <c r="R35" i="27"/>
  <c r="R33" i="27" s="1"/>
  <c r="R112" i="30"/>
  <c r="R111" i="30" s="1"/>
  <c r="S66" i="30"/>
  <c r="S39" i="27"/>
  <c r="S54" i="30"/>
  <c r="S59" i="33"/>
  <c r="S47" i="30"/>
  <c r="O133" i="30"/>
  <c r="BU133" i="30" s="1"/>
  <c r="H42" i="20" s="1"/>
  <c r="P132" i="30"/>
  <c r="P133" i="30" s="1"/>
  <c r="O94" i="27"/>
  <c r="P94" i="27" s="1"/>
  <c r="O82" i="27"/>
  <c r="AM53" i="27"/>
  <c r="W108" i="31"/>
  <c r="W45" i="31"/>
  <c r="S26" i="34"/>
  <c r="H28" i="34"/>
  <c r="AN23" i="27"/>
  <c r="AN27" i="27"/>
  <c r="AN29" i="30"/>
  <c r="AN30" i="30"/>
  <c r="AN43" i="27"/>
  <c r="AN37" i="30"/>
  <c r="AN38" i="30" s="1"/>
  <c r="AM31" i="30"/>
  <c r="AM33" i="30"/>
  <c r="AM32" i="30"/>
  <c r="AM34" i="30"/>
  <c r="AM31" i="27"/>
  <c r="AM73" i="27"/>
  <c r="AL30" i="27"/>
  <c r="AL64" i="27"/>
  <c r="AM30" i="31"/>
  <c r="AM29" i="31"/>
  <c r="AM28" i="27"/>
  <c r="AM26" i="27" s="1"/>
  <c r="AM44" i="27"/>
  <c r="AM41" i="27" s="1"/>
  <c r="AM89" i="27" s="1"/>
  <c r="AM37" i="31"/>
  <c r="AM38" i="31" s="1"/>
  <c r="AN20" i="31"/>
  <c r="AN36" i="31" s="1"/>
  <c r="AN22" i="31"/>
  <c r="AO17" i="31"/>
  <c r="AP17" i="31" s="1"/>
  <c r="AN20" i="27"/>
  <c r="AL31" i="31"/>
  <c r="AL33" i="31"/>
  <c r="AL34" i="31"/>
  <c r="AL32" i="31"/>
  <c r="AL32" i="27"/>
  <c r="AL81" i="27"/>
  <c r="AZ61" i="28"/>
  <c r="AZ117" i="28"/>
  <c r="X60" i="30"/>
  <c r="X53" i="30" s="1"/>
  <c r="W98" i="30"/>
  <c r="W97" i="30" s="1"/>
  <c r="AY61" i="28"/>
  <c r="AY117" i="28"/>
  <c r="Y50" i="30"/>
  <c r="Y62" i="33"/>
  <c r="S40" i="27"/>
  <c r="S47" i="31"/>
  <c r="S68" i="33"/>
  <c r="S54" i="31"/>
  <c r="BC59" i="28"/>
  <c r="BA60" i="28"/>
  <c r="BA116" i="28"/>
  <c r="BB60" i="28"/>
  <c r="BB116" i="28"/>
  <c r="AL110" i="30"/>
  <c r="AK110" i="31"/>
  <c r="V51" i="27"/>
  <c r="BV51" i="27" s="1"/>
  <c r="I38" i="34" s="1"/>
  <c r="I35" i="34" s="1"/>
  <c r="V104" i="31"/>
  <c r="V106" i="31" s="1"/>
  <c r="AP17" i="30"/>
  <c r="AO18" i="30"/>
  <c r="AM24" i="27"/>
  <c r="AM18" i="27"/>
  <c r="AM22" i="27" s="1"/>
  <c r="R117" i="31"/>
  <c r="BB11" i="32"/>
  <c r="BB15" i="27"/>
  <c r="BD16" i="29"/>
  <c r="AD48" i="30"/>
  <c r="AE63" i="30" s="1"/>
  <c r="AE56" i="30" s="1"/>
  <c r="AD60" i="33"/>
  <c r="AH57" i="27"/>
  <c r="AJ92" i="32"/>
  <c r="AJ46" i="27"/>
  <c r="AK75" i="27"/>
  <c r="AK67" i="27"/>
  <c r="AK58" i="27"/>
  <c r="AL68" i="32"/>
  <c r="AN34" i="32"/>
  <c r="AN62" i="32"/>
  <c r="AQ18" i="32"/>
  <c r="AQ22" i="32"/>
  <c r="AS12" i="32"/>
  <c r="AS13" i="32" s="1"/>
  <c r="AR15" i="32"/>
  <c r="AE64" i="31"/>
  <c r="AE57" i="31" s="1"/>
  <c r="AD70" i="33"/>
  <c r="AE63" i="31"/>
  <c r="AE56" i="31" s="1"/>
  <c r="AD69" i="33"/>
  <c r="AE64" i="30"/>
  <c r="AE57" i="30" s="1"/>
  <c r="AD61" i="33"/>
  <c r="G52" i="26"/>
  <c r="AM79" i="32"/>
  <c r="AN73" i="32"/>
  <c r="AI93" i="32"/>
  <c r="AH94" i="32"/>
  <c r="AN69" i="32"/>
  <c r="AE50" i="31"/>
  <c r="AE71" i="33"/>
  <c r="S36" i="20"/>
  <c r="AO18" i="31" l="1"/>
  <c r="C40" i="36"/>
  <c r="D8" i="40"/>
  <c r="D11" i="40" s="1"/>
  <c r="D47" i="41" s="1"/>
  <c r="P95" i="27"/>
  <c r="P96" i="27"/>
  <c r="P97" i="27" s="1"/>
  <c r="AN83" i="29"/>
  <c r="AN46" i="29"/>
  <c r="AQ89" i="29"/>
  <c r="AQ47" i="29"/>
  <c r="AQ86" i="29" s="1"/>
  <c r="AT17" i="29"/>
  <c r="AT18" i="29" s="1"/>
  <c r="AS17" i="27"/>
  <c r="AT16" i="27" s="1"/>
  <c r="AS22" i="29"/>
  <c r="AS20" i="29"/>
  <c r="AR25" i="27"/>
  <c r="AR87" i="27" s="1"/>
  <c r="AR50" i="29"/>
  <c r="AR26" i="29"/>
  <c r="AR24" i="29"/>
  <c r="AQ38" i="29"/>
  <c r="AQ39" i="29"/>
  <c r="AQ78" i="29" s="1"/>
  <c r="AQ34" i="27"/>
  <c r="AQ45" i="29"/>
  <c r="AQ84" i="29" s="1"/>
  <c r="AQ42" i="27"/>
  <c r="AQ27" i="29"/>
  <c r="AQ38" i="27" s="1"/>
  <c r="AQ25" i="29"/>
  <c r="AO76" i="29"/>
  <c r="AP76" i="29" s="1"/>
  <c r="AP37" i="29"/>
  <c r="AO44" i="29"/>
  <c r="AI111" i="29"/>
  <c r="AI73" i="29"/>
  <c r="BX73" i="29" s="1"/>
  <c r="K39" i="20" s="1"/>
  <c r="AL96" i="29"/>
  <c r="AL47" i="27"/>
  <c r="AL70" i="29"/>
  <c r="AM85" i="29"/>
  <c r="AM57" i="29"/>
  <c r="AK76" i="27"/>
  <c r="AK68" i="27"/>
  <c r="AK59" i="27"/>
  <c r="AK57" i="27" s="1"/>
  <c r="AJ72" i="29"/>
  <c r="AJ110" i="29"/>
  <c r="AP26" i="32"/>
  <c r="AO75" i="32"/>
  <c r="AP75" i="32" s="1"/>
  <c r="AO71" i="32"/>
  <c r="AO29" i="32"/>
  <c r="AP29" i="32" s="1"/>
  <c r="AO28" i="32"/>
  <c r="AP28" i="32" s="1"/>
  <c r="AO27" i="32"/>
  <c r="AP27" i="32" s="1"/>
  <c r="AP30" i="32"/>
  <c r="AO32" i="32"/>
  <c r="AP32" i="32" s="1"/>
  <c r="AO31" i="32"/>
  <c r="AP31" i="32" s="1"/>
  <c r="AP23" i="32"/>
  <c r="AO74" i="32"/>
  <c r="AO25" i="32"/>
  <c r="AP25" i="32" s="1"/>
  <c r="AO24" i="32"/>
  <c r="L23" i="25"/>
  <c r="U23" i="25" s="1"/>
  <c r="U25" i="25"/>
  <c r="E85" i="36" s="1"/>
  <c r="AP19" i="32"/>
  <c r="AO20" i="32"/>
  <c r="Q131" i="30"/>
  <c r="Q132" i="30" s="1"/>
  <c r="Q133" i="30" s="1"/>
  <c r="Q45" i="27"/>
  <c r="Q69" i="27"/>
  <c r="Q65" i="27" s="1"/>
  <c r="Q94" i="27" s="1"/>
  <c r="Q95" i="27" s="1"/>
  <c r="S52" i="30"/>
  <c r="S113" i="30"/>
  <c r="S109" i="30"/>
  <c r="S107" i="30" s="1"/>
  <c r="S63" i="33"/>
  <c r="S58" i="33"/>
  <c r="T62" i="30"/>
  <c r="T61" i="30" s="1"/>
  <c r="T59" i="30" s="1"/>
  <c r="S46" i="30"/>
  <c r="S51" i="30" s="1"/>
  <c r="O95" i="27"/>
  <c r="BU95" i="27" s="1"/>
  <c r="H33" i="20" s="1"/>
  <c r="BU94" i="27"/>
  <c r="S37" i="27"/>
  <c r="R117" i="30"/>
  <c r="R55" i="27"/>
  <c r="AK110" i="29"/>
  <c r="AK72" i="29"/>
  <c r="AN105" i="31"/>
  <c r="AN53" i="27" s="1"/>
  <c r="AN99" i="31"/>
  <c r="AN24" i="27"/>
  <c r="AN18" i="27"/>
  <c r="AN22" i="27" s="1"/>
  <c r="X60" i="31"/>
  <c r="X53" i="31" s="1"/>
  <c r="W98" i="31"/>
  <c r="W97" i="31" s="1"/>
  <c r="S28" i="34"/>
  <c r="H35" i="25"/>
  <c r="AN31" i="27"/>
  <c r="AN73" i="27"/>
  <c r="AN32" i="30"/>
  <c r="AN33" i="30"/>
  <c r="AN31" i="30"/>
  <c r="AN34" i="30"/>
  <c r="AM30" i="27"/>
  <c r="AM64" i="27"/>
  <c r="AM31" i="31"/>
  <c r="AM33" i="31"/>
  <c r="AM32" i="31"/>
  <c r="AM34" i="31"/>
  <c r="AM32" i="27"/>
  <c r="AM81" i="27"/>
  <c r="AN37" i="31"/>
  <c r="AN38" i="31" s="1"/>
  <c r="AN44" i="27"/>
  <c r="AN41" i="27" s="1"/>
  <c r="AN89" i="27" s="1"/>
  <c r="AN29" i="31"/>
  <c r="AN30" i="31"/>
  <c r="AN28" i="27"/>
  <c r="AN26" i="27" s="1"/>
  <c r="AO20" i="31"/>
  <c r="AO36" i="31" s="1"/>
  <c r="AO22" i="31"/>
  <c r="AP18" i="31"/>
  <c r="AO20" i="27"/>
  <c r="AO24" i="27" s="1"/>
  <c r="W104" i="30"/>
  <c r="W106" i="30" s="1"/>
  <c r="Z65" i="30"/>
  <c r="S46" i="31"/>
  <c r="S51" i="31" s="1"/>
  <c r="T62" i="31"/>
  <c r="S72" i="33"/>
  <c r="S67" i="33"/>
  <c r="S52" i="31"/>
  <c r="S109" i="31"/>
  <c r="S107" i="31" s="1"/>
  <c r="S113" i="31"/>
  <c r="BF59" i="28"/>
  <c r="BC116" i="28"/>
  <c r="BC60" i="28"/>
  <c r="BA117" i="28"/>
  <c r="BA61" i="28"/>
  <c r="BB61" i="28"/>
  <c r="BB117" i="28"/>
  <c r="AO20" i="30"/>
  <c r="AO36" i="30" s="1"/>
  <c r="AO22" i="30"/>
  <c r="AO19" i="27"/>
  <c r="AP18" i="30"/>
  <c r="R49" i="27"/>
  <c r="R130" i="31"/>
  <c r="AL110" i="31"/>
  <c r="CA116" i="28"/>
  <c r="AM110" i="30"/>
  <c r="X108" i="30"/>
  <c r="X45" i="30"/>
  <c r="BD11" i="32"/>
  <c r="BD15" i="27"/>
  <c r="BE16" i="29"/>
  <c r="I10" i="34"/>
  <c r="I31" i="34"/>
  <c r="AE48" i="30"/>
  <c r="AE60" i="33"/>
  <c r="AJ93" i="32"/>
  <c r="AJ75" i="27"/>
  <c r="AJ67" i="27"/>
  <c r="AJ58" i="27"/>
  <c r="AL79" i="32"/>
  <c r="AN52" i="27"/>
  <c r="AN66" i="32"/>
  <c r="AQ65" i="32"/>
  <c r="AQ19" i="32"/>
  <c r="AQ20" i="32" s="1"/>
  <c r="AQ30" i="32"/>
  <c r="AQ26" i="32"/>
  <c r="AQ33" i="32"/>
  <c r="AQ23" i="32"/>
  <c r="AR22" i="32"/>
  <c r="AR18" i="32"/>
  <c r="AR65" i="32" s="1"/>
  <c r="AT12" i="32"/>
  <c r="AT13" i="32" s="1"/>
  <c r="AS15" i="32"/>
  <c r="AM46" i="27"/>
  <c r="AM92" i="32"/>
  <c r="AI94" i="32"/>
  <c r="AI95" i="32" s="1"/>
  <c r="AH95" i="32"/>
  <c r="AF65" i="31"/>
  <c r="AF58" i="31" s="1"/>
  <c r="AF50" i="31" s="1"/>
  <c r="AE49" i="31"/>
  <c r="AE70" i="33"/>
  <c r="AE48" i="31"/>
  <c r="AE69" i="33"/>
  <c r="AE49" i="30"/>
  <c r="AE61" i="33"/>
  <c r="T39" i="20"/>
  <c r="BX95" i="32" l="1"/>
  <c r="K36" i="20" s="1"/>
  <c r="CA117" i="28"/>
  <c r="T55" i="30"/>
  <c r="T47" i="30" s="1"/>
  <c r="CA61" i="28"/>
  <c r="N55" i="20" s="1"/>
  <c r="V55" i="20" s="1"/>
  <c r="S132" i="20"/>
  <c r="C44" i="36"/>
  <c r="H31" i="25"/>
  <c r="H8" i="25"/>
  <c r="AR47" i="29"/>
  <c r="AR86" i="29" s="1"/>
  <c r="AR89" i="29"/>
  <c r="AR34" i="27"/>
  <c r="AR39" i="29"/>
  <c r="AR78" i="29" s="1"/>
  <c r="AR38" i="29"/>
  <c r="AQ77" i="29"/>
  <c r="AQ37" i="29"/>
  <c r="AP44" i="29"/>
  <c r="AO46" i="29"/>
  <c r="AO83" i="29"/>
  <c r="AP83" i="29" s="1"/>
  <c r="AN85" i="29"/>
  <c r="AN57" i="29"/>
  <c r="AS25" i="27"/>
  <c r="AS87" i="27" s="1"/>
  <c r="AS50" i="29"/>
  <c r="AS26" i="29"/>
  <c r="AS24" i="29"/>
  <c r="AU17" i="29"/>
  <c r="AU18" i="29" s="1"/>
  <c r="AT17" i="27"/>
  <c r="AU16" i="27" s="1"/>
  <c r="AT22" i="29"/>
  <c r="AT20" i="29"/>
  <c r="AR45" i="29"/>
  <c r="AR84" i="29" s="1"/>
  <c r="AR42" i="27"/>
  <c r="AR27" i="29"/>
  <c r="AR38" i="27" s="1"/>
  <c r="AR25" i="29"/>
  <c r="AL76" i="27"/>
  <c r="AL68" i="27"/>
  <c r="AL59" i="27"/>
  <c r="AL109" i="29"/>
  <c r="AL71" i="29"/>
  <c r="AM70" i="29"/>
  <c r="AM47" i="27"/>
  <c r="AM96" i="29"/>
  <c r="C42" i="36"/>
  <c r="AJ73" i="29"/>
  <c r="AJ111" i="29"/>
  <c r="AO69" i="32"/>
  <c r="AP69" i="32" s="1"/>
  <c r="AP71" i="32"/>
  <c r="AO73" i="32"/>
  <c r="AP73" i="32" s="1"/>
  <c r="AP74" i="32"/>
  <c r="AP24" i="32"/>
  <c r="AP34" i="32" s="1"/>
  <c r="AO34" i="32"/>
  <c r="E83" i="36"/>
  <c r="E56" i="36"/>
  <c r="AO64" i="32"/>
  <c r="AP20" i="32"/>
  <c r="AQ64" i="32" s="1"/>
  <c r="S88" i="27"/>
  <c r="S90" i="27"/>
  <c r="S112" i="30"/>
  <c r="S111" i="30" s="1"/>
  <c r="S117" i="30" s="1"/>
  <c r="S35" i="27"/>
  <c r="T46" i="30"/>
  <c r="T51" i="30" s="1"/>
  <c r="U62" i="30"/>
  <c r="T39" i="27"/>
  <c r="T66" i="30"/>
  <c r="T54" i="30"/>
  <c r="T59" i="33"/>
  <c r="R130" i="30"/>
  <c r="R48" i="27"/>
  <c r="S74" i="33"/>
  <c r="S54" i="27"/>
  <c r="Q82" i="27"/>
  <c r="AK111" i="29"/>
  <c r="AK73" i="29"/>
  <c r="AN110" i="30"/>
  <c r="AM110" i="31"/>
  <c r="AO105" i="31"/>
  <c r="AP105" i="31" s="1"/>
  <c r="AO99" i="31"/>
  <c r="AP99" i="31" s="1"/>
  <c r="AP77" i="31" s="1"/>
  <c r="X45" i="31"/>
  <c r="X108" i="31"/>
  <c r="S35" i="25"/>
  <c r="C60" i="36" s="1"/>
  <c r="AN64" i="27"/>
  <c r="AN30" i="27"/>
  <c r="AN31" i="31"/>
  <c r="AN32" i="31"/>
  <c r="AN33" i="31"/>
  <c r="AN34" i="31"/>
  <c r="AN32" i="27"/>
  <c r="AN81" i="27"/>
  <c r="AO37" i="31"/>
  <c r="AO38" i="31" s="1"/>
  <c r="AO44" i="27"/>
  <c r="AO29" i="31"/>
  <c r="AO30" i="31"/>
  <c r="AO28" i="27"/>
  <c r="AP22" i="31"/>
  <c r="AP20" i="31"/>
  <c r="AP36" i="31" s="1"/>
  <c r="AP20" i="27"/>
  <c r="AP24" i="27" s="1"/>
  <c r="G88" i="26"/>
  <c r="G91" i="26" s="1"/>
  <c r="G95" i="26" s="1"/>
  <c r="AQ17" i="31"/>
  <c r="AQ18" i="31" s="1"/>
  <c r="Z58" i="30"/>
  <c r="S36" i="27"/>
  <c r="S33" i="27" s="1"/>
  <c r="S112" i="31"/>
  <c r="S111" i="31" s="1"/>
  <c r="BG59" i="28"/>
  <c r="BF60" i="28"/>
  <c r="BF116" i="28"/>
  <c r="BC62" i="28"/>
  <c r="BC61" i="28"/>
  <c r="H127" i="26"/>
  <c r="BC117" i="28"/>
  <c r="AO105" i="30"/>
  <c r="AO99" i="30"/>
  <c r="AP99" i="30" s="1"/>
  <c r="AP77" i="30" s="1"/>
  <c r="AO43" i="27"/>
  <c r="AO37" i="30"/>
  <c r="AO38" i="30" s="1"/>
  <c r="AO29" i="30"/>
  <c r="AO27" i="27"/>
  <c r="AO30" i="30"/>
  <c r="AO23" i="27"/>
  <c r="AO18" i="27"/>
  <c r="AO22" i="27" s="1"/>
  <c r="AP19" i="27"/>
  <c r="AP22" i="30"/>
  <c r="G66" i="26"/>
  <c r="AQ17" i="30"/>
  <c r="AQ18" i="30" s="1"/>
  <c r="AP20" i="30"/>
  <c r="AP36" i="30" s="1"/>
  <c r="R78" i="27"/>
  <c r="R74" i="27" s="1"/>
  <c r="R131" i="31"/>
  <c r="R132" i="31" s="1"/>
  <c r="R133" i="31" s="1"/>
  <c r="X98" i="30"/>
  <c r="X97" i="30" s="1"/>
  <c r="X104" i="30" s="1"/>
  <c r="X106" i="30" s="1"/>
  <c r="Y60" i="30"/>
  <c r="W104" i="31"/>
  <c r="W106" i="31" s="1"/>
  <c r="W51" i="27"/>
  <c r="T61" i="31"/>
  <c r="T59" i="31" s="1"/>
  <c r="T55" i="31"/>
  <c r="BE15" i="27"/>
  <c r="BE11" i="32"/>
  <c r="BF16" i="29"/>
  <c r="AK93" i="32"/>
  <c r="AK94" i="32" s="1"/>
  <c r="AJ94" i="32"/>
  <c r="AJ95" i="32" s="1"/>
  <c r="I8" i="34"/>
  <c r="I53" i="34"/>
  <c r="AF63" i="30"/>
  <c r="AF56" i="30" s="1"/>
  <c r="AJ57" i="27"/>
  <c r="AL92" i="32"/>
  <c r="AL46" i="27"/>
  <c r="AN68" i="32"/>
  <c r="AQ32" i="32"/>
  <c r="AQ31" i="32"/>
  <c r="AQ74" i="32" s="1"/>
  <c r="AQ75" i="32"/>
  <c r="AQ71" i="32"/>
  <c r="AQ29" i="32"/>
  <c r="AQ28" i="32"/>
  <c r="AQ27" i="32"/>
  <c r="AQ25" i="32"/>
  <c r="AQ24" i="32"/>
  <c r="AR30" i="32"/>
  <c r="AR26" i="32"/>
  <c r="AR33" i="32"/>
  <c r="AR23" i="32"/>
  <c r="AR19" i="32"/>
  <c r="AR20" i="32" s="1"/>
  <c r="AR64" i="32" s="1"/>
  <c r="AR62" i="32" s="1"/>
  <c r="AS18" i="32"/>
  <c r="AS65" i="32" s="1"/>
  <c r="AS22" i="32"/>
  <c r="AT15" i="32"/>
  <c r="AU12" i="32"/>
  <c r="AU13" i="32" s="1"/>
  <c r="AM75" i="27"/>
  <c r="AM67" i="27"/>
  <c r="AM58" i="27"/>
  <c r="AG65" i="31"/>
  <c r="AG58" i="31" s="1"/>
  <c r="AF71" i="33"/>
  <c r="AF64" i="31"/>
  <c r="AF57" i="31" s="1"/>
  <c r="AF49" i="31" s="1"/>
  <c r="AF63" i="31"/>
  <c r="AF56" i="31" s="1"/>
  <c r="AF48" i="31" s="1"/>
  <c r="AF64" i="30"/>
  <c r="AF57" i="30" s="1"/>
  <c r="AF49" i="30" s="1"/>
  <c r="T36" i="20"/>
  <c r="S8" i="25" l="1"/>
  <c r="H21" i="25"/>
  <c r="S21" i="25" s="1"/>
  <c r="C53" i="36" s="1"/>
  <c r="C80" i="36" s="1"/>
  <c r="C101" i="36" s="1"/>
  <c r="S48" i="27"/>
  <c r="S69" i="27" s="1"/>
  <c r="S65" i="27" s="1"/>
  <c r="S130" i="30"/>
  <c r="AR77" i="29"/>
  <c r="AR37" i="29"/>
  <c r="AQ76" i="29"/>
  <c r="AQ44" i="29"/>
  <c r="AO57" i="29"/>
  <c r="AO85" i="29"/>
  <c r="AP85" i="29" s="1"/>
  <c r="AP46" i="29"/>
  <c r="AS89" i="29"/>
  <c r="AS47" i="29"/>
  <c r="AS86" i="29" s="1"/>
  <c r="AP57" i="29"/>
  <c r="AN96" i="29"/>
  <c r="AN47" i="27"/>
  <c r="AN70" i="29"/>
  <c r="AN109" i="29" s="1"/>
  <c r="AS34" i="27"/>
  <c r="AS39" i="29"/>
  <c r="AS78" i="29" s="1"/>
  <c r="AS38" i="29"/>
  <c r="AS45" i="29"/>
  <c r="AS84" i="29" s="1"/>
  <c r="AS42" i="27"/>
  <c r="AS27" i="29"/>
  <c r="AS38" i="27" s="1"/>
  <c r="AS25" i="29"/>
  <c r="AV17" i="29"/>
  <c r="AV18" i="29" s="1"/>
  <c r="AU17" i="27"/>
  <c r="AV16" i="27" s="1"/>
  <c r="AU22" i="29"/>
  <c r="AU20" i="29"/>
  <c r="AT25" i="27"/>
  <c r="AT87" i="27" s="1"/>
  <c r="AT50" i="29"/>
  <c r="AT26" i="29"/>
  <c r="AT24" i="29"/>
  <c r="AL110" i="29"/>
  <c r="AL72" i="29"/>
  <c r="AM109" i="29"/>
  <c r="AM71" i="29"/>
  <c r="AM68" i="27"/>
  <c r="AM59" i="27"/>
  <c r="AM57" i="27" s="1"/>
  <c r="AM76" i="27"/>
  <c r="S83" i="27"/>
  <c r="R69" i="27"/>
  <c r="R65" i="27" s="1"/>
  <c r="R94" i="27" s="1"/>
  <c r="R95" i="27" s="1"/>
  <c r="R45" i="27"/>
  <c r="AO62" i="32"/>
  <c r="AP64" i="32"/>
  <c r="T52" i="30"/>
  <c r="T113" i="30"/>
  <c r="T109" i="30"/>
  <c r="T107" i="30" s="1"/>
  <c r="T58" i="33"/>
  <c r="T63" i="33"/>
  <c r="R131" i="30"/>
  <c r="R132" i="30" s="1"/>
  <c r="R133" i="30" s="1"/>
  <c r="U61" i="30"/>
  <c r="U59" i="30" s="1"/>
  <c r="U55" i="30"/>
  <c r="X98" i="31"/>
  <c r="X97" i="31" s="1"/>
  <c r="Y60" i="31"/>
  <c r="BY44" i="27"/>
  <c r="L46" i="25" s="1"/>
  <c r="L13" i="25" s="1"/>
  <c r="U13" i="25" s="1"/>
  <c r="E76" i="36" s="1"/>
  <c r="AP44" i="27"/>
  <c r="AO31" i="31"/>
  <c r="AO32" i="31"/>
  <c r="AO34" i="31"/>
  <c r="AO33" i="31"/>
  <c r="AO32" i="27"/>
  <c r="AO81" i="27"/>
  <c r="AP29" i="31"/>
  <c r="AP28" i="27"/>
  <c r="AP32" i="27" s="1"/>
  <c r="AP30" i="31"/>
  <c r="G93" i="26"/>
  <c r="G96" i="26" s="1"/>
  <c r="G97" i="26" s="1"/>
  <c r="AP37" i="31"/>
  <c r="AP38" i="31" s="1"/>
  <c r="AQ20" i="31"/>
  <c r="AQ36" i="31" s="1"/>
  <c r="AQ22" i="31"/>
  <c r="AR17" i="31"/>
  <c r="AR18" i="31" s="1"/>
  <c r="AQ20" i="27"/>
  <c r="AQ24" i="27" s="1"/>
  <c r="Z50" i="30"/>
  <c r="AA65" i="30" s="1"/>
  <c r="Z62" i="33"/>
  <c r="S55" i="27"/>
  <c r="S117" i="31"/>
  <c r="BH59" i="28"/>
  <c r="BG60" i="28"/>
  <c r="BG116" i="28"/>
  <c r="BF61" i="28"/>
  <c r="BF117" i="28"/>
  <c r="AP105" i="30"/>
  <c r="AO53" i="27"/>
  <c r="AO41" i="27"/>
  <c r="AO89" i="27" s="1"/>
  <c r="BY43" i="27"/>
  <c r="L45" i="25" s="1"/>
  <c r="L12" i="25" s="1"/>
  <c r="AP43" i="27"/>
  <c r="AO31" i="27"/>
  <c r="AO26" i="27"/>
  <c r="AO73" i="27"/>
  <c r="AO31" i="30"/>
  <c r="AO32" i="30"/>
  <c r="AO34" i="30"/>
  <c r="AO33" i="30"/>
  <c r="AP18" i="27"/>
  <c r="AP22" i="27" s="1"/>
  <c r="AP23" i="27"/>
  <c r="G71" i="26"/>
  <c r="AP27" i="27"/>
  <c r="AP29" i="30"/>
  <c r="AP30" i="30"/>
  <c r="G99" i="26"/>
  <c r="G69" i="26"/>
  <c r="AQ19" i="27"/>
  <c r="AQ20" i="30"/>
  <c r="AQ36" i="30" s="1"/>
  <c r="AQ99" i="30" s="1"/>
  <c r="AQ22" i="30"/>
  <c r="AR17" i="30"/>
  <c r="AR18" i="30" s="1"/>
  <c r="AP37" i="30"/>
  <c r="AP38" i="30" s="1"/>
  <c r="Y53" i="30"/>
  <c r="T40" i="27"/>
  <c r="T37" i="27" s="1"/>
  <c r="T54" i="31"/>
  <c r="T68" i="33"/>
  <c r="T47" i="31"/>
  <c r="AN110" i="31"/>
  <c r="BF11" i="32"/>
  <c r="BF15" i="27"/>
  <c r="BG16" i="29"/>
  <c r="I15" i="34"/>
  <c r="I58" i="34"/>
  <c r="AF48" i="30"/>
  <c r="AG63" i="30" s="1"/>
  <c r="AG56" i="30" s="1"/>
  <c r="AF60" i="33"/>
  <c r="AL93" i="32"/>
  <c r="AL75" i="27"/>
  <c r="AL67" i="27"/>
  <c r="AL58" i="27"/>
  <c r="AN79" i="32"/>
  <c r="AQ62" i="32"/>
  <c r="AR52" i="27"/>
  <c r="AR66" i="32"/>
  <c r="AR68" i="32" s="1"/>
  <c r="AQ69" i="32"/>
  <c r="AQ73" i="32"/>
  <c r="AQ34" i="32"/>
  <c r="AR32" i="32"/>
  <c r="AR31" i="32"/>
  <c r="AR74" i="32" s="1"/>
  <c r="AR75" i="32"/>
  <c r="AR71" i="32"/>
  <c r="AR29" i="32"/>
  <c r="AR28" i="32"/>
  <c r="AR27" i="32"/>
  <c r="AR25" i="32"/>
  <c r="AR24" i="32"/>
  <c r="AS19" i="32"/>
  <c r="AS20" i="32" s="1"/>
  <c r="AS26" i="32"/>
  <c r="AS33" i="32"/>
  <c r="AS30" i="32"/>
  <c r="AS23" i="32"/>
  <c r="AT22" i="32"/>
  <c r="AT18" i="32"/>
  <c r="AT65" i="32" s="1"/>
  <c r="AV12" i="32"/>
  <c r="AV13" i="32" s="1"/>
  <c r="AU15" i="32"/>
  <c r="AG64" i="31"/>
  <c r="AG57" i="31" s="1"/>
  <c r="AF70" i="33"/>
  <c r="AG63" i="31"/>
  <c r="AG56" i="31" s="1"/>
  <c r="AF69" i="33"/>
  <c r="AG64" i="30"/>
  <c r="AG57" i="30" s="1"/>
  <c r="AF61" i="33"/>
  <c r="AK95" i="32"/>
  <c r="AG50" i="31"/>
  <c r="AG71" i="33"/>
  <c r="AR76" i="29" l="1"/>
  <c r="AR44" i="29"/>
  <c r="AQ83" i="29"/>
  <c r="AQ46" i="29"/>
  <c r="AQ105" i="30"/>
  <c r="S131" i="30"/>
  <c r="S132" i="30" s="1"/>
  <c r="S133" i="30" s="1"/>
  <c r="AO70" i="29"/>
  <c r="AO47" i="27"/>
  <c r="AO76" i="27" s="1"/>
  <c r="AO96" i="29"/>
  <c r="AP96" i="29"/>
  <c r="R82" i="27"/>
  <c r="AN76" i="27"/>
  <c r="AN68" i="27"/>
  <c r="AN59" i="27"/>
  <c r="AS77" i="29"/>
  <c r="AS37" i="29"/>
  <c r="AW17" i="29"/>
  <c r="AW18" i="29" s="1"/>
  <c r="AV17" i="27"/>
  <c r="AW16" i="27" s="1"/>
  <c r="AV22" i="29"/>
  <c r="AV20" i="29"/>
  <c r="AU25" i="27"/>
  <c r="AU87" i="27" s="1"/>
  <c r="AU50" i="29"/>
  <c r="AU26" i="29"/>
  <c r="AU34" i="27" s="1"/>
  <c r="AU24" i="29"/>
  <c r="AU25" i="29" s="1"/>
  <c r="AT89" i="29"/>
  <c r="AT47" i="29"/>
  <c r="AT86" i="29" s="1"/>
  <c r="AT34" i="27"/>
  <c r="AT39" i="29"/>
  <c r="AT78" i="29" s="1"/>
  <c r="AT38" i="29"/>
  <c r="AT45" i="29"/>
  <c r="AT84" i="29" s="1"/>
  <c r="AT42" i="27"/>
  <c r="AT27" i="29"/>
  <c r="AT38" i="27" s="1"/>
  <c r="AT25" i="29"/>
  <c r="AL111" i="29"/>
  <c r="AL73" i="29"/>
  <c r="AM110" i="29"/>
  <c r="AN71" i="29"/>
  <c r="AM72" i="29"/>
  <c r="AP62" i="32"/>
  <c r="AO66" i="32"/>
  <c r="AO52" i="27"/>
  <c r="T112" i="30"/>
  <c r="T111" i="30" s="1"/>
  <c r="T117" i="30" s="1"/>
  <c r="T35" i="27"/>
  <c r="U66" i="30"/>
  <c r="U39" i="27"/>
  <c r="U59" i="33"/>
  <c r="U54" i="30"/>
  <c r="U47" i="30"/>
  <c r="AP41" i="27"/>
  <c r="AO110" i="30"/>
  <c r="AP110" i="30" s="1"/>
  <c r="Y53" i="31"/>
  <c r="AP31" i="31"/>
  <c r="AP32" i="31"/>
  <c r="AP33" i="31"/>
  <c r="AP34" i="31"/>
  <c r="AQ37" i="31"/>
  <c r="AQ38" i="31" s="1"/>
  <c r="AQ44" i="27"/>
  <c r="AQ29" i="31"/>
  <c r="AQ30" i="31"/>
  <c r="AQ28" i="27"/>
  <c r="AR20" i="31"/>
  <c r="AR36" i="31" s="1"/>
  <c r="AR22" i="31"/>
  <c r="AR20" i="27"/>
  <c r="AR24" i="27" s="1"/>
  <c r="AS17" i="31"/>
  <c r="AS18" i="31" s="1"/>
  <c r="AA58" i="30"/>
  <c r="S130" i="31"/>
  <c r="S49" i="27"/>
  <c r="BI59" i="28"/>
  <c r="BH60" i="28"/>
  <c r="BH116" i="28"/>
  <c r="BG61" i="28"/>
  <c r="BG117" i="28"/>
  <c r="AP53" i="27"/>
  <c r="BY53" i="27"/>
  <c r="L57" i="34" s="1"/>
  <c r="U57" i="34" s="1"/>
  <c r="BY89" i="27"/>
  <c r="AP89" i="27"/>
  <c r="L10" i="25"/>
  <c r="U12" i="25"/>
  <c r="E75" i="36" s="1"/>
  <c r="AO30" i="27"/>
  <c r="AO64" i="27"/>
  <c r="BY73" i="27"/>
  <c r="AP73" i="27"/>
  <c r="AP26" i="27"/>
  <c r="AP30" i="27" s="1"/>
  <c r="AP31" i="27"/>
  <c r="AP32" i="30"/>
  <c r="AP34" i="30"/>
  <c r="AP31" i="30"/>
  <c r="AP33" i="30"/>
  <c r="G118" i="26"/>
  <c r="G73" i="26"/>
  <c r="AQ18" i="27"/>
  <c r="AQ22" i="27" s="1"/>
  <c r="AQ23" i="27"/>
  <c r="AQ37" i="30"/>
  <c r="AQ38" i="30" s="1"/>
  <c r="AQ43" i="27"/>
  <c r="AR20" i="30"/>
  <c r="AR36" i="30" s="1"/>
  <c r="AR19" i="27"/>
  <c r="AR22" i="30"/>
  <c r="AS17" i="30"/>
  <c r="AS18" i="30" s="1"/>
  <c r="AQ30" i="30"/>
  <c r="AQ29" i="30"/>
  <c r="AQ27" i="27"/>
  <c r="Y45" i="30"/>
  <c r="Y108" i="30"/>
  <c r="T90" i="27"/>
  <c r="T88" i="27"/>
  <c r="T83" i="27" s="1"/>
  <c r="T52" i="31"/>
  <c r="T109" i="31"/>
  <c r="T107" i="31" s="1"/>
  <c r="T113" i="31"/>
  <c r="T72" i="33"/>
  <c r="T74" i="33" s="1"/>
  <c r="T67" i="33"/>
  <c r="U62" i="31"/>
  <c r="U61" i="31" s="1"/>
  <c r="U59" i="31" s="1"/>
  <c r="T46" i="31"/>
  <c r="T51" i="31" s="1"/>
  <c r="U55" i="31"/>
  <c r="AO110" i="31"/>
  <c r="AP110" i="31" s="1"/>
  <c r="X51" i="27"/>
  <c r="X104" i="31"/>
  <c r="X106" i="31" s="1"/>
  <c r="BY81" i="27"/>
  <c r="AP81" i="27"/>
  <c r="AQ105" i="31"/>
  <c r="AQ99" i="31"/>
  <c r="BG15" i="27"/>
  <c r="BG11" i="32"/>
  <c r="BH16" i="29"/>
  <c r="I17" i="34"/>
  <c r="AG48" i="30"/>
  <c r="AH63" i="30" s="1"/>
  <c r="AH56" i="30" s="1"/>
  <c r="AH48" i="30" s="1"/>
  <c r="AG60" i="33"/>
  <c r="AM93" i="32"/>
  <c r="AM94" i="32" s="1"/>
  <c r="AL94" i="32"/>
  <c r="AL95" i="32" s="1"/>
  <c r="AG49" i="30"/>
  <c r="AH64" i="30" s="1"/>
  <c r="AH57" i="30" s="1"/>
  <c r="AH49" i="30" s="1"/>
  <c r="AG61" i="33"/>
  <c r="AL57" i="27"/>
  <c r="AN92" i="32"/>
  <c r="AN46" i="27"/>
  <c r="AQ52" i="27"/>
  <c r="AQ66" i="32"/>
  <c r="AS64" i="32"/>
  <c r="AS75" i="32"/>
  <c r="AS71" i="32"/>
  <c r="AS29" i="32"/>
  <c r="AS28" i="32"/>
  <c r="AS27" i="32"/>
  <c r="AS31" i="32"/>
  <c r="AS74" i="32" s="1"/>
  <c r="AS32" i="32"/>
  <c r="AS25" i="32"/>
  <c r="AS24" i="32"/>
  <c r="AT30" i="32"/>
  <c r="AT26" i="32"/>
  <c r="AT23" i="32"/>
  <c r="AT33" i="32"/>
  <c r="AT19" i="32"/>
  <c r="AT20" i="32" s="1"/>
  <c r="AW12" i="32"/>
  <c r="AW13" i="32" s="1"/>
  <c r="AV15" i="32"/>
  <c r="AU22" i="32"/>
  <c r="AU18" i="32"/>
  <c r="AU65" i="32" s="1"/>
  <c r="AH65" i="31"/>
  <c r="AH58" i="31" s="1"/>
  <c r="AH50" i="31" s="1"/>
  <c r="AR69" i="32"/>
  <c r="AR73" i="32"/>
  <c r="AR34" i="32"/>
  <c r="AU39" i="29"/>
  <c r="AU78" i="29" s="1"/>
  <c r="AU38" i="29"/>
  <c r="AG49" i="31"/>
  <c r="AG70" i="33"/>
  <c r="AG48" i="31"/>
  <c r="AG69" i="33"/>
  <c r="AQ53" i="27" l="1"/>
  <c r="AR83" i="29"/>
  <c r="AR46" i="29"/>
  <c r="AQ85" i="29"/>
  <c r="AQ57" i="29"/>
  <c r="AO109" i="29"/>
  <c r="AP109" i="29" s="1"/>
  <c r="AP70" i="29"/>
  <c r="AS76" i="29"/>
  <c r="AS44" i="29"/>
  <c r="AS83" i="29" s="1"/>
  <c r="AW22" i="29"/>
  <c r="AW20" i="29"/>
  <c r="AX17" i="29"/>
  <c r="AX18" i="29" s="1"/>
  <c r="AW17" i="27"/>
  <c r="AO68" i="27"/>
  <c r="AP68" i="27" s="1"/>
  <c r="AP47" i="27"/>
  <c r="AO59" i="27"/>
  <c r="AP59" i="27" s="1"/>
  <c r="AV25" i="27"/>
  <c r="AV87" i="27" s="1"/>
  <c r="BZ87" i="27" s="1"/>
  <c r="AV50" i="29"/>
  <c r="AV26" i="29"/>
  <c r="AV34" i="27" s="1"/>
  <c r="AV24" i="29"/>
  <c r="AV45" i="29" s="1"/>
  <c r="AV84" i="29" s="1"/>
  <c r="AU47" i="29"/>
  <c r="AU86" i="29" s="1"/>
  <c r="AU89" i="29"/>
  <c r="AT77" i="29"/>
  <c r="AT37" i="29"/>
  <c r="AP76" i="27"/>
  <c r="AU45" i="29"/>
  <c r="AU84" i="29" s="1"/>
  <c r="AU42" i="27"/>
  <c r="AU27" i="29"/>
  <c r="AU38" i="27" s="1"/>
  <c r="AN110" i="29"/>
  <c r="AN72" i="29"/>
  <c r="AO71" i="29"/>
  <c r="AM111" i="29"/>
  <c r="AM73" i="29"/>
  <c r="U10" i="25"/>
  <c r="AO68" i="32"/>
  <c r="AP66" i="32"/>
  <c r="AP52" i="27"/>
  <c r="BY52" i="27"/>
  <c r="L50" i="34" s="1"/>
  <c r="U50" i="34" s="1"/>
  <c r="T48" i="27"/>
  <c r="T69" i="27" s="1"/>
  <c r="T65" i="27" s="1"/>
  <c r="T130" i="30"/>
  <c r="T131" i="30" s="1"/>
  <c r="T132" i="30" s="1"/>
  <c r="T133" i="30" s="1"/>
  <c r="U58" i="33"/>
  <c r="U63" i="33"/>
  <c r="U113" i="30"/>
  <c r="U52" i="30"/>
  <c r="U109" i="30"/>
  <c r="U107" i="30" s="1"/>
  <c r="U46" i="30"/>
  <c r="U51" i="30" s="1"/>
  <c r="V62" i="30"/>
  <c r="AR57" i="29"/>
  <c r="AR85" i="29"/>
  <c r="AQ41" i="27"/>
  <c r="AQ89" i="27" s="1"/>
  <c r="AQ96" i="29"/>
  <c r="AQ47" i="27"/>
  <c r="AQ70" i="29"/>
  <c r="Y108" i="31"/>
  <c r="Y45" i="31"/>
  <c r="AQ32" i="31"/>
  <c r="AQ31" i="31"/>
  <c r="AQ33" i="31"/>
  <c r="AQ34" i="31"/>
  <c r="AQ32" i="27"/>
  <c r="AQ81" i="27"/>
  <c r="AR37" i="31"/>
  <c r="AR38" i="31" s="1"/>
  <c r="AR44" i="27"/>
  <c r="AR28" i="27"/>
  <c r="AR29" i="31"/>
  <c r="AR30" i="31"/>
  <c r="AS20" i="27"/>
  <c r="AS24" i="27" s="1"/>
  <c r="AS20" i="31"/>
  <c r="AS36" i="31" s="1"/>
  <c r="AT17" i="31"/>
  <c r="AT18" i="31" s="1"/>
  <c r="AS22" i="31"/>
  <c r="AA50" i="30"/>
  <c r="AA62" i="33"/>
  <c r="S131" i="31"/>
  <c r="S132" i="31" s="1"/>
  <c r="S133" i="31" s="1"/>
  <c r="S45" i="27"/>
  <c r="S78" i="27"/>
  <c r="S74" i="27" s="1"/>
  <c r="S94" i="27" s="1"/>
  <c r="S95" i="27" s="1"/>
  <c r="BJ59" i="28"/>
  <c r="BI60" i="28"/>
  <c r="BI116" i="28"/>
  <c r="CB116" i="28" s="1"/>
  <c r="BH117" i="28"/>
  <c r="BH61" i="28"/>
  <c r="BY64" i="27"/>
  <c r="L61" i="34" s="1"/>
  <c r="U61" i="34" s="1"/>
  <c r="AP64" i="27"/>
  <c r="G74" i="26"/>
  <c r="G75" i="26" s="1"/>
  <c r="G121" i="26"/>
  <c r="AR43" i="27"/>
  <c r="AR37" i="30"/>
  <c r="AR38" i="30" s="1"/>
  <c r="AR18" i="27"/>
  <c r="AR22" i="27" s="1"/>
  <c r="AR23" i="27"/>
  <c r="AR27" i="27"/>
  <c r="AR30" i="30"/>
  <c r="AR29" i="30"/>
  <c r="AS19" i="27"/>
  <c r="AS22" i="30"/>
  <c r="AS20" i="30"/>
  <c r="AS36" i="30" s="1"/>
  <c r="AT17" i="30"/>
  <c r="AT18" i="30" s="1"/>
  <c r="AQ34" i="30"/>
  <c r="AQ32" i="30"/>
  <c r="AQ33" i="30"/>
  <c r="AQ31" i="30"/>
  <c r="AQ26" i="27"/>
  <c r="AQ31" i="27"/>
  <c r="AQ73" i="27"/>
  <c r="Z60" i="30"/>
  <c r="Z53" i="30" s="1"/>
  <c r="Z45" i="30" s="1"/>
  <c r="Y98" i="30"/>
  <c r="T36" i="27"/>
  <c r="T33" i="27" s="1"/>
  <c r="T112" i="31"/>
  <c r="T111" i="31" s="1"/>
  <c r="T54" i="27"/>
  <c r="U40" i="27"/>
  <c r="U37" i="27" s="1"/>
  <c r="U68" i="33"/>
  <c r="U54" i="31"/>
  <c r="U47" i="31"/>
  <c r="AR99" i="31"/>
  <c r="AR105" i="31"/>
  <c r="AR105" i="30"/>
  <c r="AR99" i="30"/>
  <c r="BH11" i="32"/>
  <c r="BH15" i="27"/>
  <c r="BI16" i="29"/>
  <c r="AT64" i="32"/>
  <c r="AT62" i="32" s="1"/>
  <c r="AU37" i="29"/>
  <c r="AU77" i="29"/>
  <c r="AR79" i="32"/>
  <c r="AN93" i="32"/>
  <c r="AN94" i="32" s="1"/>
  <c r="AN95" i="32" s="1"/>
  <c r="AN75" i="27"/>
  <c r="AN67" i="27"/>
  <c r="AN58" i="27"/>
  <c r="AQ68" i="32"/>
  <c r="AS62" i="32"/>
  <c r="AT32" i="32"/>
  <c r="AT31" i="32"/>
  <c r="AT74" i="32" s="1"/>
  <c r="AT75" i="32"/>
  <c r="AT71" i="32"/>
  <c r="AT69" i="32" s="1"/>
  <c r="AT29" i="32"/>
  <c r="AT28" i="32"/>
  <c r="AT27" i="32"/>
  <c r="AT25" i="32"/>
  <c r="AT24" i="32"/>
  <c r="AX12" i="32"/>
  <c r="AX13" i="32" s="1"/>
  <c r="AW15" i="32"/>
  <c r="AV22" i="32"/>
  <c r="AV18" i="32"/>
  <c r="AU30" i="32"/>
  <c r="AU23" i="32"/>
  <c r="AU33" i="32"/>
  <c r="AU26" i="32"/>
  <c r="AU19" i="32"/>
  <c r="AU20" i="32" s="1"/>
  <c r="AX16" i="27"/>
  <c r="AW25" i="27"/>
  <c r="AW50" i="29"/>
  <c r="AW89" i="29" s="1"/>
  <c r="AW26" i="29"/>
  <c r="AW24" i="29"/>
  <c r="AY17" i="29"/>
  <c r="AY18" i="29" s="1"/>
  <c r="AX17" i="27"/>
  <c r="AX22" i="29"/>
  <c r="AX20" i="29"/>
  <c r="AH61" i="33"/>
  <c r="AI64" i="30"/>
  <c r="AI57" i="30" s="1"/>
  <c r="AS46" i="29"/>
  <c r="AS85" i="29" s="1"/>
  <c r="AI65" i="31"/>
  <c r="AI58" i="31" s="1"/>
  <c r="AH71" i="33"/>
  <c r="AI63" i="30"/>
  <c r="AI56" i="30" s="1"/>
  <c r="AH60" i="33"/>
  <c r="AH64" i="31"/>
  <c r="AH57" i="31" s="1"/>
  <c r="AH49" i="31" s="1"/>
  <c r="AH63" i="31"/>
  <c r="AH56" i="31"/>
  <c r="AH48" i="31" s="1"/>
  <c r="AS69" i="32"/>
  <c r="AS73" i="32"/>
  <c r="AS34" i="32"/>
  <c r="AV39" i="29"/>
  <c r="AV78" i="29" s="1"/>
  <c r="AV38" i="29"/>
  <c r="AV77" i="29" s="1"/>
  <c r="AM95" i="32"/>
  <c r="S42" i="20"/>
  <c r="AT73" i="32" l="1"/>
  <c r="AV89" i="29"/>
  <c r="AV47" i="29"/>
  <c r="AV86" i="29" s="1"/>
  <c r="AV25" i="29"/>
  <c r="AQ110" i="30"/>
  <c r="AW45" i="29"/>
  <c r="AW84" i="29" s="1"/>
  <c r="AV27" i="29"/>
  <c r="AV38" i="27" s="1"/>
  <c r="AV42" i="27"/>
  <c r="AT76" i="29"/>
  <c r="AT44" i="29"/>
  <c r="AT83" i="29" s="1"/>
  <c r="AN111" i="29"/>
  <c r="AN73" i="29"/>
  <c r="AO110" i="29"/>
  <c r="AP110" i="29" s="1"/>
  <c r="AO72" i="29"/>
  <c r="AP71" i="29"/>
  <c r="E51" i="36"/>
  <c r="E72" i="36"/>
  <c r="AP68" i="32"/>
  <c r="AO79" i="32"/>
  <c r="AT34" i="32"/>
  <c r="AR53" i="27"/>
  <c r="AR46" i="27"/>
  <c r="AR92" i="32"/>
  <c r="AR96" i="29"/>
  <c r="AR70" i="29"/>
  <c r="AR109" i="29" s="1"/>
  <c r="AR47" i="27"/>
  <c r="AQ59" i="27"/>
  <c r="AQ76" i="27"/>
  <c r="AQ68" i="27"/>
  <c r="AQ109" i="29"/>
  <c r="AQ71" i="29"/>
  <c r="AQ72" i="29" s="1"/>
  <c r="U112" i="30"/>
  <c r="U111" i="30" s="1"/>
  <c r="U117" i="30" s="1"/>
  <c r="U35" i="27"/>
  <c r="V61" i="30"/>
  <c r="V59" i="30" s="1"/>
  <c r="V55" i="30"/>
  <c r="T55" i="27"/>
  <c r="T117" i="31"/>
  <c r="AR41" i="27"/>
  <c r="AR89" i="27" s="1"/>
  <c r="Z60" i="31"/>
  <c r="Z53" i="31" s="1"/>
  <c r="Z45" i="31" s="1"/>
  <c r="Y98" i="31"/>
  <c r="Y97" i="31" s="1"/>
  <c r="Y104" i="31" s="1"/>
  <c r="Y106" i="31" s="1"/>
  <c r="AR32" i="27"/>
  <c r="AR81" i="27"/>
  <c r="AR31" i="31"/>
  <c r="AR32" i="31"/>
  <c r="AR33" i="31"/>
  <c r="AR34" i="31"/>
  <c r="AT20" i="31"/>
  <c r="AT36" i="31" s="1"/>
  <c r="AT22" i="31"/>
  <c r="AT20" i="27"/>
  <c r="AT24" i="27" s="1"/>
  <c r="AU17" i="31"/>
  <c r="AU18" i="31" s="1"/>
  <c r="AS37" i="31"/>
  <c r="AS38" i="31" s="1"/>
  <c r="AS44" i="27"/>
  <c r="AS29" i="31"/>
  <c r="AS30" i="31"/>
  <c r="AS28" i="27"/>
  <c r="AB65" i="30"/>
  <c r="BK59" i="28"/>
  <c r="BJ116" i="28"/>
  <c r="BJ60" i="28"/>
  <c r="BI117" i="28"/>
  <c r="CB117" i="28" s="1"/>
  <c r="BI61" i="28"/>
  <c r="CB61" i="28" s="1"/>
  <c r="O55" i="20" s="1"/>
  <c r="AR26" i="27"/>
  <c r="AR31" i="27"/>
  <c r="AR73" i="27"/>
  <c r="AR33" i="30"/>
  <c r="AR31" i="30"/>
  <c r="AR34" i="30"/>
  <c r="AR32" i="30"/>
  <c r="AS18" i="27"/>
  <c r="AS22" i="27" s="1"/>
  <c r="AS23" i="27"/>
  <c r="AS27" i="27"/>
  <c r="AS30" i="30"/>
  <c r="AS29" i="30"/>
  <c r="AS43" i="27"/>
  <c r="AS37" i="30"/>
  <c r="AS38" i="30" s="1"/>
  <c r="AT19" i="27"/>
  <c r="AT20" i="30"/>
  <c r="AT36" i="30" s="1"/>
  <c r="AT22" i="30"/>
  <c r="AU17" i="30"/>
  <c r="AU18" i="30" s="1"/>
  <c r="AQ30" i="27"/>
  <c r="AQ64" i="27"/>
  <c r="Z108" i="30"/>
  <c r="Y97" i="30"/>
  <c r="U88" i="27"/>
  <c r="U90" i="27"/>
  <c r="U72" i="33"/>
  <c r="U74" i="33" s="1"/>
  <c r="U67" i="33"/>
  <c r="U52" i="31"/>
  <c r="U109" i="31"/>
  <c r="U107" i="31" s="1"/>
  <c r="U54" i="27" s="1"/>
  <c r="U113" i="31"/>
  <c r="V62" i="31"/>
  <c r="U46" i="31"/>
  <c r="U51" i="31" s="1"/>
  <c r="AQ110" i="31"/>
  <c r="S82" i="27"/>
  <c r="AS99" i="31"/>
  <c r="AS105" i="31"/>
  <c r="AS99" i="30"/>
  <c r="AS105" i="30"/>
  <c r="Z98" i="30"/>
  <c r="AA60" i="30"/>
  <c r="BI15" i="27"/>
  <c r="BI11" i="32"/>
  <c r="BJ16" i="29"/>
  <c r="AT66" i="32"/>
  <c r="AT68" i="32" s="1"/>
  <c r="AT79" i="32" s="1"/>
  <c r="AT52" i="27"/>
  <c r="AU76" i="29"/>
  <c r="AU44" i="29"/>
  <c r="AV65" i="32"/>
  <c r="BZ18" i="32"/>
  <c r="M60" i="25" s="1"/>
  <c r="M25" i="25" s="1"/>
  <c r="M23" i="25" s="1"/>
  <c r="BZ42" i="27"/>
  <c r="M44" i="25" s="1"/>
  <c r="AN57" i="27"/>
  <c r="AQ79" i="32"/>
  <c r="AS66" i="32"/>
  <c r="AS52" i="27"/>
  <c r="AY12" i="32"/>
  <c r="AY13" i="32" s="1"/>
  <c r="AX15" i="32"/>
  <c r="AW22" i="32"/>
  <c r="AW18" i="32"/>
  <c r="AW65" i="32" s="1"/>
  <c r="AV30" i="32"/>
  <c r="AV26" i="32"/>
  <c r="AV23" i="32"/>
  <c r="AV33" i="32"/>
  <c r="AV19" i="32"/>
  <c r="AV20" i="32" s="1"/>
  <c r="AV64" i="32" s="1"/>
  <c r="AU32" i="32"/>
  <c r="AU31" i="32"/>
  <c r="AU74" i="32" s="1"/>
  <c r="AU25" i="32"/>
  <c r="AU24" i="32"/>
  <c r="AU75" i="32"/>
  <c r="AU71" i="32"/>
  <c r="AU29" i="32"/>
  <c r="AU28" i="32"/>
  <c r="AU27" i="32"/>
  <c r="AU64" i="32"/>
  <c r="AW87" i="27"/>
  <c r="AW34" i="27"/>
  <c r="AW42" i="27"/>
  <c r="AW27" i="29"/>
  <c r="AW25" i="29"/>
  <c r="AY16" i="27"/>
  <c r="AX25" i="27"/>
  <c r="AX50" i="29"/>
  <c r="AX89" i="29" s="1"/>
  <c r="AX26" i="29"/>
  <c r="AX24" i="29"/>
  <c r="AX45" i="29" s="1"/>
  <c r="AX84" i="29" s="1"/>
  <c r="AZ17" i="29"/>
  <c r="AZ18" i="29" s="1"/>
  <c r="AY17" i="27"/>
  <c r="AY22" i="29"/>
  <c r="AY20" i="29"/>
  <c r="AS57" i="29"/>
  <c r="AS96" i="29" s="1"/>
  <c r="AI64" i="31"/>
  <c r="AI57" i="31" s="1"/>
  <c r="AH70" i="33"/>
  <c r="AI63" i="31"/>
  <c r="AI56" i="31" s="1"/>
  <c r="AH69" i="33"/>
  <c r="AV37" i="29"/>
  <c r="AV76" i="29" s="1"/>
  <c r="AW47" i="29"/>
  <c r="AW86" i="29" s="1"/>
  <c r="AW39" i="29"/>
  <c r="AW78" i="29" s="1"/>
  <c r="AW38" i="29"/>
  <c r="AI49" i="30"/>
  <c r="AI61" i="33"/>
  <c r="AI50" i="31"/>
  <c r="AI71" i="33"/>
  <c r="AI48" i="30"/>
  <c r="AI60" i="33"/>
  <c r="AT46" i="29"/>
  <c r="H33" i="25" l="1"/>
  <c r="H38" i="25" s="1"/>
  <c r="S31" i="25"/>
  <c r="AR67" i="27"/>
  <c r="AR75" i="27"/>
  <c r="AO111" i="29"/>
  <c r="AP111" i="29" s="1"/>
  <c r="AO73" i="29"/>
  <c r="BY73" i="29" s="1"/>
  <c r="L39" i="20" s="1"/>
  <c r="U39" i="20" s="1"/>
  <c r="AP72" i="29"/>
  <c r="AP73" i="29" s="1"/>
  <c r="AP79" i="32"/>
  <c r="AO92" i="32"/>
  <c r="AO46" i="27"/>
  <c r="AU46" i="29"/>
  <c r="AU83" i="29"/>
  <c r="AS53" i="27"/>
  <c r="AR76" i="27"/>
  <c r="AR68" i="27"/>
  <c r="AQ110" i="29"/>
  <c r="AR71" i="29"/>
  <c r="U48" i="27"/>
  <c r="U69" i="27" s="1"/>
  <c r="U65" i="27" s="1"/>
  <c r="U130" i="30"/>
  <c r="V66" i="30"/>
  <c r="V39" i="27"/>
  <c r="V59" i="33"/>
  <c r="V47" i="30"/>
  <c r="V54" i="30"/>
  <c r="AT105" i="31"/>
  <c r="AT99" i="31"/>
  <c r="T49" i="27"/>
  <c r="T130" i="31"/>
  <c r="T131" i="31" s="1"/>
  <c r="T132" i="31" s="1"/>
  <c r="T133" i="31" s="1"/>
  <c r="AR58" i="27"/>
  <c r="AR59" i="27"/>
  <c r="AR57" i="27" s="1"/>
  <c r="AV62" i="32"/>
  <c r="AA60" i="31"/>
  <c r="Z98" i="31"/>
  <c r="Z97" i="31" s="1"/>
  <c r="AA53" i="31"/>
  <c r="Z108" i="31"/>
  <c r="AT37" i="31"/>
  <c r="AT38" i="31" s="1"/>
  <c r="AT44" i="27"/>
  <c r="AT29" i="31"/>
  <c r="AT30" i="31"/>
  <c r="AT28" i="27"/>
  <c r="AU20" i="31"/>
  <c r="AU36" i="31" s="1"/>
  <c r="AU22" i="31"/>
  <c r="AU20" i="27"/>
  <c r="AU24" i="27" s="1"/>
  <c r="AV17" i="31"/>
  <c r="AV18" i="31" s="1"/>
  <c r="AS31" i="31"/>
  <c r="AS32" i="31"/>
  <c r="AS33" i="31"/>
  <c r="AS34" i="31"/>
  <c r="AS32" i="27"/>
  <c r="AS81" i="27"/>
  <c r="BL59" i="28"/>
  <c r="BK60" i="28"/>
  <c r="BK116" i="28"/>
  <c r="BJ61" i="28"/>
  <c r="BJ117" i="28"/>
  <c r="AR30" i="27"/>
  <c r="AR64" i="27"/>
  <c r="AS26" i="27"/>
  <c r="AS31" i="27"/>
  <c r="AS73" i="27"/>
  <c r="AS31" i="30"/>
  <c r="AS32" i="30"/>
  <c r="AS34" i="30"/>
  <c r="AS33" i="30"/>
  <c r="AU22" i="30"/>
  <c r="AU19" i="27"/>
  <c r="AU20" i="30"/>
  <c r="AU36" i="30" s="1"/>
  <c r="AV17" i="30"/>
  <c r="AV18" i="30" s="1"/>
  <c r="AT18" i="27"/>
  <c r="AT22" i="27" s="1"/>
  <c r="AT23" i="27"/>
  <c r="AT37" i="30"/>
  <c r="AT38" i="30" s="1"/>
  <c r="AT43" i="27"/>
  <c r="AT29" i="30"/>
  <c r="AT27" i="27"/>
  <c r="AT30" i="30"/>
  <c r="Y51" i="27"/>
  <c r="Y104" i="30"/>
  <c r="U83" i="27"/>
  <c r="U36" i="27"/>
  <c r="U33" i="27" s="1"/>
  <c r="U112" i="31"/>
  <c r="U111" i="31" s="1"/>
  <c r="AR110" i="31"/>
  <c r="AR110" i="30"/>
  <c r="AS41" i="27"/>
  <c r="AS89" i="27" s="1"/>
  <c r="AC65" i="30"/>
  <c r="AB58" i="30"/>
  <c r="AT105" i="30"/>
  <c r="AT99" i="30"/>
  <c r="V61" i="31"/>
  <c r="V59" i="31" s="1"/>
  <c r="V55" i="31"/>
  <c r="Z97" i="30"/>
  <c r="Z104" i="30" s="1"/>
  <c r="Z106" i="30" s="1"/>
  <c r="AA53" i="30"/>
  <c r="BJ15" i="27"/>
  <c r="BJ11" i="32"/>
  <c r="BK16" i="29"/>
  <c r="AW37" i="29"/>
  <c r="AW77" i="29"/>
  <c r="M11" i="25"/>
  <c r="AQ111" i="29"/>
  <c r="AQ73" i="29"/>
  <c r="AT57" i="29"/>
  <c r="AT85" i="29"/>
  <c r="AQ46" i="27"/>
  <c r="AQ92" i="32"/>
  <c r="AS68" i="32"/>
  <c r="AX22" i="32"/>
  <c r="AX18" i="32"/>
  <c r="AX65" i="32" s="1"/>
  <c r="AZ12" i="32"/>
  <c r="AZ13" i="32" s="1"/>
  <c r="AY15" i="32"/>
  <c r="AW30" i="32"/>
  <c r="AW23" i="32"/>
  <c r="AW33" i="32"/>
  <c r="AW26" i="32"/>
  <c r="AW19" i="32"/>
  <c r="AW20" i="32" s="1"/>
  <c r="AV31" i="32"/>
  <c r="AV74" i="32" s="1"/>
  <c r="AV32" i="32"/>
  <c r="AV75" i="32"/>
  <c r="AV71" i="32"/>
  <c r="AV69" i="32" s="1"/>
  <c r="AV29" i="32"/>
  <c r="AV28" i="32"/>
  <c r="AV27" i="32"/>
  <c r="AV25" i="32"/>
  <c r="AV24" i="32"/>
  <c r="AU73" i="32"/>
  <c r="AU34" i="32"/>
  <c r="AU69" i="32"/>
  <c r="AU62" i="32"/>
  <c r="AW38" i="27"/>
  <c r="AX87" i="27"/>
  <c r="AX34" i="27"/>
  <c r="AX42" i="27"/>
  <c r="AX27" i="29"/>
  <c r="AX25" i="29"/>
  <c r="AZ16" i="27"/>
  <c r="AY25" i="27"/>
  <c r="AY50" i="29"/>
  <c r="AY89" i="29" s="1"/>
  <c r="AY26" i="29"/>
  <c r="AY24" i="29"/>
  <c r="AY45" i="29" s="1"/>
  <c r="AY84" i="29" s="1"/>
  <c r="BA17" i="29"/>
  <c r="BA18" i="29" s="1"/>
  <c r="AZ17" i="27"/>
  <c r="AZ22" i="29"/>
  <c r="AZ20" i="29"/>
  <c r="AS47" i="27"/>
  <c r="AS70" i="29"/>
  <c r="AS109" i="29" s="1"/>
  <c r="AV44" i="29"/>
  <c r="AV83" i="29" s="1"/>
  <c r="AT46" i="27"/>
  <c r="AT92" i="32"/>
  <c r="AJ64" i="30"/>
  <c r="AJ57" i="30" s="1"/>
  <c r="AJ49" i="30" s="1"/>
  <c r="AJ65" i="31"/>
  <c r="AJ58" i="31" s="1"/>
  <c r="AJ50" i="31" s="1"/>
  <c r="AJ63" i="30"/>
  <c r="AJ56" i="30" s="1"/>
  <c r="AJ48" i="30" s="1"/>
  <c r="AX47" i="29"/>
  <c r="AX86" i="29" s="1"/>
  <c r="AX39" i="29"/>
  <c r="AX78" i="29" s="1"/>
  <c r="AX38" i="29"/>
  <c r="AX77" i="29" s="1"/>
  <c r="AI49" i="31"/>
  <c r="AI70" i="33"/>
  <c r="AI48" i="31"/>
  <c r="AI69" i="33"/>
  <c r="S33" i="25" l="1"/>
  <c r="C58" i="36" s="1"/>
  <c r="C88" i="36" s="1"/>
  <c r="C107" i="36" s="1"/>
  <c r="S38" i="25"/>
  <c r="C62" i="36" s="1"/>
  <c r="AP92" i="32"/>
  <c r="AO93" i="32"/>
  <c r="AO75" i="27"/>
  <c r="AP75" i="27" s="1"/>
  <c r="AP46" i="27"/>
  <c r="AO67" i="27"/>
  <c r="AP67" i="27" s="1"/>
  <c r="AO58" i="27"/>
  <c r="AU85" i="29"/>
  <c r="AU57" i="29"/>
  <c r="AT53" i="27"/>
  <c r="AR110" i="29"/>
  <c r="AR72" i="29"/>
  <c r="T78" i="27"/>
  <c r="T74" i="27" s="1"/>
  <c r="T94" i="27" s="1"/>
  <c r="T95" i="27" s="1"/>
  <c r="T45" i="27"/>
  <c r="T82" i="27" s="1"/>
  <c r="U131" i="30"/>
  <c r="U132" i="30" s="1"/>
  <c r="U133" i="30" s="1"/>
  <c r="V63" i="33"/>
  <c r="V58" i="33"/>
  <c r="W62" i="30"/>
  <c r="V46" i="30"/>
  <c r="V51" i="30" s="1"/>
  <c r="V52" i="30"/>
  <c r="V109" i="30"/>
  <c r="V107" i="30" s="1"/>
  <c r="V113" i="30"/>
  <c r="AU105" i="30"/>
  <c r="AU99" i="30"/>
  <c r="AV66" i="32"/>
  <c r="AV68" i="32" s="1"/>
  <c r="AV52" i="27"/>
  <c r="AS110" i="30"/>
  <c r="AT41" i="27"/>
  <c r="AT89" i="27" s="1"/>
  <c r="AS110" i="31"/>
  <c r="AA108" i="31"/>
  <c r="AA45" i="31"/>
  <c r="AT31" i="31"/>
  <c r="AT32" i="31"/>
  <c r="AT33" i="31"/>
  <c r="AT34" i="31"/>
  <c r="AT32" i="27"/>
  <c r="AT81" i="27"/>
  <c r="AV20" i="31"/>
  <c r="AV36" i="31" s="1"/>
  <c r="AV22" i="31"/>
  <c r="AV20" i="27"/>
  <c r="AV24" i="27" s="1"/>
  <c r="AW17" i="31"/>
  <c r="AW18" i="31" s="1"/>
  <c r="AU37" i="31"/>
  <c r="AU38" i="31" s="1"/>
  <c r="AU44" i="27"/>
  <c r="AU29" i="31"/>
  <c r="AU30" i="31"/>
  <c r="AU28" i="27"/>
  <c r="BL116" i="28"/>
  <c r="BL60" i="28"/>
  <c r="BM59" i="28"/>
  <c r="BN59" i="28" s="1"/>
  <c r="BK61" i="28"/>
  <c r="BK117" i="28"/>
  <c r="AS64" i="27"/>
  <c r="AS30" i="27"/>
  <c r="AV20" i="30"/>
  <c r="AV36" i="30" s="1"/>
  <c r="AV19" i="27"/>
  <c r="AV22" i="30"/>
  <c r="AW17" i="30"/>
  <c r="AW18" i="30" s="1"/>
  <c r="AU27" i="27"/>
  <c r="AU29" i="30"/>
  <c r="AU30" i="30"/>
  <c r="AU18" i="27"/>
  <c r="AU22" i="27" s="1"/>
  <c r="AU23" i="27"/>
  <c r="AU37" i="30"/>
  <c r="AU38" i="30" s="1"/>
  <c r="AU43" i="27"/>
  <c r="AT31" i="27"/>
  <c r="AT26" i="27"/>
  <c r="AT58" i="27" s="1"/>
  <c r="AT73" i="27"/>
  <c r="AT34" i="30"/>
  <c r="AT31" i="30"/>
  <c r="AT32" i="30"/>
  <c r="AT33" i="30"/>
  <c r="Y106" i="30"/>
  <c r="U55" i="27"/>
  <c r="U117" i="31"/>
  <c r="AB62" i="33"/>
  <c r="AC62" i="33" s="1"/>
  <c r="AC58" i="30"/>
  <c r="AB50" i="30"/>
  <c r="AC50" i="30" s="1"/>
  <c r="AD65" i="30" s="1"/>
  <c r="AD58" i="30" s="1"/>
  <c r="V40" i="27"/>
  <c r="V37" i="27" s="1"/>
  <c r="V68" i="33"/>
  <c r="V54" i="31"/>
  <c r="V47" i="31"/>
  <c r="AA108" i="30"/>
  <c r="AA45" i="30"/>
  <c r="AV34" i="32"/>
  <c r="Z51" i="27"/>
  <c r="Z104" i="31"/>
  <c r="Z106" i="31" s="1"/>
  <c r="AU99" i="31"/>
  <c r="AU105" i="31"/>
  <c r="BK15" i="27"/>
  <c r="BK11" i="32"/>
  <c r="BL16" i="29"/>
  <c r="AW76" i="29"/>
  <c r="AW44" i="29"/>
  <c r="AT96" i="29"/>
  <c r="AT70" i="29"/>
  <c r="AT47" i="27"/>
  <c r="AV73" i="32"/>
  <c r="AQ75" i="27"/>
  <c r="AQ67" i="27"/>
  <c r="AQ58" i="27"/>
  <c r="AQ93" i="32"/>
  <c r="AQ94" i="32" s="1"/>
  <c r="AS79" i="32"/>
  <c r="AX30" i="32"/>
  <c r="AX26" i="32"/>
  <c r="AX23" i="32"/>
  <c r="AX33" i="32"/>
  <c r="AX19" i="32"/>
  <c r="AY22" i="32"/>
  <c r="AY18" i="32"/>
  <c r="AY65" i="32" s="1"/>
  <c r="BA12" i="32"/>
  <c r="BA13" i="32" s="1"/>
  <c r="AZ15" i="32"/>
  <c r="AW31" i="32"/>
  <c r="AW74" i="32" s="1"/>
  <c r="AW32" i="32"/>
  <c r="AW25" i="32"/>
  <c r="AW24" i="32"/>
  <c r="AW75" i="32"/>
  <c r="AW71" i="32"/>
  <c r="AW29" i="32"/>
  <c r="AW28" i="32"/>
  <c r="AW27" i="32"/>
  <c r="AW64" i="32"/>
  <c r="AU66" i="32"/>
  <c r="AU52" i="27"/>
  <c r="AY87" i="27"/>
  <c r="AY34" i="27"/>
  <c r="AY42" i="27"/>
  <c r="AY27" i="29"/>
  <c r="AY25" i="29"/>
  <c r="BA16" i="27"/>
  <c r="AZ25" i="27"/>
  <c r="AZ50" i="29"/>
  <c r="AZ89" i="29" s="1"/>
  <c r="AZ26" i="29"/>
  <c r="AZ24" i="29"/>
  <c r="AZ45" i="29" s="1"/>
  <c r="AZ84" i="29" s="1"/>
  <c r="BB17" i="29"/>
  <c r="BC17" i="29" s="1"/>
  <c r="BA17" i="27"/>
  <c r="BA22" i="29"/>
  <c r="BA20" i="29"/>
  <c r="AS76" i="27"/>
  <c r="AS68" i="27"/>
  <c r="AS59" i="27"/>
  <c r="AS71" i="29"/>
  <c r="AS110" i="29" s="1"/>
  <c r="AV46" i="29"/>
  <c r="AV85" i="29" s="1"/>
  <c r="AT75" i="27"/>
  <c r="AT67" i="27"/>
  <c r="AK64" i="30"/>
  <c r="AK57" i="30" s="1"/>
  <c r="AJ61" i="33"/>
  <c r="AK65" i="31"/>
  <c r="AK58" i="31" s="1"/>
  <c r="AJ71" i="33"/>
  <c r="AK63" i="30"/>
  <c r="AK56" i="30" s="1"/>
  <c r="AJ60" i="33"/>
  <c r="AX37" i="29"/>
  <c r="AX76" i="29" s="1"/>
  <c r="AJ64" i="31"/>
  <c r="AJ57" i="31" s="1"/>
  <c r="AJ49" i="31" s="1"/>
  <c r="AJ63" i="31"/>
  <c r="AJ56" i="31" s="1"/>
  <c r="AJ48" i="31" s="1"/>
  <c r="AX38" i="27"/>
  <c r="AY47" i="29"/>
  <c r="AY86" i="29" s="1"/>
  <c r="AY39" i="29"/>
  <c r="AY78" i="29" s="1"/>
  <c r="AY38" i="29"/>
  <c r="AY77" i="29" s="1"/>
  <c r="AW46" i="29" l="1"/>
  <c r="AW83" i="29"/>
  <c r="BB18" i="29"/>
  <c r="BC18" i="29" s="1"/>
  <c r="AV99" i="31"/>
  <c r="AV105" i="31"/>
  <c r="AO94" i="32"/>
  <c r="AP93" i="32"/>
  <c r="AP58" i="27"/>
  <c r="AO57" i="27"/>
  <c r="AP57" i="27" s="1"/>
  <c r="AU47" i="27"/>
  <c r="AU70" i="29"/>
  <c r="AU109" i="29" s="1"/>
  <c r="AU96" i="29"/>
  <c r="BZ52" i="27"/>
  <c r="M50" i="34" s="1"/>
  <c r="AR111" i="29"/>
  <c r="AR73" i="29"/>
  <c r="AU53" i="27"/>
  <c r="V112" i="30"/>
  <c r="V111" i="30" s="1"/>
  <c r="V117" i="30" s="1"/>
  <c r="V35" i="27"/>
  <c r="W61" i="30"/>
  <c r="W59" i="30" s="1"/>
  <c r="W55" i="30"/>
  <c r="AV79" i="32"/>
  <c r="AV99" i="30"/>
  <c r="AV105" i="30"/>
  <c r="AU41" i="27"/>
  <c r="AU89" i="27" s="1"/>
  <c r="AB60" i="31"/>
  <c r="AB53" i="31" s="1"/>
  <c r="AA98" i="31"/>
  <c r="AA97" i="31" s="1"/>
  <c r="AA104" i="31" s="1"/>
  <c r="AA106" i="31" s="1"/>
  <c r="AW20" i="31"/>
  <c r="AW36" i="31" s="1"/>
  <c r="AW22" i="31"/>
  <c r="AW20" i="27"/>
  <c r="AW24" i="27" s="1"/>
  <c r="AX17" i="31"/>
  <c r="AW105" i="31"/>
  <c r="AW99" i="31"/>
  <c r="AV37" i="31"/>
  <c r="AV38" i="31" s="1"/>
  <c r="AV44" i="27"/>
  <c r="BZ44" i="27" s="1"/>
  <c r="M46" i="25" s="1"/>
  <c r="M13" i="25" s="1"/>
  <c r="AV29" i="31"/>
  <c r="AV30" i="31"/>
  <c r="AV28" i="27"/>
  <c r="AU31" i="31"/>
  <c r="AU32" i="31"/>
  <c r="AU33" i="31"/>
  <c r="AU34" i="31"/>
  <c r="AU32" i="27"/>
  <c r="AU81" i="27"/>
  <c r="BN116" i="28"/>
  <c r="BN60" i="28"/>
  <c r="BO59" i="28"/>
  <c r="BP59" i="28" s="1"/>
  <c r="BP116" i="28" s="1"/>
  <c r="BL117" i="28"/>
  <c r="BL61" i="28"/>
  <c r="BM116" i="28"/>
  <c r="BM60" i="28"/>
  <c r="AV37" i="30"/>
  <c r="AV38" i="30" s="1"/>
  <c r="AV43" i="27"/>
  <c r="AV23" i="27"/>
  <c r="AV18" i="27"/>
  <c r="AV22" i="27" s="1"/>
  <c r="AV27" i="27"/>
  <c r="AV30" i="30"/>
  <c r="AV29" i="30"/>
  <c r="AW22" i="30"/>
  <c r="AW19" i="27"/>
  <c r="AW20" i="30"/>
  <c r="AW36" i="30" s="1"/>
  <c r="AX17" i="30"/>
  <c r="AX18" i="30" s="1"/>
  <c r="AU26" i="27"/>
  <c r="AU31" i="27"/>
  <c r="AU73" i="27"/>
  <c r="AU31" i="30"/>
  <c r="AU33" i="30"/>
  <c r="AU34" i="30"/>
  <c r="AU32" i="30"/>
  <c r="AT64" i="27"/>
  <c r="AT30" i="27"/>
  <c r="U130" i="31"/>
  <c r="U49" i="27"/>
  <c r="AD50" i="30"/>
  <c r="AD62" i="33"/>
  <c r="V88" i="27"/>
  <c r="V90" i="27"/>
  <c r="BV90" i="27" s="1"/>
  <c r="V72" i="33"/>
  <c r="V74" i="33" s="1"/>
  <c r="BV74" i="33" s="1"/>
  <c r="I197" i="23" s="1"/>
  <c r="I68" i="34" s="1"/>
  <c r="V67" i="33"/>
  <c r="V52" i="31"/>
  <c r="V109" i="31"/>
  <c r="V107" i="31" s="1"/>
  <c r="V113" i="31"/>
  <c r="W62" i="31"/>
  <c r="V46" i="31"/>
  <c r="V51" i="31" s="1"/>
  <c r="AB60" i="30"/>
  <c r="AA98" i="30"/>
  <c r="AT110" i="31"/>
  <c r="AT110" i="30"/>
  <c r="AW57" i="29"/>
  <c r="AW85" i="29"/>
  <c r="BL11" i="32"/>
  <c r="BL15" i="27"/>
  <c r="BM16" i="29"/>
  <c r="AT109" i="29"/>
  <c r="AT71" i="29"/>
  <c r="AT68" i="27"/>
  <c r="AT76" i="27"/>
  <c r="AT59" i="27"/>
  <c r="AT57" i="27" s="1"/>
  <c r="AP94" i="32"/>
  <c r="AP95" i="32" s="1"/>
  <c r="AO95" i="32"/>
  <c r="BY95" i="32" s="1"/>
  <c r="L36" i="20" s="1"/>
  <c r="U36" i="20" s="1"/>
  <c r="AS72" i="29"/>
  <c r="AK48" i="30"/>
  <c r="AL63" i="30" s="1"/>
  <c r="AL56" i="30" s="1"/>
  <c r="AL48" i="30" s="1"/>
  <c r="AK60" i="33"/>
  <c r="AQ57" i="27"/>
  <c r="AQ95" i="32"/>
  <c r="AR93" i="32"/>
  <c r="AS92" i="32"/>
  <c r="AS46" i="27"/>
  <c r="AX31" i="32"/>
  <c r="AX32" i="32"/>
  <c r="AX75" i="32"/>
  <c r="AX71" i="32"/>
  <c r="AX69" i="32" s="1"/>
  <c r="AX29" i="32"/>
  <c r="AX28" i="32"/>
  <c r="AX27" i="32"/>
  <c r="AX74" i="32"/>
  <c r="AX25" i="32"/>
  <c r="AX24" i="32"/>
  <c r="AY33" i="32"/>
  <c r="AY30" i="32"/>
  <c r="AY23" i="32"/>
  <c r="AY26" i="32"/>
  <c r="AY19" i="32"/>
  <c r="AY20" i="32" s="1"/>
  <c r="BB12" i="32"/>
  <c r="BA15" i="32"/>
  <c r="AZ22" i="32"/>
  <c r="AZ18" i="32"/>
  <c r="AZ65" i="32" s="1"/>
  <c r="AW73" i="32"/>
  <c r="AW34" i="32"/>
  <c r="AW69" i="32"/>
  <c r="AW62" i="32"/>
  <c r="AU68" i="32"/>
  <c r="AZ87" i="27"/>
  <c r="AZ34" i="27"/>
  <c r="AZ42" i="27"/>
  <c r="AZ27" i="29"/>
  <c r="AZ25" i="29"/>
  <c r="BB16" i="27"/>
  <c r="BA25" i="27"/>
  <c r="BA50" i="29"/>
  <c r="BA26" i="29"/>
  <c r="BA24" i="29"/>
  <c r="BA45" i="29" s="1"/>
  <c r="BA84" i="29" s="1"/>
  <c r="BB17" i="27"/>
  <c r="BB22" i="29"/>
  <c r="BB20" i="29"/>
  <c r="AV57" i="29"/>
  <c r="AV96" i="29" s="1"/>
  <c r="AX44" i="29"/>
  <c r="AX83" i="29" s="1"/>
  <c r="AK64" i="31"/>
  <c r="AK57" i="31" s="1"/>
  <c r="AJ70" i="33"/>
  <c r="AK63" i="31"/>
  <c r="AK56" i="31" s="1"/>
  <c r="AJ69" i="33"/>
  <c r="AX20" i="32"/>
  <c r="AX64" i="32" s="1"/>
  <c r="AX62" i="32" s="1"/>
  <c r="AY38" i="27"/>
  <c r="AZ47" i="29"/>
  <c r="AZ86" i="29" s="1"/>
  <c r="AZ39" i="29"/>
  <c r="AZ78" i="29" s="1"/>
  <c r="AZ38" i="29"/>
  <c r="AK49" i="30"/>
  <c r="AK61" i="33"/>
  <c r="AK50" i="31"/>
  <c r="AK71" i="33"/>
  <c r="AY37" i="29"/>
  <c r="AY76" i="29" s="1"/>
  <c r="AV53" i="27" l="1"/>
  <c r="BZ53" i="27" s="1"/>
  <c r="M57" i="34" s="1"/>
  <c r="AX34" i="32"/>
  <c r="AU68" i="27"/>
  <c r="AU76" i="27"/>
  <c r="V48" i="27"/>
  <c r="V69" i="27" s="1"/>
  <c r="V65" i="27" s="1"/>
  <c r="V130" i="30"/>
  <c r="V131" i="30" s="1"/>
  <c r="V132" i="30" s="1"/>
  <c r="V133" i="30" s="1"/>
  <c r="BV133" i="30" s="1"/>
  <c r="I42" i="20" s="1"/>
  <c r="W66" i="30"/>
  <c r="W39" i="27"/>
  <c r="W54" i="30"/>
  <c r="W59" i="33"/>
  <c r="W47" i="30"/>
  <c r="AV92" i="32"/>
  <c r="AV46" i="27"/>
  <c r="AU110" i="31"/>
  <c r="AU110" i="30"/>
  <c r="AW47" i="27"/>
  <c r="AW96" i="29"/>
  <c r="AW70" i="29"/>
  <c r="AW109" i="29" s="1"/>
  <c r="AB45" i="31"/>
  <c r="AC53" i="31"/>
  <c r="AB108" i="31"/>
  <c r="AC60" i="31"/>
  <c r="AW44" i="27"/>
  <c r="AW37" i="31"/>
  <c r="AW38" i="31" s="1"/>
  <c r="AW29" i="31"/>
  <c r="AW28" i="27"/>
  <c r="AW30" i="31"/>
  <c r="AX18" i="31"/>
  <c r="AV31" i="31"/>
  <c r="AV32" i="31"/>
  <c r="AV34" i="31"/>
  <c r="AV33" i="31"/>
  <c r="AV32" i="27"/>
  <c r="AV81" i="27"/>
  <c r="BZ81" i="27" s="1"/>
  <c r="BN117" i="28"/>
  <c r="BN61" i="28"/>
  <c r="BO60" i="28"/>
  <c r="BP60" i="28" s="1"/>
  <c r="BO116" i="28"/>
  <c r="CC116" i="28" s="1"/>
  <c r="BM117" i="28"/>
  <c r="BM61" i="28"/>
  <c r="AV41" i="27"/>
  <c r="AV89" i="27" s="1"/>
  <c r="BZ89" i="27" s="1"/>
  <c r="BZ43" i="27"/>
  <c r="M45" i="25" s="1"/>
  <c r="M12" i="25" s="1"/>
  <c r="M10" i="25" s="1"/>
  <c r="AV31" i="27"/>
  <c r="AV26" i="27"/>
  <c r="AV73" i="27"/>
  <c r="BZ73" i="27" s="1"/>
  <c r="AV32" i="30"/>
  <c r="AV34" i="30"/>
  <c r="AV33" i="30"/>
  <c r="AV31" i="30"/>
  <c r="AW29" i="30"/>
  <c r="AW30" i="30"/>
  <c r="AW27" i="27"/>
  <c r="AW18" i="27"/>
  <c r="AW22" i="27" s="1"/>
  <c r="AW23" i="27"/>
  <c r="AW43" i="27"/>
  <c r="AW37" i="30"/>
  <c r="AW38" i="30" s="1"/>
  <c r="AY17" i="30"/>
  <c r="AY18" i="30" s="1"/>
  <c r="AX19" i="27"/>
  <c r="AX22" i="30"/>
  <c r="AX20" i="30"/>
  <c r="AX36" i="30" s="1"/>
  <c r="AU59" i="27"/>
  <c r="AU30" i="27"/>
  <c r="AU64" i="27"/>
  <c r="U131" i="31"/>
  <c r="U132" i="31" s="1"/>
  <c r="U133" i="31" s="1"/>
  <c r="U45" i="27"/>
  <c r="U78" i="27"/>
  <c r="U74" i="27" s="1"/>
  <c r="U94" i="27" s="1"/>
  <c r="U95" i="27" s="1"/>
  <c r="AE65" i="30"/>
  <c r="AE58" i="30" s="1"/>
  <c r="BV88" i="27"/>
  <c r="V83" i="27"/>
  <c r="BV83" i="27" s="1"/>
  <c r="V36" i="27"/>
  <c r="V33" i="27" s="1"/>
  <c r="V112" i="31"/>
  <c r="V54" i="27"/>
  <c r="BV54" i="27" s="1"/>
  <c r="I60" i="34" s="1"/>
  <c r="I59" i="34" s="1"/>
  <c r="W61" i="31"/>
  <c r="W59" i="31" s="1"/>
  <c r="W55" i="31"/>
  <c r="AC60" i="30"/>
  <c r="AB53" i="30"/>
  <c r="AA97" i="30"/>
  <c r="AW105" i="30"/>
  <c r="AW53" i="27" s="1"/>
  <c r="AW99" i="30"/>
  <c r="BC12" i="32"/>
  <c r="BB13" i="32"/>
  <c r="BM15" i="27"/>
  <c r="BM11" i="32"/>
  <c r="BN16" i="29"/>
  <c r="AT110" i="29"/>
  <c r="AT72" i="29"/>
  <c r="AU71" i="29"/>
  <c r="BA38" i="29"/>
  <c r="BA39" i="29"/>
  <c r="BA78" i="29" s="1"/>
  <c r="BA47" i="29"/>
  <c r="BA86" i="29" s="1"/>
  <c r="BA89" i="29"/>
  <c r="AZ37" i="29"/>
  <c r="AZ77" i="29"/>
  <c r="AX73" i="32"/>
  <c r="AS73" i="29"/>
  <c r="AS111" i="29"/>
  <c r="AS93" i="32"/>
  <c r="AS75" i="27"/>
  <c r="AS67" i="27"/>
  <c r="AS58" i="27"/>
  <c r="AY31" i="32"/>
  <c r="AY74" i="32" s="1"/>
  <c r="AY32" i="32"/>
  <c r="AY25" i="32"/>
  <c r="AY24" i="32"/>
  <c r="AY75" i="32"/>
  <c r="AY71" i="32"/>
  <c r="AY29" i="32"/>
  <c r="AY28" i="32"/>
  <c r="AY27" i="32"/>
  <c r="AY64" i="32"/>
  <c r="BA22" i="32"/>
  <c r="BA18" i="32"/>
  <c r="BA65" i="32" s="1"/>
  <c r="AZ33" i="32"/>
  <c r="AZ30" i="32"/>
  <c r="AZ26" i="32"/>
  <c r="AZ23" i="32"/>
  <c r="AZ19" i="32"/>
  <c r="AW52" i="27"/>
  <c r="AW66" i="32"/>
  <c r="AU79" i="32"/>
  <c r="BA87" i="27"/>
  <c r="BA34" i="27"/>
  <c r="BA42" i="27"/>
  <c r="BA27" i="29"/>
  <c r="BA25" i="29"/>
  <c r="BC16" i="27"/>
  <c r="BC17" i="27"/>
  <c r="BB25" i="27"/>
  <c r="BB50" i="29"/>
  <c r="BB89" i="29" s="1"/>
  <c r="BC22" i="29"/>
  <c r="BB26" i="29"/>
  <c r="BB24" i="29"/>
  <c r="BB45" i="29" s="1"/>
  <c r="BB84" i="29" s="1"/>
  <c r="BC84" i="29" s="1"/>
  <c r="BC20" i="29"/>
  <c r="BC24" i="29" s="1"/>
  <c r="BD17" i="29"/>
  <c r="H43" i="26"/>
  <c r="BD18" i="29"/>
  <c r="G123" i="26"/>
  <c r="AP62" i="27"/>
  <c r="AV47" i="27"/>
  <c r="AV70" i="29"/>
  <c r="AV109" i="29" s="1"/>
  <c r="AL60" i="33"/>
  <c r="AM63" i="30"/>
  <c r="AM56" i="30" s="1"/>
  <c r="AX46" i="29"/>
  <c r="AX85" i="29" s="1"/>
  <c r="AX52" i="27"/>
  <c r="AX66" i="32"/>
  <c r="AX68" i="32" s="1"/>
  <c r="AL64" i="30"/>
  <c r="AL57" i="30" s="1"/>
  <c r="AL49" i="30" s="1"/>
  <c r="AL65" i="31"/>
  <c r="AL58" i="31" s="1"/>
  <c r="AL50" i="31" s="1"/>
  <c r="AY44" i="29"/>
  <c r="AR94" i="32"/>
  <c r="AZ38" i="27"/>
  <c r="AK49" i="31"/>
  <c r="AK70" i="33"/>
  <c r="AK48" i="31"/>
  <c r="AK69" i="33"/>
  <c r="AV110" i="30" l="1"/>
  <c r="BB15" i="32"/>
  <c r="BC13" i="32"/>
  <c r="BD12" i="32" s="1"/>
  <c r="BD13" i="32" s="1"/>
  <c r="AV67" i="27"/>
  <c r="AV75" i="27"/>
  <c r="AV58" i="27"/>
  <c r="W109" i="30"/>
  <c r="W107" i="30" s="1"/>
  <c r="W113" i="30"/>
  <c r="W52" i="30"/>
  <c r="W63" i="33"/>
  <c r="W58" i="33"/>
  <c r="W46" i="30"/>
  <c r="W51" i="30" s="1"/>
  <c r="X62" i="30"/>
  <c r="AW76" i="27"/>
  <c r="AW68" i="27"/>
  <c r="U82" i="27"/>
  <c r="AT111" i="29"/>
  <c r="AT73" i="29"/>
  <c r="AW41" i="27"/>
  <c r="AW89" i="27" s="1"/>
  <c r="AB98" i="31"/>
  <c r="AC45" i="31"/>
  <c r="AC108" i="31"/>
  <c r="AW32" i="27"/>
  <c r="AW81" i="27"/>
  <c r="AW34" i="31"/>
  <c r="AW33" i="31"/>
  <c r="AW31" i="31"/>
  <c r="AW32" i="31"/>
  <c r="AX20" i="31"/>
  <c r="AX36" i="31" s="1"/>
  <c r="AX20" i="27"/>
  <c r="AY17" i="31"/>
  <c r="AY18" i="31" s="1"/>
  <c r="AX22" i="31"/>
  <c r="BO61" i="28"/>
  <c r="CC61" i="28" s="1"/>
  <c r="P55" i="20" s="1"/>
  <c r="W55" i="20" s="1"/>
  <c r="BO117" i="28"/>
  <c r="CC117" i="28" s="1"/>
  <c r="I127" i="26"/>
  <c r="BP62" i="28"/>
  <c r="BP61" i="28"/>
  <c r="BP117" i="28"/>
  <c r="AV30" i="27"/>
  <c r="AV64" i="27"/>
  <c r="BZ64" i="27" s="1"/>
  <c r="M61" i="34" s="1"/>
  <c r="AW31" i="30"/>
  <c r="AW34" i="30"/>
  <c r="AW32" i="30"/>
  <c r="AW33" i="30"/>
  <c r="AW31" i="27"/>
  <c r="AW26" i="27"/>
  <c r="AW73" i="27"/>
  <c r="AZ17" i="30"/>
  <c r="AZ18" i="30" s="1"/>
  <c r="AY20" i="30"/>
  <c r="AY36" i="30" s="1"/>
  <c r="AY22" i="30"/>
  <c r="AY19" i="27"/>
  <c r="AX23" i="27"/>
  <c r="AX30" i="30"/>
  <c r="AX29" i="30"/>
  <c r="AX27" i="27"/>
  <c r="AX43" i="27"/>
  <c r="AX37" i="30"/>
  <c r="AX38" i="30" s="1"/>
  <c r="I18" i="34"/>
  <c r="W40" i="27"/>
  <c r="W37" i="27" s="1"/>
  <c r="W54" i="31"/>
  <c r="W68" i="33"/>
  <c r="W47" i="31"/>
  <c r="AB45" i="30"/>
  <c r="AC53" i="30"/>
  <c r="AB108" i="30"/>
  <c r="AA51" i="27"/>
  <c r="AA104" i="30"/>
  <c r="AV110" i="31"/>
  <c r="AX105" i="30"/>
  <c r="AX99" i="30"/>
  <c r="AE62" i="33"/>
  <c r="AE50" i="30"/>
  <c r="AF65" i="30" s="1"/>
  <c r="AF58" i="30" s="1"/>
  <c r="V111" i="31"/>
  <c r="BN11" i="32"/>
  <c r="BN15" i="27"/>
  <c r="BO16" i="29"/>
  <c r="BC89" i="29"/>
  <c r="AU110" i="29"/>
  <c r="AU72" i="29"/>
  <c r="BA77" i="29"/>
  <c r="BA37" i="29"/>
  <c r="AZ76" i="29"/>
  <c r="AZ44" i="29"/>
  <c r="AY46" i="29"/>
  <c r="AY83" i="29"/>
  <c r="AX79" i="32"/>
  <c r="AT93" i="32"/>
  <c r="AT94" i="32" s="1"/>
  <c r="AS94" i="32"/>
  <c r="AS95" i="32" s="1"/>
  <c r="AS57" i="27"/>
  <c r="AY73" i="32"/>
  <c r="AY34" i="32"/>
  <c r="AY69" i="32"/>
  <c r="AY62" i="32"/>
  <c r="BA33" i="32"/>
  <c r="BA30" i="32"/>
  <c r="BA26" i="32"/>
  <c r="BA23" i="32"/>
  <c r="BA19" i="32"/>
  <c r="BA20" i="32" s="1"/>
  <c r="AZ31" i="32"/>
  <c r="AZ74" i="32" s="1"/>
  <c r="AZ32" i="32"/>
  <c r="AZ75" i="32"/>
  <c r="AZ71" i="32"/>
  <c r="AZ69" i="32" s="1"/>
  <c r="AZ29" i="32"/>
  <c r="AZ28" i="32"/>
  <c r="AZ27" i="32"/>
  <c r="AZ25" i="32"/>
  <c r="AZ24" i="32"/>
  <c r="AW68" i="32"/>
  <c r="AU92" i="32"/>
  <c r="AU46" i="27"/>
  <c r="BD16" i="27"/>
  <c r="H131" i="26"/>
  <c r="H130" i="26" s="1"/>
  <c r="BB87" i="27"/>
  <c r="BC50" i="29"/>
  <c r="BB47" i="29"/>
  <c r="BB86" i="29" s="1"/>
  <c r="BC86" i="29" s="1"/>
  <c r="H48" i="26"/>
  <c r="H119" i="26" s="1"/>
  <c r="BC25" i="27"/>
  <c r="BC26" i="29"/>
  <c r="BB34" i="27"/>
  <c r="BC34" i="27" s="1"/>
  <c r="BB42" i="27"/>
  <c r="CA42" i="27" s="1"/>
  <c r="N44" i="25" s="1"/>
  <c r="BB27" i="29"/>
  <c r="BB25" i="29"/>
  <c r="BC25" i="29"/>
  <c r="H46" i="26"/>
  <c r="H117" i="26"/>
  <c r="BE17" i="29"/>
  <c r="BD17" i="27"/>
  <c r="BD22" i="29"/>
  <c r="BD20" i="29"/>
  <c r="BE18" i="29"/>
  <c r="AV76" i="27"/>
  <c r="AV68" i="27"/>
  <c r="AV59" i="27"/>
  <c r="AV71" i="29"/>
  <c r="AV110" i="29" s="1"/>
  <c r="AX57" i="29"/>
  <c r="AX96" i="29" s="1"/>
  <c r="AM64" i="30"/>
  <c r="AM57" i="30" s="1"/>
  <c r="AL61" i="33"/>
  <c r="AM65" i="31"/>
  <c r="AM58" i="31" s="1"/>
  <c r="AL71" i="33"/>
  <c r="AR95" i="32"/>
  <c r="AL64" i="31"/>
  <c r="AL57" i="31" s="1"/>
  <c r="AL49" i="31" s="1"/>
  <c r="AL63" i="31"/>
  <c r="AL56" i="31" s="1"/>
  <c r="AL48" i="31" s="1"/>
  <c r="AZ20" i="32"/>
  <c r="AZ64" i="32" s="1"/>
  <c r="AZ62" i="32" s="1"/>
  <c r="BA38" i="27"/>
  <c r="BB39" i="29"/>
  <c r="BB38" i="29"/>
  <c r="BB77" i="29" s="1"/>
  <c r="BC45" i="29"/>
  <c r="AM48" i="30"/>
  <c r="AM60" i="33"/>
  <c r="BB18" i="32" l="1"/>
  <c r="BB22" i="32"/>
  <c r="BC15" i="32"/>
  <c r="BC14" i="32"/>
  <c r="F69" i="36"/>
  <c r="V12" i="20"/>
  <c r="F68" i="36"/>
  <c r="V11" i="20"/>
  <c r="W112" i="30"/>
  <c r="W111" i="30" s="1"/>
  <c r="W117" i="30" s="1"/>
  <c r="W35" i="27"/>
  <c r="X61" i="30"/>
  <c r="X59" i="30" s="1"/>
  <c r="X55" i="30"/>
  <c r="AY105" i="30"/>
  <c r="AY99" i="30"/>
  <c r="AX24" i="27"/>
  <c r="AX18" i="27"/>
  <c r="AX22" i="27" s="1"/>
  <c r="V55" i="27"/>
  <c r="BV55" i="27" s="1"/>
  <c r="I72" i="34" s="1"/>
  <c r="I71" i="34" s="1"/>
  <c r="V117" i="31"/>
  <c r="AB97" i="31"/>
  <c r="AC98" i="31"/>
  <c r="AD60" i="31"/>
  <c r="AX99" i="31"/>
  <c r="AX105" i="31"/>
  <c r="AX53" i="27" s="1"/>
  <c r="AX37" i="31"/>
  <c r="AX38" i="31" s="1"/>
  <c r="AX44" i="27"/>
  <c r="AX41" i="27" s="1"/>
  <c r="AX89" i="27" s="1"/>
  <c r="AZ17" i="31"/>
  <c r="AZ18" i="31" s="1"/>
  <c r="AY22" i="31"/>
  <c r="AY20" i="31"/>
  <c r="AY36" i="31" s="1"/>
  <c r="AY20" i="27"/>
  <c r="AX28" i="27"/>
  <c r="AX26" i="27" s="1"/>
  <c r="AX30" i="31"/>
  <c r="AX29" i="31"/>
  <c r="AW59" i="27"/>
  <c r="AW30" i="27"/>
  <c r="AW64" i="27"/>
  <c r="AY37" i="30"/>
  <c r="AY38" i="30" s="1"/>
  <c r="AY43" i="27"/>
  <c r="AZ20" i="30"/>
  <c r="AZ36" i="30" s="1"/>
  <c r="BA17" i="30"/>
  <c r="BA18" i="30" s="1"/>
  <c r="AZ19" i="27"/>
  <c r="AZ22" i="30"/>
  <c r="AY27" i="27"/>
  <c r="AY29" i="30"/>
  <c r="AY30" i="30"/>
  <c r="AY23" i="27"/>
  <c r="AX32" i="30"/>
  <c r="AX34" i="30"/>
  <c r="AX31" i="30"/>
  <c r="AX33" i="30"/>
  <c r="AX31" i="27"/>
  <c r="AX73" i="27"/>
  <c r="W88" i="27"/>
  <c r="W90" i="27"/>
  <c r="W52" i="31"/>
  <c r="W109" i="31"/>
  <c r="W107" i="31" s="1"/>
  <c r="W54" i="27" s="1"/>
  <c r="W113" i="31"/>
  <c r="W72" i="33"/>
  <c r="W74" i="33" s="1"/>
  <c r="W67" i="33"/>
  <c r="W46" i="31"/>
  <c r="W51" i="31" s="1"/>
  <c r="X62" i="31"/>
  <c r="X55" i="31" s="1"/>
  <c r="X47" i="31" s="1"/>
  <c r="AB98" i="30"/>
  <c r="AC45" i="30"/>
  <c r="AD60" i="30" s="1"/>
  <c r="AC108" i="30"/>
  <c r="AA106" i="30"/>
  <c r="AF50" i="30"/>
  <c r="AF62" i="33"/>
  <c r="AW110" i="31"/>
  <c r="AW110" i="30"/>
  <c r="BC77" i="29"/>
  <c r="AY57" i="29"/>
  <c r="AY85" i="29"/>
  <c r="BO15" i="27"/>
  <c r="BO11" i="32"/>
  <c r="AU111" i="29"/>
  <c r="AU73" i="29"/>
  <c r="BA76" i="29"/>
  <c r="BA44" i="29"/>
  <c r="AZ83" i="29"/>
  <c r="AZ46" i="29"/>
  <c r="BC39" i="29"/>
  <c r="BB78" i="29"/>
  <c r="BC78" i="29" s="1"/>
  <c r="N11" i="25"/>
  <c r="AX46" i="27"/>
  <c r="AX92" i="32"/>
  <c r="BC87" i="27"/>
  <c r="CA87" i="27"/>
  <c r="BB38" i="27"/>
  <c r="BC38" i="27" s="1"/>
  <c r="BC27" i="29"/>
  <c r="AV72" i="29"/>
  <c r="AV111" i="29" s="1"/>
  <c r="AW71" i="29"/>
  <c r="AW110" i="29" s="1"/>
  <c r="AM71" i="33"/>
  <c r="AM50" i="31"/>
  <c r="AN65" i="31" s="1"/>
  <c r="AN58" i="31" s="1"/>
  <c r="AN50" i="31" s="1"/>
  <c r="AY52" i="27"/>
  <c r="AY66" i="32"/>
  <c r="BA32" i="32"/>
  <c r="BA31" i="32"/>
  <c r="BA74" i="32" s="1"/>
  <c r="BA75" i="32"/>
  <c r="BA71" i="32"/>
  <c r="BA29" i="32"/>
  <c r="BA28" i="32"/>
  <c r="BA27" i="32"/>
  <c r="BA25" i="32"/>
  <c r="BA24" i="32"/>
  <c r="BA64" i="32"/>
  <c r="BB23" i="32"/>
  <c r="BC23" i="32" s="1"/>
  <c r="BB33" i="32"/>
  <c r="BC33" i="32" s="1"/>
  <c r="BB30" i="32"/>
  <c r="BC30" i="32" s="1"/>
  <c r="BE12" i="32"/>
  <c r="BE13" i="32" s="1"/>
  <c r="BD15" i="32"/>
  <c r="AW79" i="32"/>
  <c r="AU93" i="32"/>
  <c r="AU75" i="27"/>
  <c r="AU67" i="27"/>
  <c r="AU58" i="27"/>
  <c r="BC47" i="29"/>
  <c r="H53" i="26"/>
  <c r="BC42" i="27"/>
  <c r="H50" i="26"/>
  <c r="H51" i="26" s="1"/>
  <c r="BE16" i="27"/>
  <c r="BD25" i="27"/>
  <c r="BD50" i="29"/>
  <c r="BD89" i="29" s="1"/>
  <c r="BD26" i="29"/>
  <c r="BD38" i="29" s="1"/>
  <c r="BD77" i="29" s="1"/>
  <c r="BD24" i="29"/>
  <c r="BF17" i="29"/>
  <c r="BF18" i="29" s="1"/>
  <c r="BE17" i="27"/>
  <c r="BE22" i="29"/>
  <c r="BE20" i="29"/>
  <c r="AV57" i="27"/>
  <c r="AX47" i="27"/>
  <c r="AX70" i="29"/>
  <c r="AX109" i="29" s="1"/>
  <c r="AM64" i="31"/>
  <c r="AM57" i="31" s="1"/>
  <c r="AL70" i="33"/>
  <c r="AM63" i="31"/>
  <c r="AM56" i="31" s="1"/>
  <c r="AL69" i="33"/>
  <c r="AZ52" i="27"/>
  <c r="AZ66" i="32"/>
  <c r="AZ68" i="32" s="1"/>
  <c r="BC38" i="29"/>
  <c r="BB37" i="29"/>
  <c r="BB76" i="29" s="1"/>
  <c r="AN63" i="30"/>
  <c r="AN56" i="30" s="1"/>
  <c r="AN48" i="30" s="1"/>
  <c r="AZ34" i="32"/>
  <c r="AZ73" i="32"/>
  <c r="AM49" i="30"/>
  <c r="AM61" i="33"/>
  <c r="AT95" i="32"/>
  <c r="BC22" i="32" l="1"/>
  <c r="BB26" i="32"/>
  <c r="BC26" i="32" s="1"/>
  <c r="BB65" i="32"/>
  <c r="BC65" i="32" s="1"/>
  <c r="CA18" i="32"/>
  <c r="N60" i="25" s="1"/>
  <c r="N25" i="25" s="1"/>
  <c r="BB19" i="32"/>
  <c r="BB20" i="32" s="1"/>
  <c r="BC20" i="32" s="1"/>
  <c r="BC18" i="32"/>
  <c r="BA46" i="29"/>
  <c r="BA83" i="29"/>
  <c r="X39" i="27"/>
  <c r="X66" i="30"/>
  <c r="AZ57" i="29"/>
  <c r="AZ96" i="29" s="1"/>
  <c r="AZ85" i="29"/>
  <c r="W130" i="30"/>
  <c r="W131" i="30" s="1"/>
  <c r="W132" i="30" s="1"/>
  <c r="W133" i="30" s="1"/>
  <c r="W48" i="27"/>
  <c r="W69" i="27" s="1"/>
  <c r="W65" i="27" s="1"/>
  <c r="X59" i="33"/>
  <c r="X54" i="30"/>
  <c r="X47" i="30"/>
  <c r="AX110" i="30"/>
  <c r="I19" i="34"/>
  <c r="I83" i="34"/>
  <c r="AY24" i="27"/>
  <c r="AY18" i="27"/>
  <c r="AY22" i="27" s="1"/>
  <c r="AY96" i="29"/>
  <c r="AY47" i="27"/>
  <c r="AY68" i="27" s="1"/>
  <c r="AY70" i="29"/>
  <c r="AY109" i="29" s="1"/>
  <c r="V49" i="27"/>
  <c r="V130" i="31"/>
  <c r="V131" i="31" s="1"/>
  <c r="V132" i="31" s="1"/>
  <c r="V133" i="31" s="1"/>
  <c r="BV133" i="31" s="1"/>
  <c r="I45" i="20" s="1"/>
  <c r="BC76" i="29"/>
  <c r="AB104" i="31"/>
  <c r="AC97" i="31"/>
  <c r="AD53" i="31"/>
  <c r="AZ20" i="27"/>
  <c r="BA17" i="31"/>
  <c r="AZ20" i="31"/>
  <c r="AZ36" i="31" s="1"/>
  <c r="AZ22" i="31"/>
  <c r="AY29" i="31"/>
  <c r="AY30" i="31"/>
  <c r="AY28" i="27"/>
  <c r="AY37" i="31"/>
  <c r="AY38" i="31" s="1"/>
  <c r="AY44" i="27"/>
  <c r="AY41" i="27" s="1"/>
  <c r="AY89" i="27" s="1"/>
  <c r="AX32" i="27"/>
  <c r="AX81" i="27"/>
  <c r="AX31" i="31"/>
  <c r="AX32" i="31"/>
  <c r="AX33" i="31"/>
  <c r="AX34" i="31"/>
  <c r="BA22" i="30"/>
  <c r="BA19" i="27"/>
  <c r="BA20" i="30"/>
  <c r="BA36" i="30" s="1"/>
  <c r="BB17" i="30"/>
  <c r="AZ37" i="30"/>
  <c r="AZ38" i="30" s="1"/>
  <c r="AZ43" i="27"/>
  <c r="AZ23" i="27"/>
  <c r="AZ27" i="27"/>
  <c r="AZ30" i="30"/>
  <c r="AZ29" i="30"/>
  <c r="AY31" i="27"/>
  <c r="AY73" i="27"/>
  <c r="AY34" i="30"/>
  <c r="AY31" i="30"/>
  <c r="AY32" i="30"/>
  <c r="AY33" i="30"/>
  <c r="AX30" i="27"/>
  <c r="AX64" i="27"/>
  <c r="W36" i="27"/>
  <c r="W33" i="27" s="1"/>
  <c r="W112" i="31"/>
  <c r="X46" i="31"/>
  <c r="X51" i="31" s="1"/>
  <c r="Y62" i="31"/>
  <c r="X54" i="31"/>
  <c r="X68" i="33"/>
  <c r="X61" i="31"/>
  <c r="X59" i="31" s="1"/>
  <c r="AC98" i="30"/>
  <c r="AB97" i="30"/>
  <c r="AD53" i="30"/>
  <c r="AG65" i="30"/>
  <c r="AG58" i="30" s="1"/>
  <c r="AY99" i="31"/>
  <c r="AY105" i="31"/>
  <c r="AY53" i="27" s="1"/>
  <c r="AZ105" i="30"/>
  <c r="AZ99" i="30"/>
  <c r="W83" i="27"/>
  <c r="AX67" i="27"/>
  <c r="AX75" i="27"/>
  <c r="AX58" i="27"/>
  <c r="V11" i="25"/>
  <c r="F74" i="36" s="1"/>
  <c r="AZ47" i="27"/>
  <c r="AV73" i="29"/>
  <c r="BZ73" i="29" s="1"/>
  <c r="M39" i="20" s="1"/>
  <c r="AW72" i="29"/>
  <c r="AW111" i="29" s="1"/>
  <c r="AV93" i="32"/>
  <c r="AV94" i="32" s="1"/>
  <c r="AV95" i="32" s="1"/>
  <c r="AU94" i="32"/>
  <c r="AU95" i="32" s="1"/>
  <c r="AY68" i="32"/>
  <c r="BA69" i="32"/>
  <c r="BA34" i="32"/>
  <c r="BA62" i="32"/>
  <c r="BB25" i="32"/>
  <c r="BC25" i="32" s="1"/>
  <c r="BB24" i="32"/>
  <c r="BC24" i="32" s="1"/>
  <c r="BB31" i="32"/>
  <c r="BB32" i="32"/>
  <c r="BC32" i="32" s="1"/>
  <c r="BB75" i="32"/>
  <c r="BC75" i="32" s="1"/>
  <c r="BB71" i="32"/>
  <c r="BB29" i="32"/>
  <c r="BC29" i="32" s="1"/>
  <c r="BB28" i="32"/>
  <c r="BC28" i="32" s="1"/>
  <c r="BB27" i="32"/>
  <c r="BC27" i="32" s="1"/>
  <c r="BD22" i="32"/>
  <c r="BD18" i="32"/>
  <c r="BE15" i="32"/>
  <c r="BF12" i="32"/>
  <c r="BF13" i="32" s="1"/>
  <c r="AW92" i="32"/>
  <c r="AW46" i="27"/>
  <c r="AU57" i="27"/>
  <c r="H52" i="26"/>
  <c r="BD87" i="27"/>
  <c r="BD47" i="29"/>
  <c r="BD86" i="29" s="1"/>
  <c r="BD39" i="29"/>
  <c r="BD34" i="27"/>
  <c r="BD45" i="29"/>
  <c r="BD84" i="29" s="1"/>
  <c r="BD42" i="27"/>
  <c r="BD27" i="29"/>
  <c r="BD25" i="29"/>
  <c r="BF16" i="27"/>
  <c r="BE25" i="27"/>
  <c r="BE50" i="29"/>
  <c r="BE89" i="29" s="1"/>
  <c r="BE26" i="29"/>
  <c r="BE24" i="29"/>
  <c r="BE45" i="29" s="1"/>
  <c r="BG17" i="29"/>
  <c r="BG18" i="29" s="1"/>
  <c r="BF17" i="27"/>
  <c r="BF22" i="29"/>
  <c r="BF20" i="29"/>
  <c r="AX76" i="27"/>
  <c r="AX68" i="27"/>
  <c r="AX59" i="27"/>
  <c r="AX71" i="29"/>
  <c r="AN71" i="33"/>
  <c r="AO65" i="31"/>
  <c r="BB44" i="29"/>
  <c r="BB83" i="29" s="1"/>
  <c r="BC83" i="29" s="1"/>
  <c r="BC37" i="29"/>
  <c r="AO63" i="30"/>
  <c r="AN60" i="33"/>
  <c r="AN64" i="30"/>
  <c r="AN57" i="30" s="1"/>
  <c r="AN49" i="30" s="1"/>
  <c r="AZ79" i="32"/>
  <c r="BA73" i="32"/>
  <c r="BC19" i="32"/>
  <c r="BB64" i="32"/>
  <c r="AM49" i="31"/>
  <c r="AM70" i="33"/>
  <c r="AM48" i="31"/>
  <c r="AM69" i="33"/>
  <c r="AZ70" i="29" l="1"/>
  <c r="AZ109" i="29" s="1"/>
  <c r="N23" i="25"/>
  <c r="V23" i="25" s="1"/>
  <c r="V25" i="25"/>
  <c r="F85" i="36" s="1"/>
  <c r="BA105" i="30"/>
  <c r="BA99" i="30"/>
  <c r="BA85" i="29"/>
  <c r="BA57" i="29"/>
  <c r="X58" i="33"/>
  <c r="X63" i="33"/>
  <c r="X52" i="30"/>
  <c r="X109" i="30"/>
  <c r="X107" i="30" s="1"/>
  <c r="X113" i="30"/>
  <c r="Y62" i="30"/>
  <c r="X46" i="30"/>
  <c r="X51" i="30" s="1"/>
  <c r="I85" i="34"/>
  <c r="I87" i="34" s="1"/>
  <c r="I22" i="34"/>
  <c r="I26" i="34" s="1"/>
  <c r="I28" i="34" s="1"/>
  <c r="AZ105" i="31"/>
  <c r="AZ53" i="27" s="1"/>
  <c r="AZ99" i="31"/>
  <c r="V78" i="27"/>
  <c r="V74" i="27" s="1"/>
  <c r="V94" i="27" s="1"/>
  <c r="V45" i="27"/>
  <c r="AX110" i="31"/>
  <c r="AB106" i="31"/>
  <c r="AC104" i="31"/>
  <c r="AD108" i="31"/>
  <c r="AD45" i="31"/>
  <c r="BA18" i="31"/>
  <c r="AZ37" i="31"/>
  <c r="AZ38" i="31" s="1"/>
  <c r="AZ44" i="27"/>
  <c r="AZ41" i="27" s="1"/>
  <c r="AZ89" i="27" s="1"/>
  <c r="AZ29" i="31"/>
  <c r="AZ30" i="31"/>
  <c r="AZ28" i="27"/>
  <c r="AY31" i="31"/>
  <c r="AY32" i="31"/>
  <c r="AY33" i="31"/>
  <c r="AY34" i="31"/>
  <c r="AY32" i="27"/>
  <c r="AY81" i="27"/>
  <c r="BA27" i="27"/>
  <c r="BA29" i="30"/>
  <c r="BA30" i="30"/>
  <c r="BA23" i="27"/>
  <c r="BA37" i="30"/>
  <c r="BA38" i="30" s="1"/>
  <c r="BA43" i="27"/>
  <c r="AZ31" i="27"/>
  <c r="AZ73" i="27"/>
  <c r="AZ31" i="30"/>
  <c r="AZ32" i="30"/>
  <c r="AZ33" i="30"/>
  <c r="AZ34" i="30"/>
  <c r="W111" i="31"/>
  <c r="X52" i="31"/>
  <c r="X109" i="31"/>
  <c r="X107" i="31" s="1"/>
  <c r="X113" i="31"/>
  <c r="X72" i="33"/>
  <c r="X67" i="33"/>
  <c r="X40" i="27"/>
  <c r="X37" i="27" s="1"/>
  <c r="X66" i="31"/>
  <c r="AB51" i="27"/>
  <c r="AC97" i="30"/>
  <c r="AB104" i="30"/>
  <c r="AD45" i="30"/>
  <c r="AD108" i="30"/>
  <c r="AY110" i="30"/>
  <c r="AZ24" i="27"/>
  <c r="AZ18" i="27"/>
  <c r="AZ22" i="27" s="1"/>
  <c r="AY26" i="27"/>
  <c r="AY76" i="27"/>
  <c r="BC17" i="30"/>
  <c r="BB18" i="30"/>
  <c r="Y61" i="31"/>
  <c r="Y59" i="31" s="1"/>
  <c r="Y55" i="31"/>
  <c r="AG62" i="33"/>
  <c r="AG50" i="30"/>
  <c r="AH65" i="30" s="1"/>
  <c r="AH58" i="30" s="1"/>
  <c r="BD37" i="29"/>
  <c r="BD78" i="29"/>
  <c r="AZ68" i="27"/>
  <c r="BE84" i="29"/>
  <c r="AX72" i="29"/>
  <c r="AX110" i="29"/>
  <c r="AW73" i="29"/>
  <c r="AY71" i="29"/>
  <c r="BZ95" i="32"/>
  <c r="M36" i="20" s="1"/>
  <c r="BB69" i="32"/>
  <c r="BC69" i="32" s="1"/>
  <c r="BC71" i="32"/>
  <c r="AY79" i="32"/>
  <c r="BA66" i="32"/>
  <c r="BA52" i="27"/>
  <c r="BD23" i="32"/>
  <c r="BD33" i="32"/>
  <c r="BD30" i="32"/>
  <c r="BD26" i="32"/>
  <c r="BD65" i="32"/>
  <c r="BD19" i="32"/>
  <c r="BD20" i="32" s="1"/>
  <c r="BE18" i="32"/>
  <c r="BE65" i="32" s="1"/>
  <c r="BE22" i="32"/>
  <c r="BF15" i="32"/>
  <c r="BG12" i="32"/>
  <c r="BG13" i="32" s="1"/>
  <c r="AW93" i="32"/>
  <c r="AW75" i="27"/>
  <c r="AW67" i="27"/>
  <c r="AW58" i="27"/>
  <c r="BD38" i="27"/>
  <c r="BE87" i="27"/>
  <c r="BE34" i="27"/>
  <c r="BE42" i="27"/>
  <c r="BE27" i="29"/>
  <c r="BE25" i="29"/>
  <c r="BG16" i="27"/>
  <c r="BF25" i="27"/>
  <c r="BF50" i="29"/>
  <c r="BF26" i="29"/>
  <c r="BF24" i="29"/>
  <c r="BF45" i="29" s="1"/>
  <c r="BF84" i="29" s="1"/>
  <c r="BH17" i="29"/>
  <c r="BH18" i="29" s="1"/>
  <c r="BG17" i="27"/>
  <c r="BG22" i="29"/>
  <c r="BG20" i="29"/>
  <c r="AX57" i="27"/>
  <c r="BC44" i="29"/>
  <c r="BB46" i="29"/>
  <c r="BB85" i="29" s="1"/>
  <c r="BC85" i="29" s="1"/>
  <c r="AO64" i="30"/>
  <c r="AN61" i="33"/>
  <c r="AZ46" i="27"/>
  <c r="AZ92" i="32"/>
  <c r="AN64" i="31"/>
  <c r="AN57" i="31" s="1"/>
  <c r="AN49" i="31" s="1"/>
  <c r="AN63" i="31"/>
  <c r="AN56" i="31" s="1"/>
  <c r="AN48" i="31" s="1"/>
  <c r="BB34" i="32"/>
  <c r="BC31" i="32"/>
  <c r="BC34" i="32" s="1"/>
  <c r="BB74" i="32"/>
  <c r="BE47" i="29"/>
  <c r="BE86" i="29" s="1"/>
  <c r="BE39" i="29"/>
  <c r="BE78" i="29" s="1"/>
  <c r="BE38" i="29"/>
  <c r="BE77" i="29" s="1"/>
  <c r="AP65" i="31"/>
  <c r="AO58" i="31"/>
  <c r="AP63" i="30"/>
  <c r="AO56" i="30"/>
  <c r="BB62" i="32"/>
  <c r="BC62" i="32" s="1"/>
  <c r="BC64" i="32"/>
  <c r="X74" i="33" l="1"/>
  <c r="I35" i="25"/>
  <c r="F56" i="36"/>
  <c r="F83" i="36"/>
  <c r="BA70" i="29"/>
  <c r="BA109" i="29" s="1"/>
  <c r="BA47" i="27"/>
  <c r="BA68" i="27" s="1"/>
  <c r="BA96" i="29"/>
  <c r="X112" i="30"/>
  <c r="X111" i="30" s="1"/>
  <c r="X117" i="30" s="1"/>
  <c r="X35" i="27"/>
  <c r="Y61" i="30"/>
  <c r="Y59" i="30" s="1"/>
  <c r="Y55" i="30"/>
  <c r="V82" i="27"/>
  <c r="BV94" i="27"/>
  <c r="V95" i="27"/>
  <c r="BV95" i="27" s="1"/>
  <c r="I33" i="20" s="1"/>
  <c r="AC106" i="31"/>
  <c r="AE60" i="31"/>
  <c r="AE53" i="31" s="1"/>
  <c r="AE45" i="31" s="1"/>
  <c r="AD98" i="31"/>
  <c r="AD97" i="31" s="1"/>
  <c r="AD104" i="31" s="1"/>
  <c r="AD106" i="31" s="1"/>
  <c r="BA20" i="31"/>
  <c r="BA36" i="31" s="1"/>
  <c r="BA22" i="31"/>
  <c r="BA20" i="27"/>
  <c r="BB17" i="31"/>
  <c r="AZ31" i="31"/>
  <c r="AZ32" i="31"/>
  <c r="AZ33" i="31"/>
  <c r="AZ34" i="31"/>
  <c r="AZ32" i="27"/>
  <c r="AZ81" i="27"/>
  <c r="BA31" i="27"/>
  <c r="BA73" i="27"/>
  <c r="BA31" i="30"/>
  <c r="BA33" i="30"/>
  <c r="BA32" i="30"/>
  <c r="BA34" i="30"/>
  <c r="W55" i="27"/>
  <c r="W117" i="31"/>
  <c r="X36" i="27"/>
  <c r="X112" i="31"/>
  <c r="X54" i="27"/>
  <c r="X90" i="27"/>
  <c r="X88" i="27"/>
  <c r="BW51" i="27"/>
  <c r="J38" i="34" s="1"/>
  <c r="T38" i="34" s="1"/>
  <c r="AC51" i="27"/>
  <c r="AC104" i="30"/>
  <c r="AB106" i="30"/>
  <c r="AC106" i="30" s="1"/>
  <c r="AE60" i="30"/>
  <c r="AE53" i="30" s="1"/>
  <c r="AE45" i="30" s="1"/>
  <c r="AD98" i="30"/>
  <c r="AD97" i="30" s="1"/>
  <c r="AY64" i="27"/>
  <c r="AY30" i="27"/>
  <c r="AY59" i="27"/>
  <c r="BB22" i="30"/>
  <c r="BB20" i="30"/>
  <c r="BB36" i="30" s="1"/>
  <c r="BB19" i="27"/>
  <c r="BC18" i="30"/>
  <c r="Y66" i="31"/>
  <c r="Y40" i="27"/>
  <c r="Y47" i="31"/>
  <c r="Y68" i="33"/>
  <c r="Y54" i="31"/>
  <c r="AH50" i="30"/>
  <c r="AH62" i="33"/>
  <c r="AY110" i="31"/>
  <c r="AZ110" i="30"/>
  <c r="AZ26" i="27"/>
  <c r="AZ58" i="27" s="1"/>
  <c r="AZ76" i="27"/>
  <c r="BD76" i="29"/>
  <c r="BD44" i="29"/>
  <c r="BF47" i="29"/>
  <c r="BF86" i="29" s="1"/>
  <c r="BF89" i="29"/>
  <c r="AX111" i="29"/>
  <c r="AX73" i="29"/>
  <c r="AY110" i="29"/>
  <c r="AY72" i="29"/>
  <c r="AZ71" i="29"/>
  <c r="AX93" i="32"/>
  <c r="AX94" i="32" s="1"/>
  <c r="AW94" i="32"/>
  <c r="AW95" i="32" s="1"/>
  <c r="AY92" i="32"/>
  <c r="AY46" i="27"/>
  <c r="BA68" i="32"/>
  <c r="BD25" i="32"/>
  <c r="BD24" i="32"/>
  <c r="BD31" i="32"/>
  <c r="BD74" i="32" s="1"/>
  <c r="BD32" i="32"/>
  <c r="BD75" i="32"/>
  <c r="BD71" i="32"/>
  <c r="BD29" i="32"/>
  <c r="BD28" i="32"/>
  <c r="BD27" i="32"/>
  <c r="BD64" i="32"/>
  <c r="BE19" i="32"/>
  <c r="BE20" i="32" s="1"/>
  <c r="BE23" i="32"/>
  <c r="BE33" i="32"/>
  <c r="BE30" i="32"/>
  <c r="BE26" i="32"/>
  <c r="BF22" i="32"/>
  <c r="BF18" i="32"/>
  <c r="BF65" i="32" s="1"/>
  <c r="BG15" i="32"/>
  <c r="BH12" i="32"/>
  <c r="BH13" i="32" s="1"/>
  <c r="AW57" i="27"/>
  <c r="BF87" i="27"/>
  <c r="BF34" i="27"/>
  <c r="BF42" i="27"/>
  <c r="BF27" i="29"/>
  <c r="BF25" i="29"/>
  <c r="BH16" i="27"/>
  <c r="BG25" i="27"/>
  <c r="BG50" i="29"/>
  <c r="BG89" i="29" s="1"/>
  <c r="BG26" i="29"/>
  <c r="BG24" i="29"/>
  <c r="BG45" i="29" s="1"/>
  <c r="BG84" i="29" s="1"/>
  <c r="BI17" i="29"/>
  <c r="BI18" i="29" s="1"/>
  <c r="BH17" i="27"/>
  <c r="BH22" i="29"/>
  <c r="BH20" i="29"/>
  <c r="BC46" i="29"/>
  <c r="BB57" i="29"/>
  <c r="BB96" i="29" s="1"/>
  <c r="AZ75" i="27"/>
  <c r="AZ67" i="27"/>
  <c r="AO64" i="31"/>
  <c r="AN70" i="33"/>
  <c r="AO63" i="31"/>
  <c r="AN69" i="33"/>
  <c r="BC74" i="32"/>
  <c r="BB73" i="32"/>
  <c r="BC73" i="32" s="1"/>
  <c r="BE37" i="29"/>
  <c r="BE76" i="29" s="1"/>
  <c r="AP58" i="31"/>
  <c r="AO50" i="31"/>
  <c r="AP50" i="31" s="1"/>
  <c r="AO71" i="33"/>
  <c r="AP71" i="33" s="1"/>
  <c r="AP56" i="30"/>
  <c r="AO48" i="30"/>
  <c r="AP48" i="30" s="1"/>
  <c r="AO60" i="33"/>
  <c r="AP60" i="33" s="1"/>
  <c r="BB66" i="32"/>
  <c r="BB52" i="27"/>
  <c r="BE38" i="27"/>
  <c r="BF39" i="29"/>
  <c r="BF78" i="29" s="1"/>
  <c r="BF38" i="29"/>
  <c r="BF77" i="29" s="1"/>
  <c r="AP64" i="30"/>
  <c r="AO57" i="30"/>
  <c r="BC96" i="29" l="1"/>
  <c r="I8" i="25"/>
  <c r="I21" i="25" s="1"/>
  <c r="I31" i="25"/>
  <c r="I33" i="25" s="1"/>
  <c r="I38" i="25" s="1"/>
  <c r="X33" i="27"/>
  <c r="X48" i="27"/>
  <c r="X69" i="27" s="1"/>
  <c r="X65" i="27" s="1"/>
  <c r="X130" i="30"/>
  <c r="Y66" i="30"/>
  <c r="Y39" i="27"/>
  <c r="Y37" i="27" s="1"/>
  <c r="Y59" i="33"/>
  <c r="Y54" i="30"/>
  <c r="Y47" i="30"/>
  <c r="BD83" i="29"/>
  <c r="BD46" i="29"/>
  <c r="AE98" i="31"/>
  <c r="AE97" i="31" s="1"/>
  <c r="AE104" i="31" s="1"/>
  <c r="AF60" i="31"/>
  <c r="AF53" i="31" s="1"/>
  <c r="AE108" i="31"/>
  <c r="BA105" i="31"/>
  <c r="BA53" i="27" s="1"/>
  <c r="BA99" i="31"/>
  <c r="BA37" i="31"/>
  <c r="BA38" i="31" s="1"/>
  <c r="BA44" i="27"/>
  <c r="BA41" i="27" s="1"/>
  <c r="BA89" i="27" s="1"/>
  <c r="BA29" i="31"/>
  <c r="BA30" i="31"/>
  <c r="BA28" i="27"/>
  <c r="BA18" i="27"/>
  <c r="BA22" i="27" s="1"/>
  <c r="BA24" i="27"/>
  <c r="W130" i="31"/>
  <c r="W49" i="27"/>
  <c r="X111" i="31"/>
  <c r="X83" i="27"/>
  <c r="AE108" i="30"/>
  <c r="AD51" i="27"/>
  <c r="AD104" i="30"/>
  <c r="AD106" i="30" s="1"/>
  <c r="BB27" i="27"/>
  <c r="BB30" i="30"/>
  <c r="BB29" i="30"/>
  <c r="BB99" i="30"/>
  <c r="BC99" i="30" s="1"/>
  <c r="BC77" i="30" s="1"/>
  <c r="BB105" i="30"/>
  <c r="BB37" i="30"/>
  <c r="BB38" i="30" s="1"/>
  <c r="BB43" i="27"/>
  <c r="BB23" i="27"/>
  <c r="BC20" i="30"/>
  <c r="BC36" i="30" s="1"/>
  <c r="BC22" i="30"/>
  <c r="BC19" i="27"/>
  <c r="H66" i="26"/>
  <c r="BD17" i="30"/>
  <c r="BD18" i="30" s="1"/>
  <c r="Z62" i="31"/>
  <c r="Z55" i="31" s="1"/>
  <c r="Z47" i="31" s="1"/>
  <c r="Y46" i="31"/>
  <c r="Y51" i="31" s="1"/>
  <c r="Y72" i="33"/>
  <c r="Y67" i="33"/>
  <c r="Y52" i="31"/>
  <c r="Y109" i="31"/>
  <c r="Y107" i="31" s="1"/>
  <c r="Y113" i="31"/>
  <c r="AI65" i="30"/>
  <c r="AI58" i="30" s="1"/>
  <c r="AZ64" i="27"/>
  <c r="AZ30" i="27"/>
  <c r="AZ59" i="27"/>
  <c r="AZ57" i="27" s="1"/>
  <c r="AZ110" i="31"/>
  <c r="BA110" i="30"/>
  <c r="BC17" i="31"/>
  <c r="BB18" i="31"/>
  <c r="AE98" i="30"/>
  <c r="AE97" i="30" s="1"/>
  <c r="AF60" i="30"/>
  <c r="BC52" i="27"/>
  <c r="CA52" i="27"/>
  <c r="N50" i="34" s="1"/>
  <c r="AY111" i="29"/>
  <c r="AY73" i="29"/>
  <c r="AZ110" i="29"/>
  <c r="BA71" i="29"/>
  <c r="AZ72" i="29"/>
  <c r="AZ111" i="29" s="1"/>
  <c r="BE64" i="32"/>
  <c r="BE62" i="32" s="1"/>
  <c r="AY93" i="32"/>
  <c r="AY75" i="27"/>
  <c r="AY67" i="27"/>
  <c r="AY58" i="27"/>
  <c r="BA79" i="32"/>
  <c r="BD73" i="32"/>
  <c r="BD34" i="32"/>
  <c r="BD69" i="32"/>
  <c r="BD62" i="32"/>
  <c r="BE24" i="32"/>
  <c r="BE25" i="32"/>
  <c r="BE31" i="32"/>
  <c r="BE74" i="32" s="1"/>
  <c r="BE32" i="32"/>
  <c r="BE75" i="32"/>
  <c r="BE71" i="32"/>
  <c r="BE69" i="32" s="1"/>
  <c r="BE29" i="32"/>
  <c r="BE28" i="32"/>
  <c r="BE27" i="32"/>
  <c r="BF30" i="32"/>
  <c r="BF33" i="32"/>
  <c r="BF26" i="32"/>
  <c r="BF23" i="32"/>
  <c r="BF19" i="32"/>
  <c r="BF20" i="32" s="1"/>
  <c r="BG22" i="32"/>
  <c r="BG18" i="32"/>
  <c r="BG65" i="32" s="1"/>
  <c r="BH15" i="32"/>
  <c r="BI12" i="32"/>
  <c r="BI13" i="32" s="1"/>
  <c r="BG87" i="27"/>
  <c r="BG47" i="29"/>
  <c r="BG86" i="29" s="1"/>
  <c r="BG34" i="27"/>
  <c r="BG42" i="27"/>
  <c r="BG27" i="29"/>
  <c r="BG38" i="27" s="1"/>
  <c r="BG25" i="29"/>
  <c r="BI16" i="27"/>
  <c r="BH25" i="27"/>
  <c r="BH50" i="29"/>
  <c r="BH89" i="29" s="1"/>
  <c r="BH26" i="29"/>
  <c r="BH24" i="29"/>
  <c r="BH45" i="29" s="1"/>
  <c r="BH84" i="29" s="1"/>
  <c r="BJ17" i="29"/>
  <c r="BJ18" i="29" s="1"/>
  <c r="BI17" i="27"/>
  <c r="BI22" i="29"/>
  <c r="BI20" i="29"/>
  <c r="BC57" i="29"/>
  <c r="BB47" i="27"/>
  <c r="BB70" i="29"/>
  <c r="BB109" i="29" s="1"/>
  <c r="BC109" i="29" s="1"/>
  <c r="BE44" i="29"/>
  <c r="BE83" i="29" s="1"/>
  <c r="AQ65" i="31"/>
  <c r="AQ58" i="31" s="1"/>
  <c r="AQ50" i="31" s="1"/>
  <c r="AQ63" i="30"/>
  <c r="AQ56" i="30" s="1"/>
  <c r="AQ48" i="30" s="1"/>
  <c r="AP57" i="30"/>
  <c r="AO49" i="30"/>
  <c r="AP49" i="30" s="1"/>
  <c r="AO61" i="33"/>
  <c r="AP61" i="33" s="1"/>
  <c r="BF38" i="27"/>
  <c r="BG38" i="29"/>
  <c r="BG77" i="29" s="1"/>
  <c r="BG39" i="29"/>
  <c r="BG78" i="29" s="1"/>
  <c r="AP64" i="31"/>
  <c r="AO57" i="31"/>
  <c r="AP63" i="31"/>
  <c r="AO56" i="31"/>
  <c r="BB68" i="32"/>
  <c r="BC66" i="32"/>
  <c r="AX95" i="32"/>
  <c r="BF37" i="29"/>
  <c r="BF76" i="29" s="1"/>
  <c r="Y90" i="27" l="1"/>
  <c r="Y88" i="27"/>
  <c r="Y83" i="27" s="1"/>
  <c r="X131" i="30"/>
  <c r="X132" i="30" s="1"/>
  <c r="X133" i="30" s="1"/>
  <c r="Y58" i="33"/>
  <c r="Y63" i="33"/>
  <c r="Y74" i="33" s="1"/>
  <c r="Y113" i="30"/>
  <c r="Y109" i="30"/>
  <c r="Y107" i="30" s="1"/>
  <c r="Y52" i="30"/>
  <c r="Y46" i="30"/>
  <c r="Y51" i="30" s="1"/>
  <c r="Z62" i="30"/>
  <c r="Z55" i="30" s="1"/>
  <c r="Z47" i="30" s="1"/>
  <c r="BD85" i="29"/>
  <c r="BD57" i="29"/>
  <c r="AE104" i="30"/>
  <c r="AE106" i="30" s="1"/>
  <c r="AE51" i="27"/>
  <c r="AF108" i="31"/>
  <c r="AF45" i="31"/>
  <c r="BA31" i="31"/>
  <c r="BA32" i="31"/>
  <c r="BA33" i="31"/>
  <c r="BA34" i="31"/>
  <c r="BA26" i="27"/>
  <c r="BA76" i="27"/>
  <c r="BA32" i="27"/>
  <c r="BA81" i="27"/>
  <c r="W131" i="31"/>
  <c r="W132" i="31" s="1"/>
  <c r="W133" i="31" s="1"/>
  <c r="W45" i="27"/>
  <c r="W78" i="27"/>
  <c r="X117" i="31"/>
  <c r="X55" i="27"/>
  <c r="BB31" i="27"/>
  <c r="BB73" i="27"/>
  <c r="BB32" i="30"/>
  <c r="BB34" i="30"/>
  <c r="BB33" i="30"/>
  <c r="BB31" i="30"/>
  <c r="BC105" i="30"/>
  <c r="CA43" i="27"/>
  <c r="N45" i="25" s="1"/>
  <c r="N12" i="25" s="1"/>
  <c r="BC43" i="27"/>
  <c r="BC37" i="30"/>
  <c r="BC38" i="30" s="1"/>
  <c r="BD19" i="27"/>
  <c r="BD20" i="30"/>
  <c r="BD36" i="30" s="1"/>
  <c r="BD22" i="30"/>
  <c r="BE17" i="30"/>
  <c r="BE18" i="30" s="1"/>
  <c r="BC27" i="27"/>
  <c r="BC29" i="30"/>
  <c r="H71" i="26"/>
  <c r="BC30" i="30"/>
  <c r="BC23" i="27"/>
  <c r="H69" i="26"/>
  <c r="Z46" i="31"/>
  <c r="Z51" i="31" s="1"/>
  <c r="AA62" i="31"/>
  <c r="Z54" i="31"/>
  <c r="Z68" i="33"/>
  <c r="Z61" i="31"/>
  <c r="Z59" i="31" s="1"/>
  <c r="Y36" i="27"/>
  <c r="Y112" i="31"/>
  <c r="BB20" i="27"/>
  <c r="BB22" i="31"/>
  <c r="BB20" i="31"/>
  <c r="BB36" i="31" s="1"/>
  <c r="BC18" i="31"/>
  <c r="AF53" i="30"/>
  <c r="AI62" i="33"/>
  <c r="AI50" i="30"/>
  <c r="BE66" i="32"/>
  <c r="BE68" i="32" s="1"/>
  <c r="BE52" i="27"/>
  <c r="V50" i="34"/>
  <c r="BA72" i="29"/>
  <c r="BA110" i="29"/>
  <c r="AY94" i="32"/>
  <c r="AY95" i="32" s="1"/>
  <c r="AZ93" i="32"/>
  <c r="AZ94" i="32" s="1"/>
  <c r="AZ95" i="32" s="1"/>
  <c r="AZ73" i="29"/>
  <c r="BB79" i="32"/>
  <c r="BC68" i="32"/>
  <c r="AY57" i="27"/>
  <c r="BA92" i="32"/>
  <c r="BA46" i="27"/>
  <c r="BD52" i="27"/>
  <c r="BD66" i="32"/>
  <c r="BF32" i="32"/>
  <c r="BF31" i="32"/>
  <c r="BF75" i="32"/>
  <c r="BF71" i="32"/>
  <c r="BF29" i="32"/>
  <c r="BF28" i="32"/>
  <c r="BF27" i="32"/>
  <c r="BF24" i="32"/>
  <c r="BF74" i="32"/>
  <c r="BF73" i="32" s="1"/>
  <c r="BF25" i="32"/>
  <c r="BF64" i="32"/>
  <c r="BG30" i="32"/>
  <c r="BG26" i="32"/>
  <c r="BG33" i="32"/>
  <c r="BG23" i="32"/>
  <c r="BG19" i="32"/>
  <c r="BG20" i="32" s="1"/>
  <c r="BH22" i="32"/>
  <c r="BH18" i="32"/>
  <c r="BH65" i="32" s="1"/>
  <c r="BJ12" i="32"/>
  <c r="BJ13" i="32" s="1"/>
  <c r="BI15" i="32"/>
  <c r="BH87" i="27"/>
  <c r="BH34" i="27"/>
  <c r="BH42" i="27"/>
  <c r="BH27" i="29"/>
  <c r="BH25" i="29"/>
  <c r="BJ16" i="27"/>
  <c r="BI25" i="27"/>
  <c r="BI50" i="29"/>
  <c r="BI26" i="29"/>
  <c r="BI24" i="29"/>
  <c r="BI45" i="29" s="1"/>
  <c r="BI84" i="29" s="1"/>
  <c r="BK17" i="29"/>
  <c r="BK18" i="29" s="1"/>
  <c r="BJ17" i="27"/>
  <c r="BJ22" i="29"/>
  <c r="BJ20" i="29"/>
  <c r="BC47" i="27"/>
  <c r="BB68" i="27"/>
  <c r="BC68" i="27" s="1"/>
  <c r="BC70" i="29"/>
  <c r="BB71" i="29"/>
  <c r="BB110" i="29" s="1"/>
  <c r="AE106" i="31"/>
  <c r="BE46" i="29"/>
  <c r="BE85" i="29" s="1"/>
  <c r="AR65" i="31"/>
  <c r="AR58" i="31" s="1"/>
  <c r="AQ71" i="33"/>
  <c r="AR63" i="30"/>
  <c r="AR56" i="30" s="1"/>
  <c r="AQ60" i="33"/>
  <c r="AQ64" i="30"/>
  <c r="AQ57" i="30"/>
  <c r="AQ49" i="30" s="1"/>
  <c r="AP57" i="31"/>
  <c r="AO49" i="31"/>
  <c r="AP49" i="31" s="1"/>
  <c r="AO70" i="33"/>
  <c r="AP70" i="33" s="1"/>
  <c r="AP56" i="31"/>
  <c r="AO48" i="31"/>
  <c r="AP48" i="31" s="1"/>
  <c r="AO69" i="33"/>
  <c r="AP69" i="33" s="1"/>
  <c r="BF44" i="29"/>
  <c r="BF83" i="29" s="1"/>
  <c r="BE34" i="32"/>
  <c r="BG37" i="29"/>
  <c r="BG76" i="29" s="1"/>
  <c r="BE73" i="32"/>
  <c r="BH47" i="29"/>
  <c r="BH86" i="29" s="1"/>
  <c r="BH39" i="29"/>
  <c r="BH78" i="29" s="1"/>
  <c r="BH38" i="29"/>
  <c r="BH77" i="29" s="1"/>
  <c r="G97" i="20"/>
  <c r="G124" i="20" s="1"/>
  <c r="BB110" i="30" l="1"/>
  <c r="BC110" i="30" s="1"/>
  <c r="Y54" i="27"/>
  <c r="Y35" i="27"/>
  <c r="Y33" i="27" s="1"/>
  <c r="Y112" i="30"/>
  <c r="Y111" i="30" s="1"/>
  <c r="Y117" i="30" s="1"/>
  <c r="Z46" i="30"/>
  <c r="Z51" i="30" s="1"/>
  <c r="AA62" i="30"/>
  <c r="Z59" i="33"/>
  <c r="Z54" i="30"/>
  <c r="Z61" i="30"/>
  <c r="BD96" i="29"/>
  <c r="BD47" i="27"/>
  <c r="BD70" i="29"/>
  <c r="BE79" i="32"/>
  <c r="BD99" i="30"/>
  <c r="BD105" i="30"/>
  <c r="AG60" i="31"/>
  <c r="AG53" i="31" s="1"/>
  <c r="AF98" i="31"/>
  <c r="AF97" i="31" s="1"/>
  <c r="AF104" i="31" s="1"/>
  <c r="AF106" i="31" s="1"/>
  <c r="BA30" i="27"/>
  <c r="BA64" i="27"/>
  <c r="BA59" i="27"/>
  <c r="W74" i="27"/>
  <c r="W82" i="27" s="1"/>
  <c r="X49" i="27"/>
  <c r="X130" i="31"/>
  <c r="BC73" i="27"/>
  <c r="CA73" i="27"/>
  <c r="V12" i="25"/>
  <c r="F75" i="36" s="1"/>
  <c r="BE22" i="30"/>
  <c r="BE19" i="27"/>
  <c r="BE20" i="30"/>
  <c r="BE36" i="30" s="1"/>
  <c r="BE105" i="30" s="1"/>
  <c r="BF17" i="30"/>
  <c r="BF18" i="30" s="1"/>
  <c r="BD23" i="27"/>
  <c r="BD37" i="30"/>
  <c r="BD38" i="30" s="1"/>
  <c r="BD43" i="27"/>
  <c r="BD30" i="30"/>
  <c r="BD27" i="27"/>
  <c r="BD29" i="30"/>
  <c r="BC31" i="27"/>
  <c r="BC33" i="30"/>
  <c r="BC31" i="30"/>
  <c r="BC32" i="30"/>
  <c r="BC34" i="30"/>
  <c r="H73" i="26"/>
  <c r="Z52" i="31"/>
  <c r="Z113" i="31"/>
  <c r="Z109" i="31"/>
  <c r="Z107" i="31" s="1"/>
  <c r="Z72" i="33"/>
  <c r="Z67" i="33"/>
  <c r="Z66" i="31"/>
  <c r="Z40" i="27"/>
  <c r="Y111" i="31"/>
  <c r="BB18" i="27"/>
  <c r="BB22" i="27" s="1"/>
  <c r="BB24" i="27"/>
  <c r="BB29" i="31"/>
  <c r="BB30" i="31"/>
  <c r="BB28" i="27"/>
  <c r="BB99" i="31"/>
  <c r="BC99" i="31" s="1"/>
  <c r="BC77" i="31" s="1"/>
  <c r="BB105" i="31"/>
  <c r="BB37" i="31"/>
  <c r="BB38" i="31" s="1"/>
  <c r="BB44" i="27"/>
  <c r="BC20" i="31"/>
  <c r="BC36" i="31" s="1"/>
  <c r="BC22" i="31"/>
  <c r="BC20" i="27"/>
  <c r="H88" i="26"/>
  <c r="BD17" i="31"/>
  <c r="BD18" i="31" s="1"/>
  <c r="AF108" i="30"/>
  <c r="AF45" i="30"/>
  <c r="AJ65" i="30"/>
  <c r="AJ58" i="30" s="1"/>
  <c r="BA110" i="31"/>
  <c r="AA61" i="31"/>
  <c r="AA59" i="31" s="1"/>
  <c r="AA55" i="31"/>
  <c r="BG64" i="32"/>
  <c r="BG62" i="32" s="1"/>
  <c r="BI47" i="29"/>
  <c r="BI86" i="29" s="1"/>
  <c r="BI89" i="29"/>
  <c r="BC110" i="29"/>
  <c r="BA73" i="29"/>
  <c r="BA111" i="29"/>
  <c r="BC79" i="32"/>
  <c r="BB46" i="27"/>
  <c r="BB92" i="32"/>
  <c r="BC92" i="32" s="1"/>
  <c r="BA93" i="32"/>
  <c r="BA75" i="27"/>
  <c r="BA67" i="27"/>
  <c r="BA58" i="27"/>
  <c r="BD68" i="32"/>
  <c r="BF69" i="32"/>
  <c r="BF34" i="32"/>
  <c r="BF62" i="32"/>
  <c r="BG32" i="32"/>
  <c r="BG31" i="32"/>
  <c r="BG74" i="32" s="1"/>
  <c r="BG75" i="32"/>
  <c r="BG71" i="32"/>
  <c r="BG69" i="32" s="1"/>
  <c r="BG29" i="32"/>
  <c r="BG28" i="32"/>
  <c r="BG27" i="32"/>
  <c r="BG24" i="32"/>
  <c r="BG25" i="32"/>
  <c r="BH30" i="32"/>
  <c r="BH23" i="32"/>
  <c r="BH33" i="32"/>
  <c r="BH26" i="32"/>
  <c r="BH19" i="32"/>
  <c r="BH20" i="32" s="1"/>
  <c r="BK12" i="32"/>
  <c r="BK13" i="32" s="1"/>
  <c r="BJ15" i="32"/>
  <c r="BI22" i="32"/>
  <c r="BI18" i="32"/>
  <c r="BH38" i="27"/>
  <c r="BI87" i="27"/>
  <c r="CB87" i="27" s="1"/>
  <c r="BI34" i="27"/>
  <c r="BI42" i="27"/>
  <c r="BI27" i="29"/>
  <c r="BI25" i="29"/>
  <c r="BK16" i="27"/>
  <c r="BJ25" i="27"/>
  <c r="BJ50" i="29"/>
  <c r="BJ89" i="29" s="1"/>
  <c r="BJ26" i="29"/>
  <c r="BJ24" i="29"/>
  <c r="BJ45" i="29" s="1"/>
  <c r="BJ84" i="29" s="1"/>
  <c r="BL17" i="29"/>
  <c r="BL18" i="29" s="1"/>
  <c r="BK17" i="27"/>
  <c r="BK22" i="29"/>
  <c r="BK20" i="29"/>
  <c r="BE57" i="29"/>
  <c r="BE96" i="29" s="1"/>
  <c r="AR64" i="30"/>
  <c r="AR57" i="30" s="1"/>
  <c r="AQ61" i="33"/>
  <c r="AQ64" i="31"/>
  <c r="AQ57" i="31"/>
  <c r="AQ49" i="31" s="1"/>
  <c r="AQ63" i="31"/>
  <c r="AQ56" i="31" s="1"/>
  <c r="AQ48" i="31" s="1"/>
  <c r="BG44" i="29"/>
  <c r="BH37" i="29"/>
  <c r="BH76" i="29" s="1"/>
  <c r="BI39" i="29"/>
  <c r="BI78" i="29" s="1"/>
  <c r="BI38" i="29"/>
  <c r="BI77" i="29" s="1"/>
  <c r="BC71" i="29"/>
  <c r="BB72" i="29"/>
  <c r="BB111" i="29" s="1"/>
  <c r="AR71" i="33"/>
  <c r="AR50" i="31"/>
  <c r="AR48" i="30"/>
  <c r="AR60" i="33"/>
  <c r="BF46" i="29"/>
  <c r="BE99" i="30" l="1"/>
  <c r="Y48" i="27"/>
  <c r="Y69" i="27" s="1"/>
  <c r="Y65" i="27" s="1"/>
  <c r="Y130" i="30"/>
  <c r="AA61" i="30"/>
  <c r="AA59" i="30" s="1"/>
  <c r="AA55" i="30"/>
  <c r="Z58" i="33"/>
  <c r="Z63" i="33"/>
  <c r="Z74" i="33" s="1"/>
  <c r="Z113" i="30"/>
  <c r="Z52" i="30"/>
  <c r="Z109" i="30"/>
  <c r="Z107" i="30" s="1"/>
  <c r="Z54" i="27" s="1"/>
  <c r="Z59" i="30"/>
  <c r="BD68" i="27"/>
  <c r="BD109" i="29"/>
  <c r="BD71" i="29"/>
  <c r="BE46" i="27"/>
  <c r="BE92" i="32"/>
  <c r="AG45" i="31"/>
  <c r="AG108" i="31"/>
  <c r="W94" i="27"/>
  <c r="X45" i="27"/>
  <c r="X78" i="27"/>
  <c r="X131" i="31"/>
  <c r="BF19" i="27"/>
  <c r="BF20" i="30"/>
  <c r="BF36" i="30" s="1"/>
  <c r="BF22" i="30"/>
  <c r="BG17" i="30"/>
  <c r="BG18" i="30" s="1"/>
  <c r="BE27" i="27"/>
  <c r="BE29" i="30"/>
  <c r="BE30" i="30"/>
  <c r="BE23" i="27"/>
  <c r="BE37" i="30"/>
  <c r="BE38" i="30" s="1"/>
  <c r="BE43" i="27"/>
  <c r="BD31" i="30"/>
  <c r="BD33" i="30"/>
  <c r="BD32" i="30"/>
  <c r="BD34" i="30"/>
  <c r="BD31" i="27"/>
  <c r="BD73" i="27"/>
  <c r="H74" i="26"/>
  <c r="H75" i="26" s="1"/>
  <c r="Z112" i="31"/>
  <c r="Z36" i="27"/>
  <c r="Y55" i="27"/>
  <c r="Y117" i="31"/>
  <c r="BB31" i="31"/>
  <c r="BB32" i="31"/>
  <c r="BB33" i="31"/>
  <c r="BB34" i="31"/>
  <c r="BB76" i="27"/>
  <c r="BC76" i="27" s="1"/>
  <c r="BB26" i="27"/>
  <c r="BB58" i="27" s="1"/>
  <c r="BC58" i="27" s="1"/>
  <c r="BB32" i="27"/>
  <c r="BB81" i="27"/>
  <c r="BB53" i="27"/>
  <c r="BC105" i="31"/>
  <c r="BB41" i="27"/>
  <c r="BB89" i="27" s="1"/>
  <c r="CA44" i="27"/>
  <c r="N46" i="25" s="1"/>
  <c r="N13" i="25" s="1"/>
  <c r="BC44" i="27"/>
  <c r="BC41" i="27" s="1"/>
  <c r="BD20" i="31"/>
  <c r="BD36" i="31" s="1"/>
  <c r="BD22" i="31"/>
  <c r="BD20" i="27"/>
  <c r="BE17" i="31"/>
  <c r="BE18" i="31" s="1"/>
  <c r="BC37" i="31"/>
  <c r="BC38" i="31" s="1"/>
  <c r="BC29" i="31"/>
  <c r="BC30" i="31"/>
  <c r="BC28" i="27"/>
  <c r="H93" i="26"/>
  <c r="BC18" i="27"/>
  <c r="BC22" i="27" s="1"/>
  <c r="BC24" i="27"/>
  <c r="H99" i="26"/>
  <c r="H91" i="26"/>
  <c r="AG60" i="30"/>
  <c r="AG53" i="30" s="1"/>
  <c r="AG45" i="30" s="1"/>
  <c r="AG98" i="30" s="1"/>
  <c r="AG97" i="30" s="1"/>
  <c r="AG104" i="30" s="1"/>
  <c r="AG106" i="30" s="1"/>
  <c r="AF98" i="30"/>
  <c r="AF97" i="30" s="1"/>
  <c r="AJ62" i="33"/>
  <c r="AJ50" i="30"/>
  <c r="AA40" i="27"/>
  <c r="AA66" i="31"/>
  <c r="AA47" i="31"/>
  <c r="AA68" i="33"/>
  <c r="AA54" i="31"/>
  <c r="BC111" i="29"/>
  <c r="BG66" i="32"/>
  <c r="BG68" i="32" s="1"/>
  <c r="BG52" i="27"/>
  <c r="BC46" i="27"/>
  <c r="BB75" i="27"/>
  <c r="BC75" i="27" s="1"/>
  <c r="BB67" i="27"/>
  <c r="BC67" i="27" s="1"/>
  <c r="BI65" i="32"/>
  <c r="CB18" i="32"/>
  <c r="O60" i="25" s="1"/>
  <c r="O25" i="25" s="1"/>
  <c r="O23" i="25" s="1"/>
  <c r="BG46" i="29"/>
  <c r="BG83" i="29"/>
  <c r="CB42" i="27"/>
  <c r="O44" i="25" s="1"/>
  <c r="BF57" i="29"/>
  <c r="BF85" i="29"/>
  <c r="BA57" i="27"/>
  <c r="BD79" i="32"/>
  <c r="BF66" i="32"/>
  <c r="BF52" i="27"/>
  <c r="BG73" i="32"/>
  <c r="BH32" i="32"/>
  <c r="BH31" i="32"/>
  <c r="BH74" i="32" s="1"/>
  <c r="BH25" i="32"/>
  <c r="BH24" i="32"/>
  <c r="BH75" i="32"/>
  <c r="BH71" i="32"/>
  <c r="BH29" i="32"/>
  <c r="BH28" i="32"/>
  <c r="BH27" i="32"/>
  <c r="BH64" i="32"/>
  <c r="BL12" i="32"/>
  <c r="BL13" i="32" s="1"/>
  <c r="BK15" i="32"/>
  <c r="BJ22" i="32"/>
  <c r="BJ18" i="32"/>
  <c r="BI30" i="32"/>
  <c r="BI26" i="32"/>
  <c r="BI23" i="32"/>
  <c r="BI33" i="32"/>
  <c r="BJ65" i="32"/>
  <c r="BI19" i="32"/>
  <c r="BI20" i="32" s="1"/>
  <c r="BI64" i="32" s="1"/>
  <c r="BJ87" i="27"/>
  <c r="BJ47" i="29"/>
  <c r="BJ86" i="29" s="1"/>
  <c r="BJ34" i="27"/>
  <c r="BJ42" i="27"/>
  <c r="BJ27" i="29"/>
  <c r="BJ25" i="29"/>
  <c r="BL16" i="27"/>
  <c r="BK25" i="27"/>
  <c r="BK50" i="29"/>
  <c r="BK89" i="29" s="1"/>
  <c r="BK26" i="29"/>
  <c r="BK24" i="29"/>
  <c r="BK45" i="29" s="1"/>
  <c r="BK84" i="29" s="1"/>
  <c r="BM17" i="29"/>
  <c r="BL17" i="27"/>
  <c r="BL22" i="29"/>
  <c r="BL20" i="29"/>
  <c r="BM18" i="29"/>
  <c r="BE47" i="27"/>
  <c r="BE70" i="29"/>
  <c r="AR64" i="31"/>
  <c r="AR57" i="31" s="1"/>
  <c r="AQ70" i="33"/>
  <c r="AR63" i="31"/>
  <c r="AR56" i="31" s="1"/>
  <c r="AQ69" i="33"/>
  <c r="BH44" i="29"/>
  <c r="BH83" i="29" s="1"/>
  <c r="BB73" i="29"/>
  <c r="CA73" i="29" s="1"/>
  <c r="N39" i="20" s="1"/>
  <c r="V39" i="20" s="1"/>
  <c r="BC72" i="29"/>
  <c r="BC73" i="29" s="1"/>
  <c r="AS65" i="31"/>
  <c r="AS58" i="31" s="1"/>
  <c r="AS50" i="31" s="1"/>
  <c r="AS63" i="30"/>
  <c r="AS56" i="30" s="1"/>
  <c r="AS48" i="30" s="1"/>
  <c r="BG34" i="32"/>
  <c r="BA94" i="32"/>
  <c r="BB93" i="32"/>
  <c r="BI38" i="27"/>
  <c r="BJ39" i="29"/>
  <c r="BJ78" i="29" s="1"/>
  <c r="BJ38" i="29"/>
  <c r="AR49" i="30"/>
  <c r="AR61" i="33"/>
  <c r="BI37" i="29"/>
  <c r="BI76" i="29" s="1"/>
  <c r="BD110" i="29" l="1"/>
  <c r="BD72" i="29"/>
  <c r="AA66" i="30"/>
  <c r="AA39" i="27"/>
  <c r="AA37" i="27" s="1"/>
  <c r="AA54" i="30"/>
  <c r="AA59" i="33"/>
  <c r="AA47" i="30"/>
  <c r="Z35" i="27"/>
  <c r="Z33" i="27" s="1"/>
  <c r="Z112" i="30"/>
  <c r="Z111" i="30" s="1"/>
  <c r="Z117" i="30" s="1"/>
  <c r="Z66" i="30"/>
  <c r="Z39" i="27"/>
  <c r="BE67" i="27"/>
  <c r="Y131" i="30"/>
  <c r="Y132" i="30" s="1"/>
  <c r="Y133" i="30" s="1"/>
  <c r="BD105" i="31"/>
  <c r="BD53" i="27" s="1"/>
  <c r="BD99" i="31"/>
  <c r="BF99" i="30"/>
  <c r="BF105" i="30"/>
  <c r="AG98" i="31"/>
  <c r="AG97" i="31" s="1"/>
  <c r="AH60" i="31"/>
  <c r="W95" i="27"/>
  <c r="X74" i="27"/>
  <c r="X132" i="31"/>
  <c r="BG20" i="30"/>
  <c r="BG36" i="30" s="1"/>
  <c r="BG22" i="30"/>
  <c r="BH17" i="30"/>
  <c r="BH18" i="30" s="1"/>
  <c r="BG19" i="27"/>
  <c r="BF23" i="27"/>
  <c r="BF43" i="27"/>
  <c r="BF37" i="30"/>
  <c r="BF38" i="30" s="1"/>
  <c r="BF29" i="30"/>
  <c r="BF30" i="30"/>
  <c r="BF27" i="27"/>
  <c r="BE31" i="27"/>
  <c r="BE73" i="27"/>
  <c r="BE34" i="30"/>
  <c r="BE33" i="30"/>
  <c r="BE31" i="30"/>
  <c r="BE32" i="30"/>
  <c r="Z111" i="31"/>
  <c r="Y130" i="31"/>
  <c r="Y49" i="27"/>
  <c r="BB64" i="27"/>
  <c r="BB30" i="27"/>
  <c r="BB59" i="27"/>
  <c r="CA81" i="27"/>
  <c r="BC81" i="27"/>
  <c r="CA53" i="27"/>
  <c r="N57" i="34" s="1"/>
  <c r="V57" i="34" s="1"/>
  <c r="BC53" i="27"/>
  <c r="BC89" i="27"/>
  <c r="CA89" i="27"/>
  <c r="N10" i="25"/>
  <c r="V13" i="25"/>
  <c r="F76" i="36" s="1"/>
  <c r="BE20" i="31"/>
  <c r="BE36" i="31" s="1"/>
  <c r="BE22" i="31"/>
  <c r="BE20" i="27"/>
  <c r="BF17" i="31"/>
  <c r="BF18" i="31" s="1"/>
  <c r="BD37" i="31"/>
  <c r="BD38" i="31" s="1"/>
  <c r="BD44" i="27"/>
  <c r="BD41" i="27" s="1"/>
  <c r="BD89" i="27" s="1"/>
  <c r="BD29" i="31"/>
  <c r="BD30" i="31"/>
  <c r="BD28" i="27"/>
  <c r="BD18" i="27"/>
  <c r="BD22" i="27" s="1"/>
  <c r="BD24" i="27"/>
  <c r="BC31" i="31"/>
  <c r="BC32" i="31"/>
  <c r="BC33" i="31"/>
  <c r="BC34" i="31"/>
  <c r="BC26" i="27"/>
  <c r="BC30" i="27" s="1"/>
  <c r="BC32" i="27"/>
  <c r="H118" i="26"/>
  <c r="H95" i="26"/>
  <c r="AH60" i="30"/>
  <c r="AH53" i="30" s="1"/>
  <c r="AG108" i="30"/>
  <c r="AF51" i="27"/>
  <c r="AF104" i="30"/>
  <c r="AF106" i="30" s="1"/>
  <c r="AK65" i="30"/>
  <c r="AB62" i="31"/>
  <c r="AB55" i="31" s="1"/>
  <c r="AB47" i="31" s="1"/>
  <c r="AA46" i="31"/>
  <c r="AA51" i="31" s="1"/>
  <c r="AA72" i="33"/>
  <c r="AA67" i="33"/>
  <c r="AA52" i="31"/>
  <c r="AA109" i="31"/>
  <c r="AA107" i="31" s="1"/>
  <c r="AA113" i="31"/>
  <c r="BD110" i="30"/>
  <c r="BB110" i="31"/>
  <c r="BC110" i="31" s="1"/>
  <c r="BG85" i="29"/>
  <c r="BG57" i="29"/>
  <c r="BI62" i="32"/>
  <c r="BJ37" i="29"/>
  <c r="BJ77" i="29"/>
  <c r="O11" i="25"/>
  <c r="BF96" i="29"/>
  <c r="BF70" i="29"/>
  <c r="BF109" i="29" s="1"/>
  <c r="BF47" i="27"/>
  <c r="BE71" i="29"/>
  <c r="BF71" i="29" s="1"/>
  <c r="BF110" i="29" s="1"/>
  <c r="BE109" i="29"/>
  <c r="BD46" i="27"/>
  <c r="BD92" i="32"/>
  <c r="BF68" i="32"/>
  <c r="BG79" i="32"/>
  <c r="BH34" i="32"/>
  <c r="BH69" i="32"/>
  <c r="BH62" i="32"/>
  <c r="BM12" i="32"/>
  <c r="BM13" i="32" s="1"/>
  <c r="BL15" i="32"/>
  <c r="BK22" i="32"/>
  <c r="BK18" i="32"/>
  <c r="BK65" i="32" s="1"/>
  <c r="BJ30" i="32"/>
  <c r="BJ23" i="32"/>
  <c r="BJ33" i="32"/>
  <c r="BJ26" i="32"/>
  <c r="BJ19" i="32"/>
  <c r="BJ20" i="32" s="1"/>
  <c r="BI32" i="32"/>
  <c r="BI31" i="32"/>
  <c r="BI74" i="32" s="1"/>
  <c r="BI75" i="32"/>
  <c r="BI71" i="32"/>
  <c r="BI69" i="32" s="1"/>
  <c r="BI29" i="32"/>
  <c r="BI28" i="32"/>
  <c r="BI27" i="32"/>
  <c r="BI25" i="32"/>
  <c r="BI24" i="32"/>
  <c r="BK87" i="27"/>
  <c r="BK34" i="27"/>
  <c r="BK42" i="27"/>
  <c r="BK27" i="29"/>
  <c r="BK38" i="27" s="1"/>
  <c r="BK25" i="29"/>
  <c r="BM16" i="27"/>
  <c r="BL25" i="27"/>
  <c r="BL50" i="29"/>
  <c r="BL26" i="29"/>
  <c r="BL24" i="29"/>
  <c r="BL45" i="29" s="1"/>
  <c r="BL84" i="29" s="1"/>
  <c r="BN17" i="29"/>
  <c r="BN18" i="29" s="1"/>
  <c r="BM17" i="27"/>
  <c r="BM22" i="29"/>
  <c r="BM20" i="29"/>
  <c r="BE68" i="27"/>
  <c r="BH46" i="29"/>
  <c r="BH85" i="29" s="1"/>
  <c r="AT65" i="31"/>
  <c r="AT58" i="31" s="1"/>
  <c r="AS71" i="33"/>
  <c r="AT63" i="30"/>
  <c r="AT56" i="30" s="1"/>
  <c r="AS60" i="33"/>
  <c r="BA95" i="32"/>
  <c r="BC93" i="32"/>
  <c r="BB94" i="32"/>
  <c r="AS64" i="30"/>
  <c r="AS57" i="30" s="1"/>
  <c r="AS49" i="30" s="1"/>
  <c r="BI44" i="29"/>
  <c r="BI83" i="29" s="1"/>
  <c r="BH73" i="32"/>
  <c r="BJ38" i="27"/>
  <c r="BK47" i="29"/>
  <c r="BK86" i="29" s="1"/>
  <c r="BK38" i="29"/>
  <c r="BK77" i="29" s="1"/>
  <c r="BK39" i="29"/>
  <c r="BK78" i="29" s="1"/>
  <c r="AR49" i="31"/>
  <c r="AR70" i="33"/>
  <c r="AR48" i="31"/>
  <c r="AR69" i="33"/>
  <c r="H97" i="20"/>
  <c r="V10" i="25" l="1"/>
  <c r="BD73" i="29"/>
  <c r="BD111" i="29"/>
  <c r="AA88" i="27"/>
  <c r="AA90" i="27"/>
  <c r="AA109" i="30"/>
  <c r="AA113" i="30"/>
  <c r="AA52" i="30"/>
  <c r="AA63" i="33"/>
  <c r="AA58" i="33"/>
  <c r="AA46" i="30"/>
  <c r="AA51" i="30" s="1"/>
  <c r="AB62" i="30"/>
  <c r="AB55" i="30" s="1"/>
  <c r="AB47" i="30" s="1"/>
  <c r="Z48" i="27"/>
  <c r="Z69" i="27" s="1"/>
  <c r="Z65" i="27" s="1"/>
  <c r="Z130" i="30"/>
  <c r="Z37" i="27"/>
  <c r="BE105" i="31"/>
  <c r="BE53" i="27" s="1"/>
  <c r="BE99" i="31"/>
  <c r="BE110" i="30"/>
  <c r="BG105" i="30"/>
  <c r="BG99" i="30"/>
  <c r="AH53" i="31"/>
  <c r="X94" i="27"/>
  <c r="X82" i="27"/>
  <c r="X133" i="31"/>
  <c r="BH19" i="27"/>
  <c r="BH20" i="30"/>
  <c r="BH36" i="30" s="1"/>
  <c r="BH105" i="30" s="1"/>
  <c r="BI17" i="30"/>
  <c r="BI18" i="30" s="1"/>
  <c r="BH22" i="30"/>
  <c r="BH99" i="30"/>
  <c r="BG37" i="30"/>
  <c r="BG38" i="30" s="1"/>
  <c r="BG43" i="27"/>
  <c r="BG27" i="27"/>
  <c r="BG29" i="30"/>
  <c r="BG30" i="30"/>
  <c r="BG23" i="27"/>
  <c r="BF31" i="30"/>
  <c r="BF33" i="30"/>
  <c r="BF34" i="30"/>
  <c r="BF32" i="30"/>
  <c r="BF31" i="27"/>
  <c r="BF73" i="27"/>
  <c r="Z117" i="31"/>
  <c r="Z55" i="27"/>
  <c r="Y131" i="31"/>
  <c r="Y132" i="31" s="1"/>
  <c r="Y133" i="31" s="1"/>
  <c r="Y45" i="27"/>
  <c r="Y78" i="27"/>
  <c r="CA64" i="27"/>
  <c r="N61" i="34" s="1"/>
  <c r="V61" i="34" s="1"/>
  <c r="BC64" i="27"/>
  <c r="BB57" i="27"/>
  <c r="BC57" i="27" s="1"/>
  <c r="BC59" i="27"/>
  <c r="BF20" i="31"/>
  <c r="BF36" i="31" s="1"/>
  <c r="BF22" i="31"/>
  <c r="BF20" i="27"/>
  <c r="BG17" i="31"/>
  <c r="BG18" i="31" s="1"/>
  <c r="BE37" i="31"/>
  <c r="BE38" i="31" s="1"/>
  <c r="BE44" i="27"/>
  <c r="BE41" i="27" s="1"/>
  <c r="BE89" i="27" s="1"/>
  <c r="BE29" i="31"/>
  <c r="BE30" i="31"/>
  <c r="BE28" i="27"/>
  <c r="BE18" i="27"/>
  <c r="BE22" i="27" s="1"/>
  <c r="BE24" i="27"/>
  <c r="BD31" i="31"/>
  <c r="BD32" i="31"/>
  <c r="BD33" i="31"/>
  <c r="BD34" i="31"/>
  <c r="BD26" i="27"/>
  <c r="BD58" i="27" s="1"/>
  <c r="BD76" i="27"/>
  <c r="BD32" i="27"/>
  <c r="BD81" i="27"/>
  <c r="H96" i="26"/>
  <c r="H97" i="26" s="1"/>
  <c r="H121" i="26"/>
  <c r="AH108" i="30"/>
  <c r="AH45" i="30"/>
  <c r="AK58" i="30"/>
  <c r="AB46" i="31"/>
  <c r="AB51" i="31" s="1"/>
  <c r="AC47" i="31"/>
  <c r="AC55" i="31"/>
  <c r="AB54" i="31"/>
  <c r="AB68" i="33"/>
  <c r="AC62" i="31"/>
  <c r="AB61" i="31"/>
  <c r="AA36" i="27"/>
  <c r="AA112" i="31"/>
  <c r="AG104" i="31"/>
  <c r="AG106" i="31" s="1"/>
  <c r="AG51" i="27"/>
  <c r="BI66" i="32"/>
  <c r="BI68" i="32" s="1"/>
  <c r="BI52" i="27"/>
  <c r="BG96" i="29"/>
  <c r="BG47" i="27"/>
  <c r="BG70" i="29"/>
  <c r="BJ76" i="29"/>
  <c r="BJ44" i="29"/>
  <c r="BL47" i="29"/>
  <c r="BL86" i="29" s="1"/>
  <c r="BL89" i="29"/>
  <c r="BF68" i="27"/>
  <c r="BI73" i="32"/>
  <c r="BE110" i="29"/>
  <c r="BE72" i="29"/>
  <c r="BL38" i="29"/>
  <c r="BL77" i="29" s="1"/>
  <c r="BL39" i="29"/>
  <c r="BD75" i="27"/>
  <c r="BD67" i="27"/>
  <c r="BD93" i="32"/>
  <c r="BD94" i="32" s="1"/>
  <c r="BF79" i="32"/>
  <c r="BG46" i="27"/>
  <c r="BG92" i="32"/>
  <c r="BH66" i="32"/>
  <c r="BH52" i="27"/>
  <c r="BN12" i="32"/>
  <c r="BN13" i="32" s="1"/>
  <c r="BM15" i="32"/>
  <c r="BL22" i="32"/>
  <c r="BL18" i="32"/>
  <c r="BK30" i="32"/>
  <c r="BK26" i="32"/>
  <c r="BK23" i="32"/>
  <c r="BK33" i="32"/>
  <c r="BL65" i="32"/>
  <c r="BK19" i="32"/>
  <c r="BK20" i="32" s="1"/>
  <c r="BJ32" i="32"/>
  <c r="BJ31" i="32"/>
  <c r="BJ74" i="32" s="1"/>
  <c r="BJ25" i="32"/>
  <c r="BJ24" i="32"/>
  <c r="BJ75" i="32"/>
  <c r="BJ71" i="32"/>
  <c r="BJ29" i="32"/>
  <c r="BJ28" i="32"/>
  <c r="BJ27" i="32"/>
  <c r="BJ64" i="32"/>
  <c r="BL87" i="27"/>
  <c r="BL34" i="27"/>
  <c r="BL42" i="27"/>
  <c r="BL27" i="29"/>
  <c r="BL25" i="29"/>
  <c r="BN16" i="27"/>
  <c r="BM25" i="27"/>
  <c r="BM50" i="29"/>
  <c r="BM89" i="29" s="1"/>
  <c r="BM26" i="29"/>
  <c r="BM24" i="29"/>
  <c r="BM45" i="29" s="1"/>
  <c r="BM84" i="29" s="1"/>
  <c r="BO17" i="29"/>
  <c r="BN17" i="27"/>
  <c r="BN22" i="29"/>
  <c r="BN20" i="29"/>
  <c r="BF72" i="29"/>
  <c r="BF111" i="29" s="1"/>
  <c r="BH57" i="29"/>
  <c r="BH96" i="29" s="1"/>
  <c r="AT64" i="30"/>
  <c r="AT57" i="30" s="1"/>
  <c r="AS61" i="33"/>
  <c r="BK37" i="29"/>
  <c r="BK76" i="29" s="1"/>
  <c r="AS64" i="31"/>
  <c r="AS57" i="31" s="1"/>
  <c r="AS49" i="31" s="1"/>
  <c r="AS63" i="31"/>
  <c r="AS56" i="31" s="1"/>
  <c r="AS48" i="31" s="1"/>
  <c r="BI34" i="32"/>
  <c r="AT50" i="31"/>
  <c r="AT71" i="33"/>
  <c r="AT48" i="30"/>
  <c r="AT60" i="33"/>
  <c r="BB95" i="32"/>
  <c r="CA95" i="32" s="1"/>
  <c r="N36" i="20" s="1"/>
  <c r="V36" i="20" s="1"/>
  <c r="BC94" i="32"/>
  <c r="BC95" i="32" s="1"/>
  <c r="BI46" i="29"/>
  <c r="S97" i="20"/>
  <c r="H124" i="20"/>
  <c r="S45" i="20"/>
  <c r="Z131" i="30" l="1"/>
  <c r="Z132" i="30"/>
  <c r="AA83" i="27"/>
  <c r="F51" i="36"/>
  <c r="F72" i="36"/>
  <c r="BJ83" i="29"/>
  <c r="BJ46" i="29"/>
  <c r="BJ57" i="29" s="1"/>
  <c r="BJ96" i="29" s="1"/>
  <c r="BJ85" i="29"/>
  <c r="AA107" i="30"/>
  <c r="AA112" i="30"/>
  <c r="AA35" i="27"/>
  <c r="AA74" i="33"/>
  <c r="AB46" i="30"/>
  <c r="AB51" i="30" s="1"/>
  <c r="AC47" i="30"/>
  <c r="AC55" i="30"/>
  <c r="AB54" i="30"/>
  <c r="AB59" i="33"/>
  <c r="AC62" i="30"/>
  <c r="AB61" i="30"/>
  <c r="Z90" i="27"/>
  <c r="Z88" i="27"/>
  <c r="BI79" i="32"/>
  <c r="BC62" i="27"/>
  <c r="H123" i="26"/>
  <c r="CB52" i="27"/>
  <c r="O50" i="34" s="1"/>
  <c r="AH108" i="31"/>
  <c r="AH45" i="31"/>
  <c r="Z133" i="30"/>
  <c r="X95" i="27"/>
  <c r="BH23" i="27"/>
  <c r="BH43" i="27"/>
  <c r="BH37" i="30"/>
  <c r="BH38" i="30" s="1"/>
  <c r="BI22" i="30"/>
  <c r="BI19" i="27"/>
  <c r="BI20" i="30"/>
  <c r="BI36" i="30" s="1"/>
  <c r="BJ17" i="30"/>
  <c r="BJ18" i="30" s="1"/>
  <c r="BH29" i="30"/>
  <c r="BH30" i="30"/>
  <c r="BH27" i="27"/>
  <c r="BG31" i="27"/>
  <c r="BG73" i="27"/>
  <c r="BG32" i="30"/>
  <c r="BG33" i="30"/>
  <c r="BG31" i="30"/>
  <c r="BG34" i="30"/>
  <c r="Z49" i="27"/>
  <c r="Z130" i="31"/>
  <c r="Y74" i="27"/>
  <c r="Y82" i="27" s="1"/>
  <c r="BF37" i="31"/>
  <c r="BF38" i="31" s="1"/>
  <c r="BF44" i="27"/>
  <c r="BF41" i="27" s="1"/>
  <c r="BF89" i="27" s="1"/>
  <c r="BF30" i="31"/>
  <c r="BF29" i="31"/>
  <c r="BF28" i="27"/>
  <c r="BF18" i="27"/>
  <c r="BF22" i="27" s="1"/>
  <c r="BF24" i="27"/>
  <c r="BG20" i="31"/>
  <c r="BG36" i="31" s="1"/>
  <c r="BH17" i="31"/>
  <c r="BH18" i="31" s="1"/>
  <c r="BG22" i="31"/>
  <c r="BG20" i="27"/>
  <c r="BE31" i="31"/>
  <c r="BE32" i="31"/>
  <c r="BE34" i="31"/>
  <c r="BE33" i="31"/>
  <c r="BE26" i="27"/>
  <c r="BE76" i="27"/>
  <c r="BE75" i="27"/>
  <c r="BE32" i="27"/>
  <c r="BE81" i="27"/>
  <c r="BD64" i="27"/>
  <c r="BD30" i="27"/>
  <c r="BD59" i="27"/>
  <c r="BD57" i="27" s="1"/>
  <c r="AI60" i="30"/>
  <c r="AI53" i="30" s="1"/>
  <c r="AI45" i="30" s="1"/>
  <c r="AH98" i="30"/>
  <c r="AH97" i="30" s="1"/>
  <c r="AK50" i="30"/>
  <c r="AK62" i="33"/>
  <c r="AD62" i="31"/>
  <c r="AC46" i="31"/>
  <c r="AC51" i="31" s="1"/>
  <c r="AC54" i="31"/>
  <c r="AB52" i="31"/>
  <c r="AB109" i="31"/>
  <c r="AB113" i="31"/>
  <c r="AC113" i="31" s="1"/>
  <c r="AC68" i="33"/>
  <c r="AB72" i="33"/>
  <c r="AB67" i="33"/>
  <c r="AC67" i="33" s="1"/>
  <c r="AB59" i="31"/>
  <c r="AC61" i="31"/>
  <c r="AA111" i="31"/>
  <c r="BF110" i="30"/>
  <c r="BD110" i="31"/>
  <c r="BF105" i="31"/>
  <c r="BF53" i="27" s="1"/>
  <c r="BF99" i="31"/>
  <c r="BG68" i="27"/>
  <c r="BG109" i="29"/>
  <c r="BG71" i="29"/>
  <c r="BK64" i="32"/>
  <c r="BK62" i="32" s="1"/>
  <c r="BL37" i="29"/>
  <c r="BL78" i="29"/>
  <c r="BE111" i="29"/>
  <c r="BE73" i="29"/>
  <c r="BI57" i="29"/>
  <c r="BI85" i="29"/>
  <c r="BF73" i="29"/>
  <c r="BP17" i="29"/>
  <c r="BO18" i="29"/>
  <c r="BD95" i="32"/>
  <c r="BE93" i="32"/>
  <c r="BF92" i="32"/>
  <c r="BF46" i="27"/>
  <c r="BG67" i="27"/>
  <c r="BH68" i="32"/>
  <c r="BM22" i="32"/>
  <c r="BM18" i="32"/>
  <c r="BM65" i="32" s="1"/>
  <c r="BN15" i="32"/>
  <c r="BO12" i="32"/>
  <c r="BL30" i="32"/>
  <c r="BL23" i="32"/>
  <c r="BL33" i="32"/>
  <c r="BL26" i="32"/>
  <c r="BL19" i="32"/>
  <c r="BL20" i="32" s="1"/>
  <c r="BK32" i="32"/>
  <c r="BK31" i="32"/>
  <c r="BK74" i="32" s="1"/>
  <c r="BK75" i="32"/>
  <c r="BK71" i="32"/>
  <c r="BK69" i="32" s="1"/>
  <c r="BK29" i="32"/>
  <c r="BK28" i="32"/>
  <c r="BK27" i="32"/>
  <c r="BK25" i="32"/>
  <c r="BK24" i="32"/>
  <c r="BJ73" i="32"/>
  <c r="BJ69" i="32"/>
  <c r="BJ62" i="32"/>
  <c r="BL38" i="27"/>
  <c r="BM87" i="27"/>
  <c r="BM47" i="29"/>
  <c r="BM86" i="29" s="1"/>
  <c r="BM34" i="27"/>
  <c r="BM42" i="27"/>
  <c r="BM27" i="29"/>
  <c r="BM25" i="29"/>
  <c r="BO16" i="27"/>
  <c r="BN25" i="27"/>
  <c r="BN50" i="29"/>
  <c r="BN26" i="29"/>
  <c r="BN24" i="29"/>
  <c r="BN45" i="29" s="1"/>
  <c r="BN84" i="29" s="1"/>
  <c r="BH47" i="27"/>
  <c r="BH70" i="29"/>
  <c r="BH109" i="29" s="1"/>
  <c r="BK44" i="29"/>
  <c r="BK83" i="29" s="1"/>
  <c r="AT64" i="31"/>
  <c r="AT57" i="31" s="1"/>
  <c r="AS70" i="33"/>
  <c r="AT63" i="31"/>
  <c r="AT56" i="31" s="1"/>
  <c r="AS69" i="33"/>
  <c r="AU65" i="31"/>
  <c r="AU58" i="31" s="1"/>
  <c r="AU50" i="31" s="1"/>
  <c r="AU63" i="30"/>
  <c r="AU56" i="30" s="1"/>
  <c r="AU48" i="30" s="1"/>
  <c r="BJ34" i="32"/>
  <c r="BM39" i="29"/>
  <c r="BM78" i="29" s="1"/>
  <c r="BM38" i="29"/>
  <c r="BM77" i="29" s="1"/>
  <c r="AT49" i="30"/>
  <c r="AT61" i="33"/>
  <c r="I97" i="20"/>
  <c r="I124" i="20" s="1"/>
  <c r="Z83" i="27" l="1"/>
  <c r="BJ47" i="27"/>
  <c r="BJ70" i="29"/>
  <c r="BJ109" i="29" s="1"/>
  <c r="AA54" i="27"/>
  <c r="AA111" i="30"/>
  <c r="AA33" i="27"/>
  <c r="AC46" i="30"/>
  <c r="AC51" i="30" s="1"/>
  <c r="AD62" i="30"/>
  <c r="AC54" i="30"/>
  <c r="AB52" i="30"/>
  <c r="AB113" i="30"/>
  <c r="AC113" i="30" s="1"/>
  <c r="AB109" i="30"/>
  <c r="AC59" i="33"/>
  <c r="AB58" i="33"/>
  <c r="AC58" i="33" s="1"/>
  <c r="AB63" i="33"/>
  <c r="AC61" i="30"/>
  <c r="AB59" i="30"/>
  <c r="BI46" i="27"/>
  <c r="BI92" i="32"/>
  <c r="BI99" i="30"/>
  <c r="BI105" i="30"/>
  <c r="AI60" i="31"/>
  <c r="AI53" i="31" s="1"/>
  <c r="AI45" i="31" s="1"/>
  <c r="AH98" i="31"/>
  <c r="AH97" i="31" s="1"/>
  <c r="BJ19" i="27"/>
  <c r="BJ20" i="30"/>
  <c r="BJ36" i="30" s="1"/>
  <c r="BJ22" i="30"/>
  <c r="BK17" i="30"/>
  <c r="BK18" i="30" s="1"/>
  <c r="BI29" i="30"/>
  <c r="BI27" i="27"/>
  <c r="BI30" i="30"/>
  <c r="BI23" i="27"/>
  <c r="BI37" i="30"/>
  <c r="BI38" i="30" s="1"/>
  <c r="BI43" i="27"/>
  <c r="BH33" i="30"/>
  <c r="BH34" i="30"/>
  <c r="BH31" i="30"/>
  <c r="BH32" i="30"/>
  <c r="BH31" i="27"/>
  <c r="BH73" i="27"/>
  <c r="Z45" i="27"/>
  <c r="Z78" i="27"/>
  <c r="Z131" i="31"/>
  <c r="Y94" i="27"/>
  <c r="BF31" i="31"/>
  <c r="BF32" i="31"/>
  <c r="BF33" i="31"/>
  <c r="BF34" i="31"/>
  <c r="BF76" i="27"/>
  <c r="BF26" i="27"/>
  <c r="BF58" i="27" s="1"/>
  <c r="BF32" i="27"/>
  <c r="BF81" i="27"/>
  <c r="BG37" i="31"/>
  <c r="BG38" i="31" s="1"/>
  <c r="BG44" i="27"/>
  <c r="BG41" i="27" s="1"/>
  <c r="BG89" i="27" s="1"/>
  <c r="BH22" i="31"/>
  <c r="BH20" i="27"/>
  <c r="BI17" i="31"/>
  <c r="BI18" i="31" s="1"/>
  <c r="BH20" i="31"/>
  <c r="BH36" i="31" s="1"/>
  <c r="BG29" i="31"/>
  <c r="BG30" i="31"/>
  <c r="BG28" i="27"/>
  <c r="BG18" i="27"/>
  <c r="BG22" i="27" s="1"/>
  <c r="BG24" i="27"/>
  <c r="BE30" i="27"/>
  <c r="BE64" i="27"/>
  <c r="BE58" i="27"/>
  <c r="BE59" i="27"/>
  <c r="AI108" i="30"/>
  <c r="AH104" i="30"/>
  <c r="AH106" i="30" s="1"/>
  <c r="AL65" i="30"/>
  <c r="AL58" i="30"/>
  <c r="AD61" i="31"/>
  <c r="AD59" i="31" s="1"/>
  <c r="AD55" i="31"/>
  <c r="AC52" i="31"/>
  <c r="F98" i="26" s="1"/>
  <c r="AB36" i="27"/>
  <c r="AB112" i="31"/>
  <c r="AB107" i="31"/>
  <c r="AC109" i="31"/>
  <c r="AC72" i="33"/>
  <c r="AC59" i="31"/>
  <c r="AB66" i="31"/>
  <c r="AB40" i="27"/>
  <c r="AA117" i="31"/>
  <c r="BG110" i="30"/>
  <c r="BE110" i="31"/>
  <c r="BG99" i="31"/>
  <c r="BG105" i="31"/>
  <c r="BG53" i="27" s="1"/>
  <c r="AI98" i="30"/>
  <c r="AI97" i="30" s="1"/>
  <c r="AI104" i="30" s="1"/>
  <c r="AI106" i="30" s="1"/>
  <c r="AJ60" i="30"/>
  <c r="BK66" i="32"/>
  <c r="BK68" i="32" s="1"/>
  <c r="BK52" i="27"/>
  <c r="BG110" i="29"/>
  <c r="BG72" i="29"/>
  <c r="BL76" i="29"/>
  <c r="BL44" i="29"/>
  <c r="BN47" i="29"/>
  <c r="BN86" i="29" s="1"/>
  <c r="BN89" i="29"/>
  <c r="BI96" i="29"/>
  <c r="BI70" i="29"/>
  <c r="BI109" i="29" s="1"/>
  <c r="BI47" i="27"/>
  <c r="BN38" i="29"/>
  <c r="BN77" i="29" s="1"/>
  <c r="BN39" i="29"/>
  <c r="BN78" i="29" s="1"/>
  <c r="BO17" i="27"/>
  <c r="BO22" i="29"/>
  <c r="BO25" i="27" s="1"/>
  <c r="BO20" i="29"/>
  <c r="BP18" i="29"/>
  <c r="I43" i="26" s="1"/>
  <c r="BF93" i="32"/>
  <c r="BF75" i="27"/>
  <c r="BF67" i="27"/>
  <c r="BH79" i="32"/>
  <c r="BM30" i="32"/>
  <c r="BM26" i="32"/>
  <c r="BM33" i="32"/>
  <c r="BM23" i="32"/>
  <c r="BM19" i="32"/>
  <c r="BM20" i="32" s="1"/>
  <c r="BM64" i="32" s="1"/>
  <c r="BM62" i="32" s="1"/>
  <c r="BN22" i="32"/>
  <c r="BN18" i="32"/>
  <c r="BN65" i="32" s="1"/>
  <c r="BL32" i="32"/>
  <c r="BL31" i="32"/>
  <c r="BL74" i="32" s="1"/>
  <c r="BL25" i="32"/>
  <c r="BL24" i="32"/>
  <c r="BL75" i="32"/>
  <c r="BL71" i="32"/>
  <c r="BL29" i="32"/>
  <c r="BL28" i="32"/>
  <c r="BL27" i="32"/>
  <c r="BL64" i="32"/>
  <c r="BK34" i="32"/>
  <c r="BJ66" i="32"/>
  <c r="BJ52" i="27"/>
  <c r="BN87" i="27"/>
  <c r="BN34" i="27"/>
  <c r="BN42" i="27"/>
  <c r="BN27" i="29"/>
  <c r="BN38" i="27" s="1"/>
  <c r="BN25" i="29"/>
  <c r="BH68" i="27"/>
  <c r="BH71" i="29"/>
  <c r="BK46" i="29"/>
  <c r="BK85" i="29" s="1"/>
  <c r="AV65" i="31"/>
  <c r="AV58" i="31" s="1"/>
  <c r="AU71" i="33"/>
  <c r="AV63" i="30"/>
  <c r="AV56" i="30" s="1"/>
  <c r="AU60" i="33"/>
  <c r="BM37" i="29"/>
  <c r="BM76" i="29" s="1"/>
  <c r="AU64" i="30"/>
  <c r="AU57" i="30" s="1"/>
  <c r="AU49" i="30" s="1"/>
  <c r="BE94" i="32"/>
  <c r="BP12" i="32"/>
  <c r="BO13" i="32"/>
  <c r="BK73" i="32"/>
  <c r="BM38" i="27"/>
  <c r="AT49" i="31"/>
  <c r="AT70" i="33"/>
  <c r="AT48" i="31"/>
  <c r="AT69" i="33"/>
  <c r="AA117" i="30" l="1"/>
  <c r="AA55" i="27"/>
  <c r="AC63" i="33"/>
  <c r="AB74" i="33"/>
  <c r="AA48" i="27"/>
  <c r="AA69" i="27" s="1"/>
  <c r="AA65" i="27" s="1"/>
  <c r="AA130" i="30"/>
  <c r="AC52" i="30"/>
  <c r="F76" i="26" s="1"/>
  <c r="F120" i="26" s="1"/>
  <c r="AB35" i="27"/>
  <c r="AB112" i="30"/>
  <c r="AC109" i="30"/>
  <c r="AB107" i="30"/>
  <c r="AB54" i="27" s="1"/>
  <c r="AC59" i="30"/>
  <c r="AB39" i="27"/>
  <c r="AB66" i="30"/>
  <c r="AD61" i="30"/>
  <c r="AD59" i="30" s="1"/>
  <c r="AD55" i="30"/>
  <c r="BI67" i="27"/>
  <c r="AH104" i="31"/>
  <c r="AH106" i="31" s="1"/>
  <c r="AH51" i="27"/>
  <c r="BK79" i="32"/>
  <c r="AI98" i="31"/>
  <c r="AI97" i="31" s="1"/>
  <c r="AJ60" i="31"/>
  <c r="AI108" i="31"/>
  <c r="BJ23" i="27"/>
  <c r="BJ43" i="27"/>
  <c r="BJ37" i="30"/>
  <c r="BJ38" i="30" s="1"/>
  <c r="BJ29" i="30"/>
  <c r="BJ27" i="27"/>
  <c r="BJ30" i="30"/>
  <c r="BK22" i="30"/>
  <c r="BK19" i="27"/>
  <c r="BK20" i="30"/>
  <c r="BK36" i="30" s="1"/>
  <c r="BL17" i="30"/>
  <c r="BL18" i="30" s="1"/>
  <c r="BI31" i="27"/>
  <c r="BI73" i="27"/>
  <c r="BI32" i="30"/>
  <c r="BI34" i="30"/>
  <c r="BI31" i="30"/>
  <c r="BI33" i="30"/>
  <c r="CB43" i="27"/>
  <c r="O45" i="25" s="1"/>
  <c r="O12" i="25" s="1"/>
  <c r="Z74" i="27"/>
  <c r="Z132" i="31"/>
  <c r="Y95" i="27"/>
  <c r="BF64" i="27"/>
  <c r="BF30" i="27"/>
  <c r="BF59" i="27"/>
  <c r="BF57" i="27" s="1"/>
  <c r="BH29" i="31"/>
  <c r="BH30" i="31"/>
  <c r="BH28" i="27"/>
  <c r="BH18" i="27"/>
  <c r="BH22" i="27" s="1"/>
  <c r="BH24" i="27"/>
  <c r="BI20" i="31"/>
  <c r="BI36" i="31" s="1"/>
  <c r="BI22" i="31"/>
  <c r="BI20" i="27"/>
  <c r="BJ17" i="31"/>
  <c r="BJ18" i="31" s="1"/>
  <c r="BH37" i="31"/>
  <c r="BH38" i="31" s="1"/>
  <c r="BH44" i="27"/>
  <c r="BH41" i="27" s="1"/>
  <c r="BH89" i="27" s="1"/>
  <c r="BG31" i="31"/>
  <c r="BG32" i="31"/>
  <c r="BG33" i="31"/>
  <c r="BG34" i="31"/>
  <c r="BG75" i="27"/>
  <c r="BG26" i="27"/>
  <c r="BG76" i="27"/>
  <c r="BG32" i="27"/>
  <c r="BG81" i="27"/>
  <c r="AL62" i="33"/>
  <c r="AL50" i="30"/>
  <c r="AD40" i="27"/>
  <c r="AD66" i="31"/>
  <c r="AD54" i="31"/>
  <c r="AD68" i="33"/>
  <c r="AD47" i="31"/>
  <c r="AC36" i="27"/>
  <c r="AC112" i="31"/>
  <c r="AB111" i="31"/>
  <c r="AB117" i="31" s="1"/>
  <c r="AC117" i="31" s="1"/>
  <c r="AC107" i="31"/>
  <c r="AC40" i="27"/>
  <c r="AA130" i="31"/>
  <c r="AA49" i="27"/>
  <c r="AJ53" i="30"/>
  <c r="BH110" i="30"/>
  <c r="BF110" i="31"/>
  <c r="BE57" i="27"/>
  <c r="BJ99" i="30"/>
  <c r="BJ105" i="30"/>
  <c r="BH105" i="31"/>
  <c r="BH53" i="27" s="1"/>
  <c r="BH99" i="31"/>
  <c r="BG111" i="29"/>
  <c r="BG73" i="29"/>
  <c r="BL83" i="29"/>
  <c r="BL46" i="29"/>
  <c r="BP17" i="27"/>
  <c r="BP16" i="27"/>
  <c r="BI68" i="27"/>
  <c r="BI71" i="29"/>
  <c r="BH72" i="29"/>
  <c r="BH110" i="29"/>
  <c r="BN37" i="29"/>
  <c r="BG93" i="32"/>
  <c r="BG94" i="32" s="1"/>
  <c r="BG95" i="32" s="1"/>
  <c r="BF94" i="32"/>
  <c r="BF95" i="32" s="1"/>
  <c r="BO50" i="29"/>
  <c r="BP22" i="29"/>
  <c r="BO26" i="29"/>
  <c r="BO24" i="29"/>
  <c r="BP20" i="29"/>
  <c r="BP24" i="29" s="1"/>
  <c r="BP25" i="29" s="1"/>
  <c r="I46" i="26"/>
  <c r="I117" i="26"/>
  <c r="BH92" i="32"/>
  <c r="BH46" i="27"/>
  <c r="BM32" i="32"/>
  <c r="BM31" i="32"/>
  <c r="BM75" i="32"/>
  <c r="BM71" i="32"/>
  <c r="BM29" i="32"/>
  <c r="BM28" i="32"/>
  <c r="BM27" i="32"/>
  <c r="BM74" i="32"/>
  <c r="BM25" i="32"/>
  <c r="BM24" i="32"/>
  <c r="BN30" i="32"/>
  <c r="BN33" i="32"/>
  <c r="BN26" i="32"/>
  <c r="BN23" i="32"/>
  <c r="BN19" i="32"/>
  <c r="BN20" i="32" s="1"/>
  <c r="BL69" i="32"/>
  <c r="BL62" i="32"/>
  <c r="BM66" i="32"/>
  <c r="BM68" i="32" s="1"/>
  <c r="BM52" i="27"/>
  <c r="BJ68" i="32"/>
  <c r="I131" i="26"/>
  <c r="I130" i="26" s="1"/>
  <c r="BO87" i="27"/>
  <c r="BK57" i="29"/>
  <c r="BK96" i="29" s="1"/>
  <c r="BM44" i="29"/>
  <c r="BM83" i="29" s="1"/>
  <c r="AV64" i="30"/>
  <c r="AV57" i="30" s="1"/>
  <c r="AU61" i="33"/>
  <c r="BE95" i="32"/>
  <c r="BP13" i="32"/>
  <c r="BO15" i="32"/>
  <c r="AU64" i="31"/>
  <c r="AU57" i="31" s="1"/>
  <c r="AU49" i="31" s="1"/>
  <c r="AU63" i="31"/>
  <c r="AU56" i="31" s="1"/>
  <c r="AU48" i="31" s="1"/>
  <c r="BL73" i="32"/>
  <c r="BL34" i="32"/>
  <c r="AV50" i="31"/>
  <c r="AV71" i="33"/>
  <c r="AV48" i="30"/>
  <c r="AV60" i="33"/>
  <c r="S124" i="20"/>
  <c r="BW74" i="33" l="1"/>
  <c r="J197" i="23" s="1"/>
  <c r="J68" i="34" s="1"/>
  <c r="T68" i="34" s="1"/>
  <c r="AC74" i="33"/>
  <c r="AC35" i="27"/>
  <c r="AB33" i="27"/>
  <c r="AC33" i="27" s="1"/>
  <c r="BI99" i="31"/>
  <c r="BI105" i="31"/>
  <c r="BI53" i="27" s="1"/>
  <c r="CB53" i="27" s="1"/>
  <c r="O57" i="34" s="1"/>
  <c r="BK46" i="27"/>
  <c r="BK92" i="32"/>
  <c r="AA131" i="30"/>
  <c r="AC112" i="30"/>
  <c r="AB111" i="30"/>
  <c r="AB55" i="27" s="1"/>
  <c r="AC107" i="30"/>
  <c r="AD39" i="27"/>
  <c r="AD37" i="27" s="1"/>
  <c r="AD66" i="30"/>
  <c r="AD59" i="33"/>
  <c r="AD47" i="30"/>
  <c r="AD54" i="30"/>
  <c r="AC39" i="27"/>
  <c r="AB37" i="27"/>
  <c r="BI110" i="30"/>
  <c r="AJ53" i="31"/>
  <c r="BJ68" i="27"/>
  <c r="BJ31" i="27"/>
  <c r="BJ73" i="27"/>
  <c r="BJ32" i="30"/>
  <c r="BJ33" i="30"/>
  <c r="BJ34" i="30"/>
  <c r="BJ31" i="30"/>
  <c r="BL22" i="30"/>
  <c r="BM17" i="30"/>
  <c r="BM18" i="30" s="1"/>
  <c r="BL19" i="27"/>
  <c r="BL20" i="30"/>
  <c r="BL36" i="30" s="1"/>
  <c r="BK30" i="30"/>
  <c r="BK29" i="30"/>
  <c r="BK27" i="27"/>
  <c r="BK23" i="27"/>
  <c r="BK37" i="30"/>
  <c r="BK38" i="30" s="1"/>
  <c r="BK43" i="27"/>
  <c r="Z94" i="27"/>
  <c r="Z82" i="27"/>
  <c r="Z133" i="31"/>
  <c r="BH31" i="31"/>
  <c r="BH32" i="31"/>
  <c r="BH33" i="31"/>
  <c r="BH34" i="31"/>
  <c r="BH76" i="27"/>
  <c r="BH26" i="27"/>
  <c r="BH58" i="27" s="1"/>
  <c r="BH32" i="27"/>
  <c r="BH81" i="27"/>
  <c r="BJ20" i="31"/>
  <c r="BJ36" i="31" s="1"/>
  <c r="BJ22" i="31"/>
  <c r="BJ20" i="27"/>
  <c r="BK17" i="31"/>
  <c r="BK18" i="31" s="1"/>
  <c r="BJ99" i="31"/>
  <c r="BJ105" i="31"/>
  <c r="BJ53" i="27" s="1"/>
  <c r="BI37" i="31"/>
  <c r="BI38" i="31" s="1"/>
  <c r="BI44" i="27"/>
  <c r="BI29" i="31"/>
  <c r="BI30" i="31"/>
  <c r="BI28" i="27"/>
  <c r="BI18" i="27"/>
  <c r="BI22" i="27" s="1"/>
  <c r="BI24" i="27"/>
  <c r="BG64" i="27"/>
  <c r="BG30" i="27"/>
  <c r="BG59" i="27"/>
  <c r="BG58" i="27"/>
  <c r="BG57" i="27" s="1"/>
  <c r="AM65" i="30"/>
  <c r="AD52" i="31"/>
  <c r="AD109" i="31"/>
  <c r="AD107" i="31" s="1"/>
  <c r="AD113" i="31"/>
  <c r="AD72" i="33"/>
  <c r="AD67" i="33"/>
  <c r="AE62" i="31"/>
  <c r="AD46" i="31"/>
  <c r="AD51" i="31" s="1"/>
  <c r="AC111" i="31"/>
  <c r="AC54" i="27"/>
  <c r="BW54" i="27"/>
  <c r="J60" i="34" s="1"/>
  <c r="T60" i="34" s="1"/>
  <c r="AB130" i="31"/>
  <c r="AC130" i="31" s="1"/>
  <c r="AB49" i="27"/>
  <c r="AC49" i="27" s="1"/>
  <c r="AA131" i="31"/>
  <c r="AA132" i="31" s="1"/>
  <c r="AA45" i="27"/>
  <c r="AA78" i="27"/>
  <c r="AJ108" i="30"/>
  <c r="AJ45" i="30"/>
  <c r="BG110" i="31"/>
  <c r="AI104" i="31"/>
  <c r="AI106" i="31" s="1"/>
  <c r="AI51" i="27"/>
  <c r="BX51" i="27" s="1"/>
  <c r="K38" i="34" s="1"/>
  <c r="BK105" i="30"/>
  <c r="BK99" i="30"/>
  <c r="CB73" i="27"/>
  <c r="BL57" i="29"/>
  <c r="BL85" i="29"/>
  <c r="BP26" i="29"/>
  <c r="I53" i="26" s="1"/>
  <c r="BO34" i="27"/>
  <c r="BP34" i="27" s="1"/>
  <c r="BO45" i="29"/>
  <c r="BO84" i="29" s="1"/>
  <c r="BP84" i="29" s="1"/>
  <c r="BO42" i="27"/>
  <c r="BO27" i="29"/>
  <c r="BO25" i="29"/>
  <c r="BN44" i="29"/>
  <c r="BN76" i="29"/>
  <c r="BP50" i="29"/>
  <c r="BO47" i="29"/>
  <c r="BO89" i="29"/>
  <c r="BP89" i="29" s="1"/>
  <c r="I48" i="26"/>
  <c r="BP25" i="27"/>
  <c r="K117" i="26"/>
  <c r="W11" i="20"/>
  <c r="C7" i="36" s="1"/>
  <c r="G68" i="36"/>
  <c r="BI110" i="29"/>
  <c r="BI72" i="29"/>
  <c r="BJ71" i="29"/>
  <c r="BH111" i="29"/>
  <c r="BH73" i="29"/>
  <c r="BP87" i="27"/>
  <c r="CC87" i="27"/>
  <c r="BO38" i="29"/>
  <c r="BO77" i="29" s="1"/>
  <c r="BP77" i="29" s="1"/>
  <c r="BO39" i="29"/>
  <c r="I50" i="26"/>
  <c r="I51" i="26" s="1"/>
  <c r="AV49" i="30"/>
  <c r="AW64" i="30" s="1"/>
  <c r="AW57" i="30" s="1"/>
  <c r="AW49" i="30" s="1"/>
  <c r="AV61" i="33"/>
  <c r="BH93" i="32"/>
  <c r="BH75" i="27"/>
  <c r="BH67" i="27"/>
  <c r="BM73" i="32"/>
  <c r="BM34" i="32"/>
  <c r="BN32" i="32"/>
  <c r="BN31" i="32"/>
  <c r="BN74" i="32" s="1"/>
  <c r="BN75" i="32"/>
  <c r="BN71" i="32"/>
  <c r="BN69" i="32" s="1"/>
  <c r="BN29" i="32"/>
  <c r="BN28" i="32"/>
  <c r="BN27" i="32"/>
  <c r="BN25" i="32"/>
  <c r="BN24" i="32"/>
  <c r="BN64" i="32"/>
  <c r="BL66" i="32"/>
  <c r="BL52" i="27"/>
  <c r="BJ79" i="32"/>
  <c r="BK47" i="27"/>
  <c r="BK70" i="29"/>
  <c r="BK109" i="29" s="1"/>
  <c r="BM46" i="29"/>
  <c r="BM85" i="29" s="1"/>
  <c r="BP15" i="32"/>
  <c r="BP14" i="32" s="1"/>
  <c r="BO22" i="32"/>
  <c r="BO18" i="32"/>
  <c r="CC18" i="32" s="1"/>
  <c r="P60" i="25" s="1"/>
  <c r="P25" i="25" s="1"/>
  <c r="AV64" i="31"/>
  <c r="AV57" i="31" s="1"/>
  <c r="AU70" i="33"/>
  <c r="AV63" i="31"/>
  <c r="AV56" i="31" s="1"/>
  <c r="AU69" i="33"/>
  <c r="AW65" i="31"/>
  <c r="AW58" i="31" s="1"/>
  <c r="AW50" i="31" s="1"/>
  <c r="AW63" i="30"/>
  <c r="AW56" i="30" s="1"/>
  <c r="AW48" i="30" s="1"/>
  <c r="BM69" i="32"/>
  <c r="BN73" i="32" l="1"/>
  <c r="AC37" i="27"/>
  <c r="AB88" i="27"/>
  <c r="AB90" i="27"/>
  <c r="AC90" i="27" s="1"/>
  <c r="AC111" i="30"/>
  <c r="AB117" i="30"/>
  <c r="BK67" i="27"/>
  <c r="BJ110" i="30"/>
  <c r="AD58" i="33"/>
  <c r="AD63" i="33"/>
  <c r="AD74" i="33" s="1"/>
  <c r="AE62" i="30"/>
  <c r="AD46" i="30"/>
  <c r="AD51" i="30" s="1"/>
  <c r="AD113" i="30"/>
  <c r="AD52" i="30"/>
  <c r="AD109" i="30"/>
  <c r="AD107" i="30" s="1"/>
  <c r="AD54" i="27" s="1"/>
  <c r="AA132" i="30"/>
  <c r="AA133" i="30" s="1"/>
  <c r="AD90" i="27"/>
  <c r="AD88" i="27"/>
  <c r="AD83" i="27" s="1"/>
  <c r="BL99" i="30"/>
  <c r="BL105" i="30"/>
  <c r="AJ108" i="31"/>
  <c r="AJ45" i="31"/>
  <c r="BL30" i="30"/>
  <c r="BL29" i="30"/>
  <c r="BL27" i="27"/>
  <c r="BM19" i="27"/>
  <c r="BM20" i="30"/>
  <c r="BM36" i="30" s="1"/>
  <c r="BM99" i="30" s="1"/>
  <c r="BM22" i="30"/>
  <c r="BN17" i="30"/>
  <c r="BN18" i="30" s="1"/>
  <c r="BL23" i="27"/>
  <c r="BL37" i="30"/>
  <c r="BL38" i="30" s="1"/>
  <c r="BL43" i="27"/>
  <c r="BK33" i="30"/>
  <c r="BK31" i="30"/>
  <c r="BK32" i="30"/>
  <c r="BK34" i="30"/>
  <c r="BK31" i="27"/>
  <c r="BK73" i="27"/>
  <c r="Z95" i="27"/>
  <c r="BH64" i="27"/>
  <c r="BH30" i="27"/>
  <c r="BH59" i="27"/>
  <c r="BH57" i="27" s="1"/>
  <c r="BJ44" i="27"/>
  <c r="BJ41" i="27" s="1"/>
  <c r="BJ89" i="27" s="1"/>
  <c r="BJ37" i="31"/>
  <c r="BJ38" i="31" s="1"/>
  <c r="BJ28" i="27"/>
  <c r="BJ29" i="31"/>
  <c r="BJ30" i="31"/>
  <c r="BJ18" i="27"/>
  <c r="BJ22" i="27" s="1"/>
  <c r="BJ24" i="27"/>
  <c r="BK20" i="31"/>
  <c r="BK36" i="31" s="1"/>
  <c r="BK22" i="31"/>
  <c r="BL17" i="31"/>
  <c r="BL18" i="31"/>
  <c r="BK20" i="27"/>
  <c r="BI41" i="27"/>
  <c r="BI89" i="27" s="1"/>
  <c r="CB89" i="27" s="1"/>
  <c r="CB44" i="27"/>
  <c r="O46" i="25" s="1"/>
  <c r="O13" i="25" s="1"/>
  <c r="O10" i="25" s="1"/>
  <c r="BI32" i="31"/>
  <c r="BI31" i="31"/>
  <c r="BI33" i="31"/>
  <c r="BI34" i="31"/>
  <c r="BI26" i="27"/>
  <c r="BI76" i="27"/>
  <c r="BI75" i="27"/>
  <c r="BI32" i="27"/>
  <c r="BI81" i="27"/>
  <c r="AM58" i="30"/>
  <c r="AD36" i="27"/>
  <c r="AD112" i="31"/>
  <c r="AD111" i="31" s="1"/>
  <c r="AC55" i="27"/>
  <c r="BW55" i="27"/>
  <c r="J72" i="34" s="1"/>
  <c r="T72" i="34" s="1"/>
  <c r="AB131" i="31"/>
  <c r="AB78" i="27"/>
  <c r="AC88" i="27"/>
  <c r="AB83" i="27"/>
  <c r="BW88" i="27"/>
  <c r="BW90" i="27"/>
  <c r="AA74" i="27"/>
  <c r="AA82" i="27" s="1"/>
  <c r="AK60" i="30"/>
  <c r="AK53" i="30" s="1"/>
  <c r="AK45" i="30" s="1"/>
  <c r="AK98" i="30" s="1"/>
  <c r="AK97" i="30" s="1"/>
  <c r="AK104" i="30" s="1"/>
  <c r="AK106" i="30" s="1"/>
  <c r="AJ98" i="30"/>
  <c r="AJ97" i="30" s="1"/>
  <c r="BH110" i="31"/>
  <c r="AE61" i="31"/>
  <c r="AE59" i="31" s="1"/>
  <c r="AE55" i="31"/>
  <c r="AA133" i="31"/>
  <c r="K53" i="26"/>
  <c r="L53" i="26"/>
  <c r="BP45" i="29"/>
  <c r="BL70" i="29"/>
  <c r="BL109" i="29" s="1"/>
  <c r="BL47" i="27"/>
  <c r="BL96" i="29"/>
  <c r="BN34" i="32"/>
  <c r="CC42" i="27"/>
  <c r="P44" i="25" s="1"/>
  <c r="P11" i="25" s="1"/>
  <c r="BP42" i="27"/>
  <c r="BP27" i="29"/>
  <c r="BO38" i="27"/>
  <c r="BP38" i="27" s="1"/>
  <c r="BN83" i="29"/>
  <c r="BN46" i="29"/>
  <c r="BO86" i="29"/>
  <c r="BP86" i="29" s="1"/>
  <c r="BP47" i="29"/>
  <c r="I119" i="26"/>
  <c r="I52" i="26"/>
  <c r="I135" i="26"/>
  <c r="I134" i="26"/>
  <c r="BP39" i="29"/>
  <c r="BO78" i="29"/>
  <c r="BP78" i="29" s="1"/>
  <c r="K50" i="26"/>
  <c r="L50" i="26" s="1"/>
  <c r="P23" i="25"/>
  <c r="W23" i="25" s="1"/>
  <c r="W25" i="25"/>
  <c r="G85" i="36" s="1"/>
  <c r="BI111" i="29"/>
  <c r="BI73" i="29"/>
  <c r="CB73" i="29" s="1"/>
  <c r="O39" i="20" s="1"/>
  <c r="BJ110" i="29"/>
  <c r="BJ72" i="29"/>
  <c r="BP38" i="29"/>
  <c r="BO37" i="29"/>
  <c r="BO76" i="29" s="1"/>
  <c r="BP76" i="29" s="1"/>
  <c r="BI93" i="32"/>
  <c r="BI94" i="32" s="1"/>
  <c r="BH94" i="32"/>
  <c r="BH95" i="32" s="1"/>
  <c r="BN62" i="32"/>
  <c r="BL68" i="32"/>
  <c r="BJ92" i="32"/>
  <c r="BJ46" i="27"/>
  <c r="BK68" i="27"/>
  <c r="BK71" i="29"/>
  <c r="BK110" i="29" s="1"/>
  <c r="BM57" i="29"/>
  <c r="BM96" i="29" s="1"/>
  <c r="AW61" i="33"/>
  <c r="AX64" i="30"/>
  <c r="AX57" i="30" s="1"/>
  <c r="BP22" i="32"/>
  <c r="BO30" i="32"/>
  <c r="BO26" i="32"/>
  <c r="BO33" i="32"/>
  <c r="BP33" i="32" s="1"/>
  <c r="BO23" i="32"/>
  <c r="BO65" i="32"/>
  <c r="BP65" i="32" s="1"/>
  <c r="BP18" i="32"/>
  <c r="BO19" i="32"/>
  <c r="BO20" i="32" s="1"/>
  <c r="BP20" i="32" s="1"/>
  <c r="AX65" i="31"/>
  <c r="AX58" i="31" s="1"/>
  <c r="AW71" i="33"/>
  <c r="AX63" i="30"/>
  <c r="AX56" i="30" s="1"/>
  <c r="AW60" i="33"/>
  <c r="BM79" i="32"/>
  <c r="AV49" i="31"/>
  <c r="AV70" i="33"/>
  <c r="AV48" i="31"/>
  <c r="AV69" i="33"/>
  <c r="J97" i="20"/>
  <c r="AB74" i="27" l="1"/>
  <c r="AC78" i="27"/>
  <c r="BM105" i="30"/>
  <c r="AC117" i="30"/>
  <c r="AB130" i="30"/>
  <c r="AB48" i="27"/>
  <c r="AD35" i="27"/>
  <c r="AD33" i="27" s="1"/>
  <c r="AD112" i="30"/>
  <c r="AD111" i="30" s="1"/>
  <c r="AE61" i="30"/>
  <c r="AE59" i="30" s="1"/>
  <c r="AE55" i="30"/>
  <c r="AC131" i="31"/>
  <c r="AB132" i="31"/>
  <c r="AK60" i="31"/>
  <c r="AK53" i="31" s="1"/>
  <c r="AK45" i="31" s="1"/>
  <c r="AJ98" i="31"/>
  <c r="AJ97" i="31" s="1"/>
  <c r="BL31" i="30"/>
  <c r="BL33" i="30"/>
  <c r="BL34" i="30"/>
  <c r="BL32" i="30"/>
  <c r="BL31" i="27"/>
  <c r="BL73" i="27"/>
  <c r="BM23" i="27"/>
  <c r="BN19" i="27"/>
  <c r="BN22" i="30"/>
  <c r="BN20" i="30"/>
  <c r="BN36" i="30" s="1"/>
  <c r="BO17" i="30"/>
  <c r="BM43" i="27"/>
  <c r="BM37" i="30"/>
  <c r="BM38" i="30" s="1"/>
  <c r="BM30" i="30"/>
  <c r="BM27" i="27"/>
  <c r="BM29" i="30"/>
  <c r="BJ26" i="27"/>
  <c r="BJ58" i="27" s="1"/>
  <c r="BJ76" i="27"/>
  <c r="BJ32" i="27"/>
  <c r="BJ81" i="27"/>
  <c r="BJ31" i="31"/>
  <c r="BJ34" i="31"/>
  <c r="BJ33" i="31"/>
  <c r="BJ32" i="31"/>
  <c r="BK44" i="27"/>
  <c r="BK41" i="27" s="1"/>
  <c r="BK89" i="27" s="1"/>
  <c r="BK37" i="31"/>
  <c r="BK38" i="31" s="1"/>
  <c r="BK29" i="31"/>
  <c r="BK30" i="31"/>
  <c r="BK28" i="27"/>
  <c r="BL20" i="31"/>
  <c r="BL36" i="31" s="1"/>
  <c r="BM17" i="31"/>
  <c r="BM18" i="31" s="1"/>
  <c r="BL22" i="31"/>
  <c r="BL20" i="27"/>
  <c r="BK18" i="27"/>
  <c r="BK22" i="27" s="1"/>
  <c r="BK24" i="27"/>
  <c r="BI64" i="27"/>
  <c r="BI30" i="27"/>
  <c r="BI58" i="27"/>
  <c r="BI59" i="27"/>
  <c r="BI57" i="27" s="1"/>
  <c r="CB81" i="27"/>
  <c r="AM50" i="30"/>
  <c r="AN65" i="30" s="1"/>
  <c r="AM62" i="33"/>
  <c r="BW83" i="27"/>
  <c r="AC83" i="27"/>
  <c r="F126" i="26" s="1"/>
  <c r="AC74" i="27"/>
  <c r="AA94" i="27"/>
  <c r="AL60" i="30"/>
  <c r="AL53" i="30" s="1"/>
  <c r="AK108" i="30"/>
  <c r="AJ104" i="30"/>
  <c r="AJ106" i="30" s="1"/>
  <c r="AE40" i="27"/>
  <c r="AE66" i="31"/>
  <c r="AE68" i="33"/>
  <c r="AE54" i="31"/>
  <c r="AE47" i="31"/>
  <c r="BK110" i="30"/>
  <c r="BI110" i="31"/>
  <c r="BK99" i="31"/>
  <c r="BK105" i="31"/>
  <c r="BK53" i="27" s="1"/>
  <c r="AD117" i="31"/>
  <c r="W11" i="25"/>
  <c r="G74" i="36" s="1"/>
  <c r="BL68" i="27"/>
  <c r="BN57" i="29"/>
  <c r="BN85" i="29"/>
  <c r="W12" i="20"/>
  <c r="C8" i="36" s="1"/>
  <c r="G69" i="36"/>
  <c r="G56" i="36"/>
  <c r="G83" i="36"/>
  <c r="BJ111" i="29"/>
  <c r="BJ73" i="29"/>
  <c r="BO44" i="29"/>
  <c r="BO83" i="29" s="1"/>
  <c r="BP83" i="29" s="1"/>
  <c r="BP37" i="29"/>
  <c r="BN66" i="32"/>
  <c r="BN52" i="27"/>
  <c r="BL79" i="32"/>
  <c r="BJ93" i="32"/>
  <c r="BJ75" i="27"/>
  <c r="BJ67" i="27"/>
  <c r="BM47" i="27"/>
  <c r="BM70" i="29"/>
  <c r="BM109" i="29" s="1"/>
  <c r="BP30" i="32"/>
  <c r="BO32" i="32"/>
  <c r="BP32" i="32" s="1"/>
  <c r="BO31" i="32"/>
  <c r="BP26" i="32"/>
  <c r="BO75" i="32"/>
  <c r="BP75" i="32" s="1"/>
  <c r="BO71" i="32"/>
  <c r="BO29" i="32"/>
  <c r="BP29" i="32" s="1"/>
  <c r="BO28" i="32"/>
  <c r="BP28" i="32" s="1"/>
  <c r="BO27" i="32"/>
  <c r="BP27" i="32" s="1"/>
  <c r="BP23" i="32"/>
  <c r="BO25" i="32"/>
  <c r="BP25" i="32" s="1"/>
  <c r="BO24" i="32"/>
  <c r="BO64" i="32"/>
  <c r="BP19" i="32"/>
  <c r="BM46" i="27"/>
  <c r="BM92" i="32"/>
  <c r="AW64" i="31"/>
  <c r="AW57" i="31" s="1"/>
  <c r="AW49" i="31" s="1"/>
  <c r="AW63" i="31"/>
  <c r="AW56" i="31" s="1"/>
  <c r="AW48" i="31" s="1"/>
  <c r="BL71" i="29"/>
  <c r="BL110" i="29" s="1"/>
  <c r="BK72" i="29"/>
  <c r="BK111" i="29" s="1"/>
  <c r="AX49" i="30"/>
  <c r="AX61" i="33"/>
  <c r="AX50" i="31"/>
  <c r="AX71" i="33"/>
  <c r="AX48" i="30"/>
  <c r="AX60" i="33"/>
  <c r="BI95" i="32"/>
  <c r="CB95" i="32" s="1"/>
  <c r="O36" i="20" s="1"/>
  <c r="T97" i="20"/>
  <c r="AB131" i="30" l="1"/>
  <c r="AC131" i="30" s="1"/>
  <c r="AC130" i="30"/>
  <c r="AB132" i="30"/>
  <c r="AB45" i="27"/>
  <c r="AC45" i="27" s="1"/>
  <c r="AC48" i="27"/>
  <c r="AB69" i="27"/>
  <c r="AJ104" i="31"/>
  <c r="AJ106" i="31" s="1"/>
  <c r="AJ51" i="27"/>
  <c r="AD117" i="30"/>
  <c r="AD55" i="27"/>
  <c r="BN99" i="30"/>
  <c r="BN105" i="30"/>
  <c r="AE66" i="30"/>
  <c r="AE39" i="27"/>
  <c r="AE37" i="27" s="1"/>
  <c r="AE59" i="33"/>
  <c r="AE54" i="30"/>
  <c r="AE47" i="30"/>
  <c r="AC132" i="31"/>
  <c r="AC133" i="31" s="1"/>
  <c r="AB133" i="31"/>
  <c r="BW133" i="31" s="1"/>
  <c r="J45" i="20" s="1"/>
  <c r="T45" i="20" s="1"/>
  <c r="AK98" i="31"/>
  <c r="AK97" i="31" s="1"/>
  <c r="AL60" i="31"/>
  <c r="AK108" i="31"/>
  <c r="BN23" i="27"/>
  <c r="BN30" i="30"/>
  <c r="BN27" i="27"/>
  <c r="BN29" i="30"/>
  <c r="BN43" i="27"/>
  <c r="BN37" i="30"/>
  <c r="BN38" i="30" s="1"/>
  <c r="BM33" i="30"/>
  <c r="BM34" i="30"/>
  <c r="BM31" i="30"/>
  <c r="BM32" i="30"/>
  <c r="BM31" i="27"/>
  <c r="BM73" i="27"/>
  <c r="BJ64" i="27"/>
  <c r="BJ30" i="27"/>
  <c r="BJ59" i="27"/>
  <c r="BJ57" i="27" s="1"/>
  <c r="BK31" i="31"/>
  <c r="BK32" i="31"/>
  <c r="BK33" i="31"/>
  <c r="BK34" i="31"/>
  <c r="BK76" i="27"/>
  <c r="BK26" i="27"/>
  <c r="BK75" i="27"/>
  <c r="BK32" i="27"/>
  <c r="BK81" i="27"/>
  <c r="BL37" i="31"/>
  <c r="BL38" i="31" s="1"/>
  <c r="BL44" i="27"/>
  <c r="BL41" i="27" s="1"/>
  <c r="BL89" i="27" s="1"/>
  <c r="BL29" i="31"/>
  <c r="BL30" i="31"/>
  <c r="BL28" i="27"/>
  <c r="BL18" i="27"/>
  <c r="BL22" i="27" s="1"/>
  <c r="BL24" i="27"/>
  <c r="BM20" i="31"/>
  <c r="BM36" i="31" s="1"/>
  <c r="BM22" i="31"/>
  <c r="BM20" i="27"/>
  <c r="BN17" i="31"/>
  <c r="BN18" i="31" s="1"/>
  <c r="CB64" i="27"/>
  <c r="O61" i="34" s="1"/>
  <c r="AN58" i="30"/>
  <c r="F125" i="26"/>
  <c r="AC79" i="27"/>
  <c r="AA95" i="27"/>
  <c r="AL108" i="30"/>
  <c r="AL45" i="30"/>
  <c r="AE72" i="33"/>
  <c r="AE67" i="33"/>
  <c r="AE52" i="31"/>
  <c r="AE109" i="31"/>
  <c r="AE107" i="31" s="1"/>
  <c r="AE113" i="31"/>
  <c r="AF62" i="31"/>
  <c r="AE46" i="31"/>
  <c r="AE51" i="31" s="1"/>
  <c r="AD49" i="27"/>
  <c r="AD130" i="31"/>
  <c r="BL110" i="30"/>
  <c r="BJ110" i="31"/>
  <c r="BP17" i="30"/>
  <c r="BO18" i="30"/>
  <c r="BL99" i="31"/>
  <c r="BL105" i="31"/>
  <c r="BL53" i="27" s="1"/>
  <c r="BN47" i="27"/>
  <c r="BN70" i="29"/>
  <c r="BN109" i="29" s="1"/>
  <c r="BN96" i="29"/>
  <c r="BK93" i="32"/>
  <c r="BK94" i="32" s="1"/>
  <c r="BK95" i="32" s="1"/>
  <c r="BJ94" i="32"/>
  <c r="BJ95" i="32" s="1"/>
  <c r="BP44" i="29"/>
  <c r="BO46" i="29"/>
  <c r="BO85" i="29" s="1"/>
  <c r="BP85" i="29" s="1"/>
  <c r="BP31" i="32"/>
  <c r="BO74" i="32"/>
  <c r="BN68" i="32"/>
  <c r="BL92" i="32"/>
  <c r="BL46" i="27"/>
  <c r="BM68" i="27"/>
  <c r="BM71" i="29"/>
  <c r="BM110" i="29" s="1"/>
  <c r="BP71" i="32"/>
  <c r="BO69" i="32"/>
  <c r="BP69" i="32" s="1"/>
  <c r="BO34" i="32"/>
  <c r="BP24" i="32"/>
  <c r="BP64" i="32"/>
  <c r="BO62" i="32"/>
  <c r="BM67" i="27"/>
  <c r="AX64" i="31"/>
  <c r="AX57" i="31" s="1"/>
  <c r="AW70" i="33"/>
  <c r="AX63" i="31"/>
  <c r="AX56" i="31" s="1"/>
  <c r="AW69" i="33"/>
  <c r="BL72" i="29"/>
  <c r="BL111" i="29" s="1"/>
  <c r="BK73" i="29"/>
  <c r="AY64" i="30"/>
  <c r="AY57" i="30" s="1"/>
  <c r="AY49" i="30" s="1"/>
  <c r="AY65" i="31"/>
  <c r="AY58" i="31" s="1"/>
  <c r="AY50" i="31" s="1"/>
  <c r="AY63" i="30"/>
  <c r="AY56" i="30" s="1"/>
  <c r="AY48" i="30" s="1"/>
  <c r="BP34" i="32" l="1"/>
  <c r="AB133" i="30"/>
  <c r="BW133" i="30" s="1"/>
  <c r="J42" i="20" s="1"/>
  <c r="T42" i="20" s="1"/>
  <c r="AC132" i="30"/>
  <c r="AC133" i="30" s="1"/>
  <c r="AC69" i="27"/>
  <c r="AB65" i="27"/>
  <c r="AD130" i="30"/>
  <c r="AD131" i="30" s="1"/>
  <c r="AD132" i="30" s="1"/>
  <c r="AD133" i="30" s="1"/>
  <c r="AD48" i="27"/>
  <c r="AE90" i="27"/>
  <c r="AE88" i="27"/>
  <c r="AE83" i="27" s="1"/>
  <c r="AE58" i="33"/>
  <c r="AE63" i="33"/>
  <c r="AE74" i="33" s="1"/>
  <c r="AE109" i="30"/>
  <c r="AE107" i="30" s="1"/>
  <c r="AE54" i="27" s="1"/>
  <c r="AE113" i="30"/>
  <c r="AE52" i="30"/>
  <c r="AF62" i="30"/>
  <c r="AE46" i="30"/>
  <c r="AE51" i="30" s="1"/>
  <c r="AK51" i="27"/>
  <c r="AK104" i="31"/>
  <c r="AK106" i="31" s="1"/>
  <c r="AL53" i="31"/>
  <c r="BN32" i="30"/>
  <c r="BN34" i="30"/>
  <c r="BN33" i="30"/>
  <c r="BN31" i="30"/>
  <c r="BN31" i="27"/>
  <c r="BN73" i="27"/>
  <c r="BK64" i="27"/>
  <c r="BK30" i="27"/>
  <c r="BK58" i="27"/>
  <c r="BK59" i="27"/>
  <c r="BL33" i="31"/>
  <c r="BL32" i="31"/>
  <c r="BL31" i="31"/>
  <c r="BL34" i="31"/>
  <c r="BL76" i="27"/>
  <c r="BL26" i="27"/>
  <c r="BL58" i="27" s="1"/>
  <c r="BL32" i="27"/>
  <c r="BL81" i="27"/>
  <c r="BM37" i="31"/>
  <c r="BM38" i="31" s="1"/>
  <c r="BM44" i="27"/>
  <c r="BM41" i="27" s="1"/>
  <c r="BM89" i="27" s="1"/>
  <c r="BM28" i="27"/>
  <c r="BM29" i="31"/>
  <c r="BM30" i="31"/>
  <c r="BM18" i="27"/>
  <c r="BM22" i="27" s="1"/>
  <c r="BM24" i="27"/>
  <c r="BN22" i="31"/>
  <c r="BN20" i="31"/>
  <c r="BN36" i="31" s="1"/>
  <c r="BO17" i="31"/>
  <c r="BN20" i="27"/>
  <c r="AN50" i="30"/>
  <c r="AN62" i="33"/>
  <c r="AM60" i="30"/>
  <c r="AM53" i="30" s="1"/>
  <c r="AM45" i="30" s="1"/>
  <c r="AM98" i="30" s="1"/>
  <c r="AM97" i="30" s="1"/>
  <c r="AM104" i="30" s="1"/>
  <c r="AM106" i="30" s="1"/>
  <c r="AL98" i="30"/>
  <c r="AE36" i="27"/>
  <c r="AE112" i="31"/>
  <c r="AE111" i="31" s="1"/>
  <c r="AE117" i="31" s="1"/>
  <c r="AF61" i="31"/>
  <c r="AF59" i="31" s="1"/>
  <c r="AF55" i="31"/>
  <c r="AD78" i="27"/>
  <c r="AD74" i="27" s="1"/>
  <c r="AD131" i="31"/>
  <c r="AD132" i="31" s="1"/>
  <c r="AD133" i="31" s="1"/>
  <c r="BO20" i="30"/>
  <c r="BO36" i="30" s="1"/>
  <c r="BO22" i="30"/>
  <c r="BP18" i="30"/>
  <c r="BO19" i="27"/>
  <c r="BM110" i="30"/>
  <c r="BK110" i="31"/>
  <c r="BM99" i="31"/>
  <c r="BM105" i="31"/>
  <c r="BM53" i="27" s="1"/>
  <c r="BN68" i="27"/>
  <c r="BN71" i="29"/>
  <c r="BN110" i="29" s="1"/>
  <c r="BL73" i="29"/>
  <c r="BP46" i="29"/>
  <c r="BO57" i="29"/>
  <c r="BO96" i="29" s="1"/>
  <c r="BP96" i="29" s="1"/>
  <c r="BP74" i="32"/>
  <c r="BO73" i="32"/>
  <c r="BP73" i="32" s="1"/>
  <c r="BN79" i="32"/>
  <c r="BL93" i="32"/>
  <c r="BL75" i="27"/>
  <c r="BL67" i="27"/>
  <c r="BP62" i="32"/>
  <c r="BO52" i="27"/>
  <c r="BO66" i="32"/>
  <c r="AZ64" i="30"/>
  <c r="AZ57" i="30" s="1"/>
  <c r="AY61" i="33"/>
  <c r="AZ65" i="31"/>
  <c r="AZ58" i="31" s="1"/>
  <c r="AY71" i="33"/>
  <c r="AZ63" i="30"/>
  <c r="AZ56" i="30" s="1"/>
  <c r="AY60" i="33"/>
  <c r="BM72" i="29"/>
  <c r="BM111" i="29" s="1"/>
  <c r="AX49" i="31"/>
  <c r="AX70" i="33"/>
  <c r="AX48" i="31"/>
  <c r="AX69" i="33"/>
  <c r="BN110" i="30" l="1"/>
  <c r="AB82" i="27"/>
  <c r="AB94" i="27"/>
  <c r="AB95" i="27" s="1"/>
  <c r="BW95" i="27" s="1"/>
  <c r="J33" i="20" s="1"/>
  <c r="T33" i="20" s="1"/>
  <c r="AC65" i="27"/>
  <c r="AC82" i="27" s="1"/>
  <c r="AD69" i="27"/>
  <c r="AD65" i="27" s="1"/>
  <c r="AD94" i="27" s="1"/>
  <c r="AD95" i="27" s="1"/>
  <c r="AD45" i="27"/>
  <c r="AD82" i="27" s="1"/>
  <c r="F124" i="26"/>
  <c r="F122" i="26" s="1"/>
  <c r="AE35" i="27"/>
  <c r="AE33" i="27" s="1"/>
  <c r="AE112" i="30"/>
  <c r="AE111" i="30" s="1"/>
  <c r="AF61" i="30"/>
  <c r="AF59" i="30" s="1"/>
  <c r="AF55" i="30"/>
  <c r="BL110" i="31"/>
  <c r="BK57" i="27"/>
  <c r="AL108" i="31"/>
  <c r="AL45" i="31"/>
  <c r="BL64" i="27"/>
  <c r="BL30" i="27"/>
  <c r="BL59" i="27"/>
  <c r="BL57" i="27" s="1"/>
  <c r="BM75" i="27"/>
  <c r="BM76" i="27"/>
  <c r="BM26" i="27"/>
  <c r="BM32" i="27"/>
  <c r="BM81" i="27"/>
  <c r="BM31" i="31"/>
  <c r="BM32" i="31"/>
  <c r="BM34" i="31"/>
  <c r="BM33" i="31"/>
  <c r="BN28" i="27"/>
  <c r="BN30" i="31"/>
  <c r="BN29" i="31"/>
  <c r="BN37" i="31"/>
  <c r="BN38" i="31" s="1"/>
  <c r="BN44" i="27"/>
  <c r="BN41" i="27" s="1"/>
  <c r="BN89" i="27" s="1"/>
  <c r="BN18" i="27"/>
  <c r="BN22" i="27" s="1"/>
  <c r="BN24" i="27"/>
  <c r="AO65" i="30"/>
  <c r="AN60" i="30"/>
  <c r="AN53" i="30" s="1"/>
  <c r="AM108" i="30"/>
  <c r="AL97" i="30"/>
  <c r="AE49" i="27"/>
  <c r="AE130" i="31"/>
  <c r="AF66" i="31"/>
  <c r="AF40" i="27"/>
  <c r="AF54" i="31"/>
  <c r="AF68" i="33"/>
  <c r="AF47" i="31"/>
  <c r="BO99" i="30"/>
  <c r="BP99" i="30" s="1"/>
  <c r="BP77" i="30" s="1"/>
  <c r="BO105" i="30"/>
  <c r="BO37" i="30"/>
  <c r="BO38" i="30" s="1"/>
  <c r="BO43" i="27"/>
  <c r="BO30" i="30"/>
  <c r="BO27" i="27"/>
  <c r="BO29" i="30"/>
  <c r="I66" i="26"/>
  <c r="BP22" i="30"/>
  <c r="BP20" i="30"/>
  <c r="BP36" i="30" s="1"/>
  <c r="BP19" i="27"/>
  <c r="BO23" i="27"/>
  <c r="BN105" i="31"/>
  <c r="BN53" i="27" s="1"/>
  <c r="BN99" i="31"/>
  <c r="BP17" i="31"/>
  <c r="BO18" i="31"/>
  <c r="BP52" i="27"/>
  <c r="CC52" i="27"/>
  <c r="P50" i="34" s="1"/>
  <c r="BN72" i="29"/>
  <c r="BN111" i="29" s="1"/>
  <c r="BP57" i="29"/>
  <c r="BO70" i="29"/>
  <c r="BO109" i="29" s="1"/>
  <c r="BP109" i="29" s="1"/>
  <c r="BO47" i="27"/>
  <c r="BM93" i="32"/>
  <c r="BM94" i="32" s="1"/>
  <c r="BL94" i="32"/>
  <c r="BN92" i="32"/>
  <c r="BN46" i="27"/>
  <c r="BL95" i="32"/>
  <c r="BP66" i="32"/>
  <c r="BO68" i="32"/>
  <c r="BM73" i="29"/>
  <c r="AY64" i="31"/>
  <c r="AY57" i="31" s="1"/>
  <c r="AY49" i="31" s="1"/>
  <c r="AY63" i="31"/>
  <c r="AY56" i="31"/>
  <c r="AY48" i="31" s="1"/>
  <c r="AZ49" i="30"/>
  <c r="AZ61" i="33"/>
  <c r="AZ71" i="33"/>
  <c r="AZ50" i="31"/>
  <c r="AZ60" i="33"/>
  <c r="AZ48" i="30"/>
  <c r="BP37" i="30" l="1"/>
  <c r="BP38" i="30" s="1"/>
  <c r="AC71" i="27"/>
  <c r="AC94" i="27"/>
  <c r="BW94" i="27"/>
  <c r="F128" i="26"/>
  <c r="F129" i="26" s="1"/>
  <c r="AE55" i="27"/>
  <c r="AE117" i="30"/>
  <c r="AF66" i="30"/>
  <c r="AF39" i="27"/>
  <c r="AF37" i="27" s="1"/>
  <c r="AF54" i="30"/>
  <c r="AF59" i="33"/>
  <c r="AF47" i="30"/>
  <c r="AM60" i="31"/>
  <c r="AM53" i="31" s="1"/>
  <c r="AM45" i="31" s="1"/>
  <c r="AL98" i="31"/>
  <c r="AL97" i="31" s="1"/>
  <c r="BM64" i="27"/>
  <c r="BM30" i="27"/>
  <c r="BM58" i="27"/>
  <c r="BM59" i="27"/>
  <c r="BN76" i="27"/>
  <c r="BN26" i="27"/>
  <c r="BN58" i="27" s="1"/>
  <c r="BN32" i="27"/>
  <c r="BN81" i="27"/>
  <c r="BN31" i="31"/>
  <c r="BN33" i="31"/>
  <c r="BN32" i="31"/>
  <c r="BN34" i="31"/>
  <c r="AN108" i="30"/>
  <c r="AN45" i="30"/>
  <c r="AL104" i="30"/>
  <c r="AE78" i="27"/>
  <c r="AE74" i="27" s="1"/>
  <c r="AE131" i="31"/>
  <c r="AE132" i="31" s="1"/>
  <c r="AE133" i="31" s="1"/>
  <c r="AF52" i="31"/>
  <c r="AF109" i="31"/>
  <c r="AF107" i="31" s="1"/>
  <c r="AF113" i="31"/>
  <c r="AF72" i="33"/>
  <c r="AF67" i="33"/>
  <c r="AF46" i="31"/>
  <c r="AF51" i="31" s="1"/>
  <c r="AG62" i="31"/>
  <c r="BP105" i="30"/>
  <c r="CC43" i="27"/>
  <c r="P45" i="25" s="1"/>
  <c r="P12" i="25" s="1"/>
  <c r="BP43" i="27"/>
  <c r="BO32" i="30"/>
  <c r="BO33" i="30"/>
  <c r="BO34" i="30"/>
  <c r="BO31" i="30"/>
  <c r="BO31" i="27"/>
  <c r="BO73" i="27"/>
  <c r="I69" i="26"/>
  <c r="BP27" i="27"/>
  <c r="I136" i="26"/>
  <c r="BP30" i="30"/>
  <c r="BP29" i="30"/>
  <c r="I71" i="26"/>
  <c r="BP23" i="27"/>
  <c r="BO20" i="31"/>
  <c r="BO36" i="31" s="1"/>
  <c r="BO22" i="31"/>
  <c r="BP18" i="31"/>
  <c r="BO20" i="27"/>
  <c r="BM110" i="31"/>
  <c r="AP65" i="30"/>
  <c r="AO58" i="30"/>
  <c r="W50" i="34"/>
  <c r="BN73" i="29"/>
  <c r="BO71" i="29"/>
  <c r="BO110" i="29" s="1"/>
  <c r="BP110" i="29" s="1"/>
  <c r="BP70" i="29"/>
  <c r="BP47" i="27"/>
  <c r="BO68" i="27"/>
  <c r="BP68" i="27" s="1"/>
  <c r="BN93" i="32"/>
  <c r="BN94" i="32" s="1"/>
  <c r="BN95" i="32" s="1"/>
  <c r="BN75" i="27"/>
  <c r="BN67" i="27"/>
  <c r="BP68" i="32"/>
  <c r="BO79" i="32"/>
  <c r="AZ64" i="31"/>
  <c r="AZ57" i="31" s="1"/>
  <c r="AY70" i="33"/>
  <c r="AZ63" i="31"/>
  <c r="AZ56" i="31" s="1"/>
  <c r="AY69" i="33"/>
  <c r="BA64" i="30"/>
  <c r="BA57" i="30" s="1"/>
  <c r="BA49" i="30" s="1"/>
  <c r="BA65" i="31"/>
  <c r="BA58" i="31" s="1"/>
  <c r="BA50" i="31" s="1"/>
  <c r="BA63" i="30"/>
  <c r="BA56" i="30" s="1"/>
  <c r="BA48" i="30" s="1"/>
  <c r="BM95" i="32"/>
  <c r="AC96" i="27" l="1"/>
  <c r="AC97" i="27" s="1"/>
  <c r="AC95" i="27"/>
  <c r="AF88" i="27"/>
  <c r="AF90" i="27"/>
  <c r="BO110" i="30"/>
  <c r="BP110" i="30" s="1"/>
  <c r="AE48" i="27"/>
  <c r="AE130" i="30"/>
  <c r="AE131" i="30" s="1"/>
  <c r="AE132" i="30" s="1"/>
  <c r="AE133" i="30" s="1"/>
  <c r="AF113" i="30"/>
  <c r="AF109" i="30"/>
  <c r="AF107" i="30" s="1"/>
  <c r="AF54" i="27" s="1"/>
  <c r="AF52" i="30"/>
  <c r="AF58" i="33"/>
  <c r="AF63" i="33"/>
  <c r="AF74" i="33" s="1"/>
  <c r="AG62" i="30"/>
  <c r="AF46" i="30"/>
  <c r="AF51" i="30" s="1"/>
  <c r="AM98" i="31"/>
  <c r="AM97" i="31" s="1"/>
  <c r="AN60" i="31"/>
  <c r="AM108" i="31"/>
  <c r="BN64" i="27"/>
  <c r="BN30" i="27"/>
  <c r="BN59" i="27"/>
  <c r="BN57" i="27" s="1"/>
  <c r="AO60" i="30"/>
  <c r="AO53" i="30" s="1"/>
  <c r="AO45" i="30" s="1"/>
  <c r="AN98" i="30"/>
  <c r="AL106" i="30"/>
  <c r="AF36" i="27"/>
  <c r="AF112" i="31"/>
  <c r="AF111" i="31" s="1"/>
  <c r="W12" i="25"/>
  <c r="G75" i="36" s="1"/>
  <c r="BP73" i="27"/>
  <c r="CC73" i="27"/>
  <c r="I73" i="26"/>
  <c r="BP31" i="27"/>
  <c r="BP32" i="30"/>
  <c r="BP31" i="30"/>
  <c r="BP33" i="30"/>
  <c r="BP34" i="30"/>
  <c r="BO105" i="31"/>
  <c r="BO99" i="31"/>
  <c r="BP99" i="31" s="1"/>
  <c r="BP77" i="31" s="1"/>
  <c r="BO44" i="27"/>
  <c r="BO37" i="31"/>
  <c r="BO38" i="31" s="1"/>
  <c r="BO30" i="31"/>
  <c r="BO28" i="27"/>
  <c r="BO29" i="31"/>
  <c r="BP20" i="27"/>
  <c r="BP22" i="31"/>
  <c r="BP20" i="31"/>
  <c r="BP36" i="31" s="1"/>
  <c r="I88" i="26"/>
  <c r="BO18" i="27"/>
  <c r="BO22" i="27" s="1"/>
  <c r="BO24" i="27"/>
  <c r="AO62" i="33"/>
  <c r="AP62" i="33" s="1"/>
  <c r="AP58" i="30"/>
  <c r="AO50" i="30"/>
  <c r="AP50" i="30" s="1"/>
  <c r="BM57" i="27"/>
  <c r="BN110" i="31"/>
  <c r="AL104" i="31"/>
  <c r="AL106" i="31" s="1"/>
  <c r="AL51" i="27"/>
  <c r="AG61" i="31"/>
  <c r="AG59" i="31" s="1"/>
  <c r="AG55" i="31"/>
  <c r="BP71" i="29"/>
  <c r="BO72" i="29"/>
  <c r="BO111" i="29" s="1"/>
  <c r="BP111" i="29" s="1"/>
  <c r="BP79" i="32"/>
  <c r="BO92" i="32"/>
  <c r="BO46" i="27"/>
  <c r="BB64" i="30"/>
  <c r="BA61" i="33"/>
  <c r="BB65" i="31"/>
  <c r="BA71" i="33"/>
  <c r="BB63" i="30"/>
  <c r="BA60" i="33"/>
  <c r="AZ49" i="31"/>
  <c r="AZ70" i="33"/>
  <c r="AZ48" i="31"/>
  <c r="AZ69" i="33"/>
  <c r="AF83" i="27" l="1"/>
  <c r="AE45" i="27"/>
  <c r="AE69" i="27"/>
  <c r="AE65" i="27" s="1"/>
  <c r="AE94" i="27" s="1"/>
  <c r="AE95" i="27" s="1"/>
  <c r="AF35" i="27"/>
  <c r="AF33" i="27" s="1"/>
  <c r="AF112" i="30"/>
  <c r="AF111" i="30" s="1"/>
  <c r="AG61" i="30"/>
  <c r="AG59" i="30" s="1"/>
  <c r="AG55" i="30"/>
  <c r="AF117" i="31"/>
  <c r="AN53" i="31"/>
  <c r="AP53" i="30"/>
  <c r="AO108" i="30"/>
  <c r="AP60" i="30"/>
  <c r="AN97" i="30"/>
  <c r="I74" i="26"/>
  <c r="I75" i="26" s="1"/>
  <c r="K73" i="26"/>
  <c r="L73" i="26" s="1"/>
  <c r="BO53" i="27"/>
  <c r="BP105" i="31"/>
  <c r="BO41" i="27"/>
  <c r="BO89" i="27" s="1"/>
  <c r="BP44" i="27"/>
  <c r="BP41" i="27" s="1"/>
  <c r="CC44" i="27"/>
  <c r="P46" i="25" s="1"/>
  <c r="P13" i="25" s="1"/>
  <c r="BO32" i="31"/>
  <c r="BO34" i="31"/>
  <c r="BO31" i="31"/>
  <c r="BO33" i="31"/>
  <c r="BO76" i="27"/>
  <c r="BP76" i="27" s="1"/>
  <c r="BO26" i="27"/>
  <c r="BO58" i="27" s="1"/>
  <c r="BO32" i="27"/>
  <c r="BO81" i="27"/>
  <c r="BP18" i="27"/>
  <c r="BP22" i="27" s="1"/>
  <c r="BP24" i="27"/>
  <c r="BP29" i="31"/>
  <c r="I93" i="26"/>
  <c r="I137" i="26"/>
  <c r="I139" i="26" s="1"/>
  <c r="I140" i="26" s="1"/>
  <c r="BP28" i="27"/>
  <c r="BP30" i="31"/>
  <c r="I99" i="26"/>
  <c r="I91" i="26"/>
  <c r="AQ65" i="30"/>
  <c r="AQ58" i="30" s="1"/>
  <c r="AG40" i="27"/>
  <c r="AG66" i="31"/>
  <c r="AG68" i="33"/>
  <c r="AG54" i="31"/>
  <c r="AG47" i="31"/>
  <c r="BP37" i="31"/>
  <c r="BP38" i="31" s="1"/>
  <c r="AM104" i="31"/>
  <c r="AM106" i="31" s="1"/>
  <c r="AM51" i="27"/>
  <c r="AO98" i="30"/>
  <c r="AP45" i="30"/>
  <c r="AQ60" i="30" s="1"/>
  <c r="AQ53" i="30" s="1"/>
  <c r="BP72" i="29"/>
  <c r="BP73" i="29" s="1"/>
  <c r="BO73" i="29"/>
  <c r="CC73" i="29" s="1"/>
  <c r="P39" i="20" s="1"/>
  <c r="W39" i="20" s="1"/>
  <c r="BC63" i="30"/>
  <c r="BB56" i="30"/>
  <c r="BP92" i="32"/>
  <c r="BO93" i="32"/>
  <c r="BP46" i="27"/>
  <c r="BO75" i="27"/>
  <c r="BO67" i="27"/>
  <c r="BA64" i="31"/>
  <c r="BA57" i="31" s="1"/>
  <c r="BA49" i="31" s="1"/>
  <c r="BA63" i="31"/>
  <c r="BA56" i="31" s="1"/>
  <c r="BA48" i="31" s="1"/>
  <c r="BC64" i="30"/>
  <c r="BB57" i="30"/>
  <c r="BC65" i="31"/>
  <c r="BB58" i="31"/>
  <c r="AG39" i="27" l="1"/>
  <c r="AG37" i="27" s="1"/>
  <c r="AG66" i="30"/>
  <c r="AG54" i="30"/>
  <c r="AG59" i="33"/>
  <c r="AG47" i="30"/>
  <c r="AE82" i="27"/>
  <c r="AF117" i="30"/>
  <c r="AF55" i="27"/>
  <c r="AF49" i="27"/>
  <c r="AF78" i="27" s="1"/>
  <c r="AF74" i="27" s="1"/>
  <c r="AF130" i="31"/>
  <c r="AF131" i="31" s="1"/>
  <c r="AF132" i="31" s="1"/>
  <c r="AF133" i="31" s="1"/>
  <c r="AN108" i="31"/>
  <c r="AN45" i="31"/>
  <c r="AP108" i="30"/>
  <c r="AN104" i="30"/>
  <c r="BP53" i="27"/>
  <c r="CC53" i="27"/>
  <c r="P57" i="34" s="1"/>
  <c r="W57" i="34" s="1"/>
  <c r="BP89" i="27"/>
  <c r="CC89" i="27"/>
  <c r="P10" i="25"/>
  <c r="W13" i="25"/>
  <c r="G76" i="36" s="1"/>
  <c r="BO64" i="27"/>
  <c r="BO30" i="27"/>
  <c r="BO59" i="27"/>
  <c r="CC81" i="27"/>
  <c r="BP81" i="27"/>
  <c r="BP26" i="27"/>
  <c r="BP30" i="27" s="1"/>
  <c r="BP32" i="27"/>
  <c r="BP31" i="31"/>
  <c r="BP32" i="31"/>
  <c r="BP33" i="31"/>
  <c r="BP34" i="31"/>
  <c r="I118" i="26"/>
  <c r="K118" i="26" s="1"/>
  <c r="L118" i="26" s="1"/>
  <c r="I95" i="26"/>
  <c r="AQ62" i="33"/>
  <c r="AQ50" i="30"/>
  <c r="AG72" i="33"/>
  <c r="AG67" i="33"/>
  <c r="AG52" i="31"/>
  <c r="AG109" i="31"/>
  <c r="AG107" i="31" s="1"/>
  <c r="AG113" i="31"/>
  <c r="AH62" i="31"/>
  <c r="AH55" i="31" s="1"/>
  <c r="AG46" i="31"/>
  <c r="AG51" i="31" s="1"/>
  <c r="AQ45" i="30"/>
  <c r="AQ108" i="30"/>
  <c r="BO110" i="31"/>
  <c r="BP110" i="31" s="1"/>
  <c r="AO97" i="30"/>
  <c r="AP98" i="30"/>
  <c r="BP93" i="32"/>
  <c r="BO94" i="32"/>
  <c r="BC56" i="30"/>
  <c r="BB48" i="30"/>
  <c r="BC48" i="30" s="1"/>
  <c r="BB60" i="33"/>
  <c r="BC60" i="33" s="1"/>
  <c r="BP75" i="27"/>
  <c r="BP67" i="27"/>
  <c r="BP58" i="27"/>
  <c r="BB64" i="31"/>
  <c r="BA70" i="33"/>
  <c r="BB63" i="31"/>
  <c r="BA69" i="33"/>
  <c r="BC57" i="30"/>
  <c r="BB49" i="30"/>
  <c r="BC49" i="30" s="1"/>
  <c r="BB61" i="33"/>
  <c r="BC61" i="33" s="1"/>
  <c r="BB50" i="31"/>
  <c r="BC50" i="31" s="1"/>
  <c r="BC58" i="31"/>
  <c r="BB71" i="33"/>
  <c r="BC71" i="33" s="1"/>
  <c r="W10" i="25" l="1"/>
  <c r="AG113" i="30"/>
  <c r="AG52" i="30"/>
  <c r="AG109" i="30"/>
  <c r="AG107" i="30" s="1"/>
  <c r="AG54" i="27" s="1"/>
  <c r="AG58" i="33"/>
  <c r="AG63" i="33"/>
  <c r="AG74" i="33" s="1"/>
  <c r="AG46" i="30"/>
  <c r="AG51" i="30" s="1"/>
  <c r="AH62" i="30"/>
  <c r="AF130" i="30"/>
  <c r="AF48" i="27"/>
  <c r="AG90" i="27"/>
  <c r="AG88" i="27"/>
  <c r="AG83" i="27" s="1"/>
  <c r="BP59" i="27"/>
  <c r="BO57" i="27"/>
  <c r="BP57" i="27" s="1"/>
  <c r="AO104" i="30"/>
  <c r="AP97" i="30"/>
  <c r="AO60" i="31"/>
  <c r="AO53" i="31" s="1"/>
  <c r="AO45" i="31" s="1"/>
  <c r="AN98" i="31"/>
  <c r="AN97" i="31" s="1"/>
  <c r="AN106" i="30"/>
  <c r="CC64" i="27"/>
  <c r="P61" i="34" s="1"/>
  <c r="W61" i="34" s="1"/>
  <c r="BP64" i="27"/>
  <c r="I96" i="26"/>
  <c r="I97" i="26" s="1"/>
  <c r="I121" i="26"/>
  <c r="K121" i="26" s="1"/>
  <c r="L121" i="26" s="1"/>
  <c r="K95" i="26"/>
  <c r="L95" i="26" s="1"/>
  <c r="AR65" i="30"/>
  <c r="AR58" i="30" s="1"/>
  <c r="AG112" i="31"/>
  <c r="AG111" i="31" s="1"/>
  <c r="AG117" i="31" s="1"/>
  <c r="AG36" i="27"/>
  <c r="AH61" i="31"/>
  <c r="AH59" i="31" s="1"/>
  <c r="AH54" i="31"/>
  <c r="AH68" i="33"/>
  <c r="AH47" i="31"/>
  <c r="AR60" i="30"/>
  <c r="AR53" i="30" s="1"/>
  <c r="AQ98" i="30"/>
  <c r="AQ97" i="30" s="1"/>
  <c r="AQ104" i="30" s="1"/>
  <c r="AQ106" i="30" s="1"/>
  <c r="BP94" i="32"/>
  <c r="BP95" i="32" s="1"/>
  <c r="BO95" i="32"/>
  <c r="CC95" i="32" s="1"/>
  <c r="P36" i="20" s="1"/>
  <c r="W36" i="20" s="1"/>
  <c r="BD63" i="30"/>
  <c r="BD56" i="30" s="1"/>
  <c r="BD64" i="30"/>
  <c r="BD57" i="30"/>
  <c r="BD49" i="30" s="1"/>
  <c r="BD65" i="31"/>
  <c r="BD58" i="31"/>
  <c r="BD50" i="31" s="1"/>
  <c r="BC64" i="31"/>
  <c r="BB57" i="31"/>
  <c r="BC63" i="31"/>
  <c r="BB56" i="31"/>
  <c r="G51" i="36" l="1"/>
  <c r="G72" i="36"/>
  <c r="AO106" i="30"/>
  <c r="AP106" i="30" s="1"/>
  <c r="AP104" i="30"/>
  <c r="AG35" i="27"/>
  <c r="AG33" i="27" s="1"/>
  <c r="AG112" i="30"/>
  <c r="AG111" i="30" s="1"/>
  <c r="AF45" i="27"/>
  <c r="AF69" i="27"/>
  <c r="AF65" i="27" s="1"/>
  <c r="AF94" i="27" s="1"/>
  <c r="AF95" i="27" s="1"/>
  <c r="AH61" i="30"/>
  <c r="AH59" i="30" s="1"/>
  <c r="AH55" i="30"/>
  <c r="AF131" i="30"/>
  <c r="AF132" i="30" s="1"/>
  <c r="AF133" i="30" s="1"/>
  <c r="AP45" i="31"/>
  <c r="AO98" i="31"/>
  <c r="AP53" i="31"/>
  <c r="AO108" i="31"/>
  <c r="AP60" i="31"/>
  <c r="AN51" i="27"/>
  <c r="AN104" i="31"/>
  <c r="AN106" i="31" s="1"/>
  <c r="AG49" i="27"/>
  <c r="AG130" i="31"/>
  <c r="AH40" i="27"/>
  <c r="AH66" i="31"/>
  <c r="AH52" i="31"/>
  <c r="AH109" i="31"/>
  <c r="AH107" i="31" s="1"/>
  <c r="AH113" i="31"/>
  <c r="AH72" i="33"/>
  <c r="AH67" i="33"/>
  <c r="AI62" i="31"/>
  <c r="AI55" i="31" s="1"/>
  <c r="AI47" i="31" s="1"/>
  <c r="AH46" i="31"/>
  <c r="AH51" i="31" s="1"/>
  <c r="AR62" i="33"/>
  <c r="AR50" i="30"/>
  <c r="AS65" i="30" s="1"/>
  <c r="AR45" i="30"/>
  <c r="AR108" i="30"/>
  <c r="BD60" i="33"/>
  <c r="BD48" i="30"/>
  <c r="I123" i="26"/>
  <c r="BP62" i="27"/>
  <c r="BE64" i="30"/>
  <c r="BE57" i="30" s="1"/>
  <c r="BD61" i="33"/>
  <c r="BE65" i="31"/>
  <c r="BE58" i="31" s="1"/>
  <c r="BD71" i="33"/>
  <c r="BC57" i="31"/>
  <c r="BB49" i="31"/>
  <c r="BC49" i="31" s="1"/>
  <c r="BB70" i="33"/>
  <c r="BC70" i="33" s="1"/>
  <c r="BC56" i="31"/>
  <c r="BB48" i="31"/>
  <c r="BC48" i="31" s="1"/>
  <c r="BB69" i="33"/>
  <c r="BC69" i="33" s="1"/>
  <c r="AG55" i="27" l="1"/>
  <c r="AG117" i="30"/>
  <c r="AH66" i="30"/>
  <c r="AH39" i="27"/>
  <c r="AH37" i="27" s="1"/>
  <c r="AH54" i="30"/>
  <c r="AH59" i="33"/>
  <c r="AH47" i="30"/>
  <c r="AF82" i="27"/>
  <c r="AQ60" i="31"/>
  <c r="AO97" i="31"/>
  <c r="AP98" i="31"/>
  <c r="AP108" i="31"/>
  <c r="AG78" i="27"/>
  <c r="AG74" i="27" s="1"/>
  <c r="AG131" i="31"/>
  <c r="AG132" i="31" s="1"/>
  <c r="AG133" i="31" s="1"/>
  <c r="AH36" i="27"/>
  <c r="AH112" i="31"/>
  <c r="AI46" i="31"/>
  <c r="AI51" i="31" s="1"/>
  <c r="AJ62" i="31"/>
  <c r="AI68" i="33"/>
  <c r="AI54" i="31"/>
  <c r="AI61" i="31"/>
  <c r="AI59" i="31" s="1"/>
  <c r="AS58" i="30"/>
  <c r="AR98" i="30"/>
  <c r="AR97" i="30" s="1"/>
  <c r="AR104" i="30" s="1"/>
  <c r="AR106" i="30" s="1"/>
  <c r="AS60" i="30"/>
  <c r="BE63" i="30"/>
  <c r="BE56" i="30" s="1"/>
  <c r="BD64" i="31"/>
  <c r="BD57" i="31" s="1"/>
  <c r="BD49" i="31" s="1"/>
  <c r="BD63" i="31"/>
  <c r="BD56" i="31" s="1"/>
  <c r="BD48" i="31" s="1"/>
  <c r="BE49" i="30"/>
  <c r="BE61" i="33"/>
  <c r="BE50" i="31"/>
  <c r="BE71" i="33"/>
  <c r="AG48" i="27" l="1"/>
  <c r="AG130" i="30"/>
  <c r="AG131" i="30" s="1"/>
  <c r="AG132" i="30" s="1"/>
  <c r="AG133" i="30" s="1"/>
  <c r="AH113" i="30"/>
  <c r="AH109" i="30"/>
  <c r="AH107" i="30" s="1"/>
  <c r="AH52" i="30"/>
  <c r="AH58" i="33"/>
  <c r="AH63" i="33"/>
  <c r="AH74" i="33" s="1"/>
  <c r="AH46" i="30"/>
  <c r="AH51" i="30" s="1"/>
  <c r="AI62" i="30"/>
  <c r="AI61" i="30" s="1"/>
  <c r="AI59" i="30" s="1"/>
  <c r="AI55" i="30"/>
  <c r="AI47" i="30" s="1"/>
  <c r="AQ53" i="31"/>
  <c r="AP97" i="31"/>
  <c r="AO51" i="27"/>
  <c r="AO104" i="31"/>
  <c r="AH90" i="27"/>
  <c r="AH88" i="27"/>
  <c r="AH111" i="31"/>
  <c r="AI72" i="33"/>
  <c r="AI67" i="33"/>
  <c r="AI52" i="31"/>
  <c r="AI113" i="31"/>
  <c r="AI109" i="31"/>
  <c r="AI107" i="31" s="1"/>
  <c r="AI66" i="31"/>
  <c r="AI40" i="27"/>
  <c r="AS50" i="30"/>
  <c r="AS62" i="33"/>
  <c r="AJ61" i="31"/>
  <c r="AJ59" i="31" s="1"/>
  <c r="AJ55" i="31"/>
  <c r="AS53" i="30"/>
  <c r="BE60" i="33"/>
  <c r="BE48" i="30"/>
  <c r="BE64" i="31"/>
  <c r="BE57" i="31" s="1"/>
  <c r="BD70" i="33"/>
  <c r="BE63" i="31"/>
  <c r="BE56" i="31" s="1"/>
  <c r="BD69" i="33"/>
  <c r="BF64" i="30"/>
  <c r="BF57" i="30"/>
  <c r="BF49" i="30" s="1"/>
  <c r="BF65" i="31"/>
  <c r="BF58" i="31" s="1"/>
  <c r="BF50" i="31" s="1"/>
  <c r="AG45" i="27" l="1"/>
  <c r="AG69" i="27"/>
  <c r="AG65" i="27" s="1"/>
  <c r="AG94" i="27" s="1"/>
  <c r="AG95" i="27" s="1"/>
  <c r="AH54" i="27"/>
  <c r="AH35" i="27"/>
  <c r="AH33" i="27" s="1"/>
  <c r="AH112" i="30"/>
  <c r="AH111" i="30" s="1"/>
  <c r="AJ62" i="30"/>
  <c r="AI46" i="30"/>
  <c r="AI51" i="30" s="1"/>
  <c r="AI66" i="30"/>
  <c r="AI39" i="27"/>
  <c r="AI37" i="27" s="1"/>
  <c r="AI54" i="30"/>
  <c r="AI59" i="33"/>
  <c r="AQ108" i="31"/>
  <c r="AQ45" i="31"/>
  <c r="BY51" i="27"/>
  <c r="L38" i="34" s="1"/>
  <c r="U38" i="34" s="1"/>
  <c r="AP51" i="27"/>
  <c r="AO106" i="31"/>
  <c r="AP104" i="31"/>
  <c r="AH83" i="27"/>
  <c r="AH117" i="31"/>
  <c r="AI36" i="27"/>
  <c r="AI112" i="31"/>
  <c r="AT65" i="30"/>
  <c r="AJ66" i="31"/>
  <c r="AJ40" i="27"/>
  <c r="AJ47" i="31"/>
  <c r="AJ68" i="33"/>
  <c r="AJ54" i="31"/>
  <c r="AS108" i="30"/>
  <c r="AS45" i="30"/>
  <c r="BF63" i="30"/>
  <c r="BF56" i="30" s="1"/>
  <c r="BG64" i="30"/>
  <c r="BG57" i="30" s="1"/>
  <c r="BF61" i="33"/>
  <c r="BG65" i="31"/>
  <c r="BG58" i="31" s="1"/>
  <c r="BF71" i="33"/>
  <c r="BE49" i="31"/>
  <c r="BE70" i="33"/>
  <c r="BE48" i="31"/>
  <c r="BE69" i="33"/>
  <c r="AJ61" i="30" l="1"/>
  <c r="AJ59" i="30" s="1"/>
  <c r="AJ55" i="30"/>
  <c r="AI113" i="30"/>
  <c r="AI109" i="30"/>
  <c r="AI107" i="30" s="1"/>
  <c r="AI54" i="27" s="1"/>
  <c r="BX54" i="27" s="1"/>
  <c r="K60" i="34" s="1"/>
  <c r="AI52" i="30"/>
  <c r="AI58" i="33"/>
  <c r="AI63" i="33"/>
  <c r="AI74" i="33" s="1"/>
  <c r="BX74" i="33" s="1"/>
  <c r="K197" i="23" s="1"/>
  <c r="AG82" i="27"/>
  <c r="AH117" i="30"/>
  <c r="AH55" i="27"/>
  <c r="AI88" i="27"/>
  <c r="AI90" i="27"/>
  <c r="BX90" i="27" s="1"/>
  <c r="AR60" i="31"/>
  <c r="AR53" i="31" s="1"/>
  <c r="AR45" i="31" s="1"/>
  <c r="AQ98" i="31"/>
  <c r="AQ97" i="31" s="1"/>
  <c r="AP106" i="31"/>
  <c r="AH49" i="27"/>
  <c r="AH130" i="31"/>
  <c r="AI111" i="31"/>
  <c r="AT58" i="30"/>
  <c r="AJ46" i="31"/>
  <c r="AJ51" i="31" s="1"/>
  <c r="AK62" i="31"/>
  <c r="AK55" i="31" s="1"/>
  <c r="AK47" i="31" s="1"/>
  <c r="AJ72" i="33"/>
  <c r="AJ67" i="33"/>
  <c r="AJ52" i="31"/>
  <c r="AJ109" i="31"/>
  <c r="AJ107" i="31" s="1"/>
  <c r="AJ113" i="31"/>
  <c r="AT60" i="30"/>
  <c r="AT53" i="30" s="1"/>
  <c r="AT45" i="30" s="1"/>
  <c r="AS98" i="30"/>
  <c r="AS97" i="30" s="1"/>
  <c r="BF60" i="33"/>
  <c r="BF48" i="30"/>
  <c r="BF64" i="31"/>
  <c r="BF57" i="31" s="1"/>
  <c r="BF49" i="31" s="1"/>
  <c r="BF63" i="31"/>
  <c r="BF56" i="31" s="1"/>
  <c r="BF48" i="31" s="1"/>
  <c r="BG49" i="30"/>
  <c r="BG61" i="33"/>
  <c r="BG50" i="31"/>
  <c r="BG71" i="33"/>
  <c r="AJ39" i="27" l="1"/>
  <c r="AJ66" i="30"/>
  <c r="K68" i="34"/>
  <c r="K97" i="20"/>
  <c r="AI83" i="27"/>
  <c r="BX83" i="27" s="1"/>
  <c r="BX88" i="27"/>
  <c r="AJ54" i="30"/>
  <c r="AJ59" i="33"/>
  <c r="AJ47" i="30"/>
  <c r="AI35" i="27"/>
  <c r="AI33" i="27" s="1"/>
  <c r="AI112" i="30"/>
  <c r="AI111" i="30" s="1"/>
  <c r="AH130" i="30"/>
  <c r="AH48" i="27"/>
  <c r="AR98" i="31"/>
  <c r="AR97" i="31" s="1"/>
  <c r="AS60" i="31"/>
  <c r="AR108" i="31"/>
  <c r="AQ104" i="31"/>
  <c r="AQ106" i="31" s="1"/>
  <c r="AQ51" i="27"/>
  <c r="AJ37" i="27"/>
  <c r="AH78" i="27"/>
  <c r="AH131" i="31"/>
  <c r="AH132" i="31" s="1"/>
  <c r="AH133" i="31" s="1"/>
  <c r="AI117" i="31"/>
  <c r="AT50" i="30"/>
  <c r="AT62" i="33"/>
  <c r="AK46" i="31"/>
  <c r="AK51" i="31" s="1"/>
  <c r="AL62" i="31"/>
  <c r="AK54" i="31"/>
  <c r="AK68" i="33"/>
  <c r="AK61" i="31"/>
  <c r="AK59" i="31" s="1"/>
  <c r="AJ36" i="27"/>
  <c r="AJ112" i="31"/>
  <c r="AT108" i="30"/>
  <c r="AT98" i="30"/>
  <c r="AT97" i="30" s="1"/>
  <c r="AT104" i="30" s="1"/>
  <c r="AT106" i="30" s="1"/>
  <c r="AU60" i="30"/>
  <c r="AU53" i="30" s="1"/>
  <c r="AS104" i="30"/>
  <c r="AS106" i="30" s="1"/>
  <c r="BG63" i="30"/>
  <c r="BG56" i="30" s="1"/>
  <c r="BG64" i="31"/>
  <c r="BG57" i="31" s="1"/>
  <c r="BF70" i="33"/>
  <c r="BG63" i="31"/>
  <c r="BG56" i="31" s="1"/>
  <c r="BF69" i="33"/>
  <c r="BH64" i="30"/>
  <c r="BH57" i="30" s="1"/>
  <c r="BH49" i="30" s="1"/>
  <c r="BH65" i="31"/>
  <c r="BH58" i="31" s="1"/>
  <c r="BH50" i="31" s="1"/>
  <c r="J25" i="21"/>
  <c r="AJ113" i="30" l="1"/>
  <c r="AJ109" i="30"/>
  <c r="AJ107" i="30" s="1"/>
  <c r="AJ54" i="27" s="1"/>
  <c r="AJ52" i="30"/>
  <c r="AJ58" i="33"/>
  <c r="AJ63" i="33"/>
  <c r="AJ74" i="33" s="1"/>
  <c r="AK62" i="30"/>
  <c r="AJ46" i="30"/>
  <c r="AJ51" i="30" s="1"/>
  <c r="AI117" i="30"/>
  <c r="AI55" i="27"/>
  <c r="BX55" i="27" s="1"/>
  <c r="K72" i="34" s="1"/>
  <c r="AH131" i="30"/>
  <c r="AH132" i="30" s="1"/>
  <c r="AH133" i="30" s="1"/>
  <c r="AH69" i="27"/>
  <c r="AH65" i="27" s="1"/>
  <c r="AH45" i="27"/>
  <c r="AR104" i="31"/>
  <c r="AR106" i="31" s="1"/>
  <c r="AR51" i="27"/>
  <c r="AS53" i="31"/>
  <c r="AJ88" i="27"/>
  <c r="AJ90" i="27"/>
  <c r="AI130" i="31"/>
  <c r="AI49" i="27"/>
  <c r="AU65" i="30"/>
  <c r="AU58" i="30"/>
  <c r="AL61" i="31"/>
  <c r="AL59" i="31" s="1"/>
  <c r="AL55" i="31"/>
  <c r="AK52" i="31"/>
  <c r="AK109" i="31"/>
  <c r="AK107" i="31" s="1"/>
  <c r="AK113" i="31"/>
  <c r="AK72" i="33"/>
  <c r="AK67" i="33"/>
  <c r="AK66" i="31"/>
  <c r="AK40" i="27"/>
  <c r="AJ111" i="31"/>
  <c r="AU45" i="30"/>
  <c r="AU108" i="30"/>
  <c r="AH74" i="27"/>
  <c r="J13" i="20"/>
  <c r="T13" i="20" s="1"/>
  <c r="D94" i="36" s="1"/>
  <c r="T25" i="21"/>
  <c r="J8" i="23"/>
  <c r="J201" i="23" s="1"/>
  <c r="J117" i="23"/>
  <c r="BG60" i="33"/>
  <c r="BG48" i="30"/>
  <c r="BH63" i="30" s="1"/>
  <c r="BH56" i="30" s="1"/>
  <c r="BI64" i="30"/>
  <c r="BI57" i="30" s="1"/>
  <c r="BH61" i="33"/>
  <c r="BI65" i="31"/>
  <c r="BI58" i="31" s="1"/>
  <c r="BH71" i="33"/>
  <c r="BG49" i="31"/>
  <c r="BG70" i="33"/>
  <c r="BG48" i="31"/>
  <c r="BG69" i="33"/>
  <c r="P27" i="21"/>
  <c r="P26" i="21"/>
  <c r="AJ112" i="30" l="1"/>
  <c r="AJ111" i="30" s="1"/>
  <c r="AJ35" i="27"/>
  <c r="AJ33" i="27" s="1"/>
  <c r="AI48" i="27"/>
  <c r="AI130" i="30"/>
  <c r="AI131" i="30" s="1"/>
  <c r="AI132" i="30" s="1"/>
  <c r="AK61" i="30"/>
  <c r="AK59" i="30" s="1"/>
  <c r="AK55" i="30"/>
  <c r="AS108" i="31"/>
  <c r="AS45" i="31"/>
  <c r="AJ83" i="27"/>
  <c r="AI131" i="31"/>
  <c r="AI132" i="31" s="1"/>
  <c r="AI78" i="27"/>
  <c r="AU62" i="33"/>
  <c r="AU50" i="30"/>
  <c r="AL66" i="31"/>
  <c r="AL40" i="27"/>
  <c r="AL54" i="31"/>
  <c r="AL68" i="33"/>
  <c r="AL47" i="31"/>
  <c r="AK36" i="27"/>
  <c r="AK112" i="31"/>
  <c r="AJ117" i="31"/>
  <c r="AV60" i="30"/>
  <c r="AV53" i="30" s="1"/>
  <c r="AU98" i="30"/>
  <c r="AU97" i="30" s="1"/>
  <c r="AU104" i="30" s="1"/>
  <c r="AU106" i="30" s="1"/>
  <c r="AH82" i="27"/>
  <c r="AH94" i="27"/>
  <c r="AH95" i="27" s="1"/>
  <c r="T8" i="23"/>
  <c r="J203" i="23"/>
  <c r="J206" i="23" s="1"/>
  <c r="J207" i="23" s="1"/>
  <c r="J10" i="23"/>
  <c r="J12" i="23" s="1"/>
  <c r="J14" i="23" s="1"/>
  <c r="J162" i="23"/>
  <c r="J61" i="23"/>
  <c r="J170" i="23"/>
  <c r="J286" i="23"/>
  <c r="K27" i="21"/>
  <c r="P284" i="23"/>
  <c r="P286" i="23" s="1"/>
  <c r="W27" i="21"/>
  <c r="P119" i="23"/>
  <c r="P128" i="23" s="1"/>
  <c r="K26" i="21"/>
  <c r="W26" i="21"/>
  <c r="P118" i="23"/>
  <c r="P127" i="23" s="1"/>
  <c r="BH48" i="30"/>
  <c r="BH60" i="33"/>
  <c r="BH64" i="31"/>
  <c r="BH57" i="31" s="1"/>
  <c r="BH49" i="31" s="1"/>
  <c r="BH63" i="31"/>
  <c r="BH56" i="31" s="1"/>
  <c r="BH48" i="31" s="1"/>
  <c r="BI49" i="30"/>
  <c r="BI61" i="33"/>
  <c r="BI50" i="31"/>
  <c r="BI71" i="33"/>
  <c r="K118" i="23" l="1"/>
  <c r="K127" i="23" s="1"/>
  <c r="K132" i="23" s="1"/>
  <c r="K25" i="21"/>
  <c r="L26" i="21"/>
  <c r="AJ117" i="30"/>
  <c r="AJ55" i="27"/>
  <c r="AI69" i="27"/>
  <c r="AI65" i="27" s="1"/>
  <c r="AI45" i="27"/>
  <c r="AK66" i="30"/>
  <c r="AK39" i="27"/>
  <c r="AK37" i="27" s="1"/>
  <c r="AK59" i="33"/>
  <c r="AK54" i="30"/>
  <c r="AK47" i="30"/>
  <c r="AT60" i="31"/>
  <c r="AT53" i="31" s="1"/>
  <c r="AT45" i="31" s="1"/>
  <c r="AS98" i="31"/>
  <c r="AS97" i="31" s="1"/>
  <c r="AI133" i="30"/>
  <c r="BX133" i="30" s="1"/>
  <c r="K42" i="20" s="1"/>
  <c r="AI133" i="31"/>
  <c r="BX133" i="31" s="1"/>
  <c r="K45" i="20" s="1"/>
  <c r="AI74" i="27"/>
  <c r="AV65" i="30"/>
  <c r="AL52" i="31"/>
  <c r="AL109" i="31"/>
  <c r="AL107" i="31" s="1"/>
  <c r="AL113" i="31"/>
  <c r="AL72" i="33"/>
  <c r="AL67" i="33"/>
  <c r="AL46" i="31"/>
  <c r="AL51" i="31" s="1"/>
  <c r="AM62" i="31"/>
  <c r="AK111" i="31"/>
  <c r="AJ130" i="31"/>
  <c r="AJ49" i="27"/>
  <c r="AV108" i="30"/>
  <c r="AV45" i="30"/>
  <c r="J210" i="23"/>
  <c r="J50" i="23"/>
  <c r="J52" i="23" s="1"/>
  <c r="J49" i="23"/>
  <c r="J73" i="20"/>
  <c r="J16" i="23"/>
  <c r="J164" i="23"/>
  <c r="J14" i="20" s="1"/>
  <c r="T14" i="20" s="1"/>
  <c r="J113" i="20"/>
  <c r="J63" i="23"/>
  <c r="J65" i="23" s="1"/>
  <c r="J67" i="23" s="1"/>
  <c r="T61" i="23"/>
  <c r="J177" i="23"/>
  <c r="J74" i="34" s="1"/>
  <c r="J118" i="20"/>
  <c r="J172" i="23"/>
  <c r="J175" i="23" s="1"/>
  <c r="J292" i="23"/>
  <c r="J298" i="23" s="1"/>
  <c r="J291" i="23"/>
  <c r="K119" i="23"/>
  <c r="K128" i="23" s="1"/>
  <c r="K284" i="23"/>
  <c r="K286" i="23" s="1"/>
  <c r="L27" i="21"/>
  <c r="P291" i="23"/>
  <c r="P292" i="23"/>
  <c r="P298" i="23" s="1"/>
  <c r="P126" i="23"/>
  <c r="K13" i="20"/>
  <c r="K117" i="23"/>
  <c r="K8" i="23"/>
  <c r="K201" i="23" s="1"/>
  <c r="U26" i="21"/>
  <c r="L118" i="23"/>
  <c r="L127" i="23" s="1"/>
  <c r="BI63" i="30"/>
  <c r="BI56" i="30" s="1"/>
  <c r="BI64" i="31"/>
  <c r="BI57" i="31" s="1"/>
  <c r="BH70" i="33"/>
  <c r="BI63" i="31"/>
  <c r="BI56" i="31" s="1"/>
  <c r="BH69" i="33"/>
  <c r="BJ64" i="30"/>
  <c r="BJ57" i="30" s="1"/>
  <c r="BJ49" i="30" s="1"/>
  <c r="BJ65" i="31"/>
  <c r="BJ58" i="31"/>
  <c r="BJ50" i="31" s="1"/>
  <c r="M26" i="21"/>
  <c r="L25" i="21"/>
  <c r="L132" i="23" l="1"/>
  <c r="J166" i="23"/>
  <c r="J167" i="23" s="1"/>
  <c r="J62" i="34" s="1"/>
  <c r="T62" i="34" s="1"/>
  <c r="M118" i="23"/>
  <c r="M127" i="23" s="1"/>
  <c r="M132" i="23" s="1"/>
  <c r="N26" i="21"/>
  <c r="M25" i="21"/>
  <c r="AK90" i="27"/>
  <c r="AK88" i="27"/>
  <c r="AK83" i="27" s="1"/>
  <c r="AJ48" i="27"/>
  <c r="AJ130" i="30"/>
  <c r="AK63" i="33"/>
  <c r="AK74" i="33" s="1"/>
  <c r="AK58" i="33"/>
  <c r="AK113" i="30"/>
  <c r="AK109" i="30"/>
  <c r="AK107" i="30" s="1"/>
  <c r="AK52" i="30"/>
  <c r="AK46" i="30"/>
  <c r="AK51" i="30" s="1"/>
  <c r="AL62" i="30"/>
  <c r="AI94" i="27"/>
  <c r="AT98" i="31"/>
  <c r="AT97" i="31" s="1"/>
  <c r="AU60" i="31"/>
  <c r="AT108" i="31"/>
  <c r="AS51" i="27"/>
  <c r="AS104" i="31"/>
  <c r="AS106" i="31" s="1"/>
  <c r="AI82" i="27"/>
  <c r="AV58" i="30"/>
  <c r="AL112" i="31"/>
  <c r="AL36" i="27"/>
  <c r="AM61" i="31"/>
  <c r="AM59" i="31" s="1"/>
  <c r="AM55" i="31"/>
  <c r="AK117" i="31"/>
  <c r="AJ131" i="31"/>
  <c r="AJ78" i="27"/>
  <c r="AV98" i="30"/>
  <c r="AV97" i="30" s="1"/>
  <c r="AV104" i="30" s="1"/>
  <c r="AV106" i="30" s="1"/>
  <c r="AW60" i="30"/>
  <c r="J251" i="23"/>
  <c r="J208" i="23"/>
  <c r="J250" i="23" s="1"/>
  <c r="J248" i="23" s="1"/>
  <c r="J252" i="23" s="1"/>
  <c r="J254" i="23" s="1"/>
  <c r="J214" i="23"/>
  <c r="J211" i="23"/>
  <c r="J221" i="23"/>
  <c r="J218" i="23"/>
  <c r="J72" i="20"/>
  <c r="T72" i="20" s="1"/>
  <c r="T73" i="20"/>
  <c r="J46" i="23"/>
  <c r="J18" i="23"/>
  <c r="J22" i="23" s="1"/>
  <c r="J24" i="23" s="1"/>
  <c r="J25" i="23" s="1"/>
  <c r="J35" i="23"/>
  <c r="J112" i="20"/>
  <c r="T112" i="20" s="1"/>
  <c r="T113" i="20"/>
  <c r="J105" i="23"/>
  <c r="J106" i="20"/>
  <c r="J69" i="23"/>
  <c r="T74" i="34"/>
  <c r="J117" i="20"/>
  <c r="T117" i="20" s="1"/>
  <c r="T118" i="20"/>
  <c r="J178" i="23"/>
  <c r="J179" i="23" s="1"/>
  <c r="J119" i="20" s="1"/>
  <c r="T119" i="20" s="1"/>
  <c r="J65" i="34"/>
  <c r="T65" i="34" s="1"/>
  <c r="J301" i="23"/>
  <c r="J290" i="23"/>
  <c r="J297" i="23"/>
  <c r="K133" i="23"/>
  <c r="K126" i="23"/>
  <c r="K292" i="23"/>
  <c r="K298" i="23" s="1"/>
  <c r="K301" i="23" s="1"/>
  <c r="K291" i="23"/>
  <c r="L119" i="23"/>
  <c r="L128" i="23" s="1"/>
  <c r="U27" i="21"/>
  <c r="L284" i="23"/>
  <c r="L286" i="23" s="1"/>
  <c r="M27" i="21"/>
  <c r="P290" i="23"/>
  <c r="P297" i="23"/>
  <c r="P125" i="23"/>
  <c r="P57" i="25" s="1"/>
  <c r="K10" i="23"/>
  <c r="K12" i="23" s="1"/>
  <c r="K14" i="23" s="1"/>
  <c r="K61" i="23"/>
  <c r="K63" i="23" s="1"/>
  <c r="K65" i="23" s="1"/>
  <c r="K67" i="23" s="1"/>
  <c r="K162" i="23"/>
  <c r="K182" i="23"/>
  <c r="K184" i="23" s="1"/>
  <c r="K203" i="23"/>
  <c r="K170" i="23"/>
  <c r="L13" i="20"/>
  <c r="U13" i="20" s="1"/>
  <c r="E94" i="36" s="1"/>
  <c r="U25" i="21"/>
  <c r="L117" i="23"/>
  <c r="L8" i="23"/>
  <c r="L201" i="23" s="1"/>
  <c r="BI60" i="33"/>
  <c r="BI48" i="30"/>
  <c r="BK64" i="30"/>
  <c r="BK57" i="30" s="1"/>
  <c r="BJ61" i="33"/>
  <c r="BK65" i="31"/>
  <c r="BK58" i="31" s="1"/>
  <c r="BJ71" i="33"/>
  <c r="BI49" i="31"/>
  <c r="BI70" i="33"/>
  <c r="BI48" i="31"/>
  <c r="BI69" i="33"/>
  <c r="J36" i="23" l="1"/>
  <c r="AJ131" i="30"/>
  <c r="AJ132" i="30" s="1"/>
  <c r="AJ133" i="30" s="1"/>
  <c r="N118" i="23"/>
  <c r="N127" i="23" s="1"/>
  <c r="N132" i="23" s="1"/>
  <c r="V26" i="21"/>
  <c r="O26" i="21"/>
  <c r="O118" i="23" s="1"/>
  <c r="O127" i="23" s="1"/>
  <c r="O132" i="23" s="1"/>
  <c r="M13" i="20"/>
  <c r="M117" i="23"/>
  <c r="M8" i="23"/>
  <c r="M201" i="23" s="1"/>
  <c r="AI95" i="27"/>
  <c r="BX95" i="27" s="1"/>
  <c r="K33" i="20" s="1"/>
  <c r="BX94" i="27"/>
  <c r="AJ69" i="27"/>
  <c r="AJ65" i="27" s="1"/>
  <c r="AJ45" i="27"/>
  <c r="AK54" i="27"/>
  <c r="AK35" i="27"/>
  <c r="AK33" i="27" s="1"/>
  <c r="AK112" i="30"/>
  <c r="AK111" i="30" s="1"/>
  <c r="AL61" i="30"/>
  <c r="AL59" i="30" s="1"/>
  <c r="AL55" i="30"/>
  <c r="AT51" i="27"/>
  <c r="AT104" i="31"/>
  <c r="AT106" i="31" s="1"/>
  <c r="AU53" i="31"/>
  <c r="AV50" i="30"/>
  <c r="AV62" i="33"/>
  <c r="AL111" i="31"/>
  <c r="AM66" i="31"/>
  <c r="AM40" i="27"/>
  <c r="AM54" i="31"/>
  <c r="AM68" i="33"/>
  <c r="AM47" i="31"/>
  <c r="AK130" i="31"/>
  <c r="AK49" i="27"/>
  <c r="AJ132" i="31"/>
  <c r="AJ74" i="27"/>
  <c r="AW53" i="30"/>
  <c r="L133" i="23"/>
  <c r="L126" i="23"/>
  <c r="J261" i="23"/>
  <c r="J215" i="23"/>
  <c r="J217" i="23"/>
  <c r="J216" i="23"/>
  <c r="J257" i="23"/>
  <c r="J255" i="23" s="1"/>
  <c r="J212" i="23"/>
  <c r="J213" i="23"/>
  <c r="J219" i="23"/>
  <c r="J220" i="23"/>
  <c r="J87" i="25"/>
  <c r="J26" i="23"/>
  <c r="K33" i="23"/>
  <c r="J42" i="23"/>
  <c r="J82" i="34"/>
  <c r="J105" i="20"/>
  <c r="T105" i="20" s="1"/>
  <c r="T106" i="20"/>
  <c r="J86" i="23"/>
  <c r="K85" i="23" s="1"/>
  <c r="J102" i="23"/>
  <c r="J75" i="23"/>
  <c r="J300" i="23"/>
  <c r="J317" i="23"/>
  <c r="J296" i="23"/>
  <c r="J58" i="25" s="1"/>
  <c r="K150" i="23"/>
  <c r="K125" i="23"/>
  <c r="K57" i="25" s="1"/>
  <c r="K131" i="23"/>
  <c r="K290" i="23"/>
  <c r="K297" i="23"/>
  <c r="K300" i="23" s="1"/>
  <c r="L292" i="23"/>
  <c r="L298" i="23" s="1"/>
  <c r="L291" i="23"/>
  <c r="M119" i="23"/>
  <c r="M128" i="23" s="1"/>
  <c r="M284" i="23"/>
  <c r="M286" i="23" s="1"/>
  <c r="N27" i="21"/>
  <c r="N25" i="21" s="1"/>
  <c r="P296" i="23"/>
  <c r="P58" i="25" s="1"/>
  <c r="P28" i="25"/>
  <c r="W28" i="25" s="1"/>
  <c r="G104" i="36" s="1"/>
  <c r="K16" i="23"/>
  <c r="K73" i="20"/>
  <c r="K72" i="20" s="1"/>
  <c r="K49" i="23"/>
  <c r="K50" i="23"/>
  <c r="K52" i="23" s="1"/>
  <c r="K69" i="23"/>
  <c r="K102" i="23" s="1"/>
  <c r="K105" i="23"/>
  <c r="K106" i="20"/>
  <c r="K113" i="20"/>
  <c r="K112" i="20" s="1"/>
  <c r="K164" i="23"/>
  <c r="K14" i="20" s="1"/>
  <c r="K191" i="23"/>
  <c r="K186" i="23"/>
  <c r="K189" i="23" s="1"/>
  <c r="K101" i="20"/>
  <c r="K100" i="20" s="1"/>
  <c r="K206" i="23"/>
  <c r="K210" i="23"/>
  <c r="K177" i="23"/>
  <c r="K74" i="34" s="1"/>
  <c r="K118" i="20"/>
  <c r="K117" i="20" s="1"/>
  <c r="K172" i="23"/>
  <c r="K175" i="23" s="1"/>
  <c r="L10" i="23"/>
  <c r="L12" i="23" s="1"/>
  <c r="L14" i="23" s="1"/>
  <c r="U8" i="23"/>
  <c r="L61" i="23"/>
  <c r="L182" i="23"/>
  <c r="L184" i="23" s="1"/>
  <c r="L170" i="23"/>
  <c r="L162" i="23"/>
  <c r="L203" i="23"/>
  <c r="BJ63" i="30"/>
  <c r="BJ56" i="30" s="1"/>
  <c r="BJ64" i="31"/>
  <c r="BJ57" i="31" s="1"/>
  <c r="BJ49" i="31" s="1"/>
  <c r="BJ63" i="31"/>
  <c r="BJ56" i="31" s="1"/>
  <c r="BJ48" i="31" s="1"/>
  <c r="BK49" i="30"/>
  <c r="BK61" i="33"/>
  <c r="BK50" i="31"/>
  <c r="BK71" i="33"/>
  <c r="M10" i="23" l="1"/>
  <c r="M12" i="23" s="1"/>
  <c r="M14" i="23" s="1"/>
  <c r="M61" i="23"/>
  <c r="M63" i="23" s="1"/>
  <c r="M65" i="23" s="1"/>
  <c r="M67" i="23" s="1"/>
  <c r="M162" i="23"/>
  <c r="M170" i="23"/>
  <c r="M203" i="23"/>
  <c r="M182" i="23"/>
  <c r="M184" i="23" s="1"/>
  <c r="M186" i="23" s="1"/>
  <c r="M189" i="23" s="1"/>
  <c r="AJ94" i="27"/>
  <c r="N117" i="23"/>
  <c r="N13" i="20"/>
  <c r="V13" i="20" s="1"/>
  <c r="F94" i="36" s="1"/>
  <c r="N8" i="23"/>
  <c r="V25" i="21"/>
  <c r="K166" i="23"/>
  <c r="K167" i="23" s="1"/>
  <c r="K62" i="34" s="1"/>
  <c r="K192" i="23"/>
  <c r="K193" i="23" s="1"/>
  <c r="L131" i="23"/>
  <c r="L125" i="23"/>
  <c r="L57" i="25" s="1"/>
  <c r="L28" i="25" s="1"/>
  <c r="L150" i="23"/>
  <c r="AL39" i="27"/>
  <c r="AL37" i="27" s="1"/>
  <c r="AL66" i="30"/>
  <c r="AL54" i="30"/>
  <c r="AL59" i="33"/>
  <c r="AL47" i="30"/>
  <c r="AK55" i="27"/>
  <c r="AK117" i="30"/>
  <c r="AU45" i="31"/>
  <c r="AU108" i="31"/>
  <c r="AJ95" i="27"/>
  <c r="AW65" i="30"/>
  <c r="AW58" i="30"/>
  <c r="AL117" i="31"/>
  <c r="AM52" i="31"/>
  <c r="AM109" i="31"/>
  <c r="AM107" i="31" s="1"/>
  <c r="AM113" i="31"/>
  <c r="AM67" i="33"/>
  <c r="AM72" i="33"/>
  <c r="AN62" i="31"/>
  <c r="AN55" i="31" s="1"/>
  <c r="AN47" i="31" s="1"/>
  <c r="AM46" i="31"/>
  <c r="AM51" i="31" s="1"/>
  <c r="AK131" i="31"/>
  <c r="AK78" i="27"/>
  <c r="AJ133" i="31"/>
  <c r="AJ82" i="27"/>
  <c r="AW45" i="30"/>
  <c r="AW108" i="30"/>
  <c r="P29" i="25"/>
  <c r="P65" i="25"/>
  <c r="J64" i="34"/>
  <c r="J80" i="25"/>
  <c r="J93" i="25" s="1"/>
  <c r="J17" i="25"/>
  <c r="T17" i="25" s="1"/>
  <c r="D99" i="36" s="1"/>
  <c r="J38" i="23"/>
  <c r="J39" i="23"/>
  <c r="J97" i="34" s="1"/>
  <c r="J27" i="23"/>
  <c r="J74" i="20" s="1"/>
  <c r="T74" i="20" s="1"/>
  <c r="J106" i="34"/>
  <c r="J43" i="23"/>
  <c r="J78" i="34"/>
  <c r="T82" i="34"/>
  <c r="J78" i="23"/>
  <c r="J76" i="23"/>
  <c r="K315" i="23"/>
  <c r="K316" i="23"/>
  <c r="K42" i="34" s="1"/>
  <c r="K299" i="23"/>
  <c r="K293" i="23" s="1"/>
  <c r="J315" i="23"/>
  <c r="J316" i="23"/>
  <c r="J42" i="34" s="1"/>
  <c r="J299" i="23"/>
  <c r="J293" i="23" s="1"/>
  <c r="J65" i="25"/>
  <c r="J29" i="25"/>
  <c r="K28" i="25"/>
  <c r="K148" i="23"/>
  <c r="K149" i="23"/>
  <c r="K44" i="34" s="1"/>
  <c r="K130" i="23"/>
  <c r="K92" i="20" s="1"/>
  <c r="K317" i="23"/>
  <c r="K296" i="23"/>
  <c r="K58" i="25" s="1"/>
  <c r="L301" i="23"/>
  <c r="L290" i="23"/>
  <c r="L297" i="23"/>
  <c r="L300" i="23" s="1"/>
  <c r="M126" i="23"/>
  <c r="M133" i="23"/>
  <c r="M291" i="23"/>
  <c r="M292" i="23"/>
  <c r="M298" i="23" s="1"/>
  <c r="M301" i="23" s="1"/>
  <c r="N119" i="23"/>
  <c r="N128" i="23" s="1"/>
  <c r="N133" i="23" s="1"/>
  <c r="V27" i="21"/>
  <c r="N284" i="23"/>
  <c r="N286" i="23" s="1"/>
  <c r="O27" i="21"/>
  <c r="O25" i="21" s="1"/>
  <c r="K46" i="23"/>
  <c r="K18" i="23"/>
  <c r="K22" i="23" s="1"/>
  <c r="K24" i="23" s="1"/>
  <c r="K25" i="23" s="1"/>
  <c r="K35" i="23"/>
  <c r="K82" i="34"/>
  <c r="K105" i="20"/>
  <c r="K194" i="23"/>
  <c r="K251" i="23"/>
  <c r="K207" i="23"/>
  <c r="K218" i="23"/>
  <c r="K221" i="23"/>
  <c r="K214" i="23"/>
  <c r="K211" i="23"/>
  <c r="K178" i="23"/>
  <c r="K179" i="23" s="1"/>
  <c r="K119" i="20" s="1"/>
  <c r="K65" i="34"/>
  <c r="L50" i="23"/>
  <c r="L52" i="23" s="1"/>
  <c r="L49" i="23"/>
  <c r="L73" i="20"/>
  <c r="L16" i="23"/>
  <c r="U61" i="23"/>
  <c r="L63" i="23"/>
  <c r="L65" i="23" s="1"/>
  <c r="L67" i="23" s="1"/>
  <c r="L186" i="23"/>
  <c r="L189" i="23" s="1"/>
  <c r="L191" i="23"/>
  <c r="L101" i="20"/>
  <c r="L177" i="23"/>
  <c r="L74" i="34" s="1"/>
  <c r="L118" i="20"/>
  <c r="L172" i="23"/>
  <c r="L175" i="23" s="1"/>
  <c r="L113" i="20"/>
  <c r="L164" i="23"/>
  <c r="L14" i="20" s="1"/>
  <c r="U14" i="20" s="1"/>
  <c r="L206" i="23"/>
  <c r="L210" i="23"/>
  <c r="M49" i="23"/>
  <c r="M16" i="23"/>
  <c r="M172" i="23"/>
  <c r="M175" i="23" s="1"/>
  <c r="P132" i="23"/>
  <c r="J222" i="23"/>
  <c r="J260" i="23"/>
  <c r="J259" i="23" s="1"/>
  <c r="BJ60" i="33"/>
  <c r="BJ48" i="30"/>
  <c r="BK64" i="31"/>
  <c r="BK57" i="31" s="1"/>
  <c r="BJ70" i="33"/>
  <c r="BK63" i="31"/>
  <c r="BK56" i="31" s="1"/>
  <c r="BJ69" i="33"/>
  <c r="BL64" i="30"/>
  <c r="BL57" i="30"/>
  <c r="BL49" i="30" s="1"/>
  <c r="BL65" i="31"/>
  <c r="BL58" i="31" s="1"/>
  <c r="BL50" i="31" s="1"/>
  <c r="M177" i="23" l="1"/>
  <c r="M74" i="34" s="1"/>
  <c r="M118" i="20"/>
  <c r="M117" i="20" s="1"/>
  <c r="M191" i="23"/>
  <c r="M101" i="20"/>
  <c r="M100" i="20" s="1"/>
  <c r="N10" i="23"/>
  <c r="N12" i="23" s="1"/>
  <c r="N14" i="23" s="1"/>
  <c r="N201" i="23"/>
  <c r="M206" i="23"/>
  <c r="M207" i="23" s="1"/>
  <c r="M208" i="23" s="1"/>
  <c r="M210" i="23"/>
  <c r="V8" i="23"/>
  <c r="N61" i="23"/>
  <c r="N170" i="23"/>
  <c r="N182" i="23"/>
  <c r="N184" i="23" s="1"/>
  <c r="N162" i="23"/>
  <c r="N203" i="23"/>
  <c r="M73" i="20"/>
  <c r="M72" i="20" s="1"/>
  <c r="M50" i="23"/>
  <c r="M52" i="23" s="1"/>
  <c r="M69" i="23"/>
  <c r="M102" i="23" s="1"/>
  <c r="M105" i="23"/>
  <c r="M82" i="34" s="1"/>
  <c r="M106" i="20"/>
  <c r="M105" i="20" s="1"/>
  <c r="M113" i="20"/>
  <c r="M112" i="20" s="1"/>
  <c r="M164" i="23"/>
  <c r="W29" i="25"/>
  <c r="G105" i="36" s="1"/>
  <c r="P27" i="25"/>
  <c r="W27" i="25" s="1"/>
  <c r="O13" i="20"/>
  <c r="O8" i="23"/>
  <c r="O201" i="23" s="1"/>
  <c r="O117" i="23"/>
  <c r="L166" i="23"/>
  <c r="L167" i="23" s="1"/>
  <c r="L62" i="34" s="1"/>
  <c r="U62" i="34" s="1"/>
  <c r="L149" i="23"/>
  <c r="L44" i="34" s="1"/>
  <c r="U44" i="34" s="1"/>
  <c r="L148" i="23"/>
  <c r="L151" i="23" s="1"/>
  <c r="L130" i="23"/>
  <c r="L92" i="20" s="1"/>
  <c r="U92" i="20" s="1"/>
  <c r="AL90" i="27"/>
  <c r="AL88" i="27"/>
  <c r="AL113" i="30"/>
  <c r="AL52" i="30"/>
  <c r="AL109" i="30"/>
  <c r="AL107" i="30" s="1"/>
  <c r="AL54" i="27" s="1"/>
  <c r="AL58" i="33"/>
  <c r="AL63" i="33"/>
  <c r="AL74" i="33" s="1"/>
  <c r="AL46" i="30"/>
  <c r="AL51" i="30" s="1"/>
  <c r="AM62" i="30"/>
  <c r="AM55" i="30" s="1"/>
  <c r="AM47" i="30" s="1"/>
  <c r="AK130" i="30"/>
  <c r="AK48" i="27"/>
  <c r="AU98" i="31"/>
  <c r="AU97" i="31" s="1"/>
  <c r="AV60" i="31"/>
  <c r="AV53" i="31" s="1"/>
  <c r="AW62" i="33"/>
  <c r="AW50" i="30"/>
  <c r="AL130" i="31"/>
  <c r="AL49" i="27"/>
  <c r="AM112" i="31"/>
  <c r="AM36" i="27"/>
  <c r="AO62" i="31"/>
  <c r="AP62" i="31" s="1"/>
  <c r="AN46" i="31"/>
  <c r="AN51" i="31" s="1"/>
  <c r="AN68" i="33"/>
  <c r="AN54" i="31"/>
  <c r="AN61" i="31"/>
  <c r="AN59" i="31" s="1"/>
  <c r="AK132" i="31"/>
  <c r="AK74" i="27"/>
  <c r="AX60" i="30"/>
  <c r="AW98" i="30"/>
  <c r="L192" i="23"/>
  <c r="J59" i="34"/>
  <c r="T64" i="34"/>
  <c r="J40" i="23"/>
  <c r="J93" i="34"/>
  <c r="J95" i="34"/>
  <c r="T95" i="34" s="1"/>
  <c r="T97" i="34"/>
  <c r="J104" i="34"/>
  <c r="T104" i="34" s="1"/>
  <c r="T106" i="34"/>
  <c r="T78" i="34"/>
  <c r="J21" i="34"/>
  <c r="T21" i="34" s="1"/>
  <c r="D37" i="36" s="1"/>
  <c r="J80" i="23"/>
  <c r="J81" i="23" s="1"/>
  <c r="J106" i="23"/>
  <c r="J108" i="23" s="1"/>
  <c r="J91" i="23"/>
  <c r="K47" i="34"/>
  <c r="K318" i="23"/>
  <c r="K40" i="34"/>
  <c r="J318" i="23"/>
  <c r="J47" i="34"/>
  <c r="J40" i="34"/>
  <c r="T42" i="34"/>
  <c r="J27" i="25"/>
  <c r="T27" i="25" s="1"/>
  <c r="T29" i="25"/>
  <c r="D105" i="36" s="1"/>
  <c r="L49" i="34"/>
  <c r="K151" i="23"/>
  <c r="K49" i="34"/>
  <c r="U49" i="34" s="1"/>
  <c r="L315" i="23"/>
  <c r="L316" i="23"/>
  <c r="L42" i="34" s="1"/>
  <c r="L299" i="23"/>
  <c r="L293" i="23" s="1"/>
  <c r="L317" i="23"/>
  <c r="L296" i="23"/>
  <c r="L58" i="25" s="1"/>
  <c r="M131" i="23"/>
  <c r="M125" i="23"/>
  <c r="M57" i="25" s="1"/>
  <c r="M150" i="23"/>
  <c r="M290" i="23"/>
  <c r="M297" i="23"/>
  <c r="M300" i="23" s="1"/>
  <c r="N126" i="23"/>
  <c r="N131" i="23" s="1"/>
  <c r="N292" i="23"/>
  <c r="N298" i="23" s="1"/>
  <c r="N291" i="23"/>
  <c r="O119" i="23"/>
  <c r="O128" i="23" s="1"/>
  <c r="O133" i="23" s="1"/>
  <c r="O284" i="23"/>
  <c r="O286" i="23" s="1"/>
  <c r="K26" i="23"/>
  <c r="K87" i="25"/>
  <c r="K42" i="23"/>
  <c r="K106" i="34" s="1"/>
  <c r="K36" i="23"/>
  <c r="L33" i="23"/>
  <c r="K78" i="34"/>
  <c r="K102" i="20"/>
  <c r="K77" i="34"/>
  <c r="K208" i="23"/>
  <c r="K219" i="23"/>
  <c r="K220" i="23"/>
  <c r="K215" i="23"/>
  <c r="K217" i="23"/>
  <c r="K216" i="23"/>
  <c r="K261" i="23"/>
  <c r="K257" i="23"/>
  <c r="K255" i="23" s="1"/>
  <c r="K64" i="34" s="1"/>
  <c r="K59" i="34" s="1"/>
  <c r="K212" i="23"/>
  <c r="K213" i="23"/>
  <c r="U28" i="25"/>
  <c r="E104" i="36" s="1"/>
  <c r="L72" i="20"/>
  <c r="U72" i="20" s="1"/>
  <c r="U73" i="20"/>
  <c r="L46" i="23"/>
  <c r="L18" i="23"/>
  <c r="L22" i="23" s="1"/>
  <c r="L24" i="23" s="1"/>
  <c r="L25" i="23" s="1"/>
  <c r="L26" i="23" s="1"/>
  <c r="L35" i="23"/>
  <c r="L105" i="23"/>
  <c r="L69" i="23"/>
  <c r="L102" i="23" s="1"/>
  <c r="L106" i="20"/>
  <c r="L100" i="20"/>
  <c r="U100" i="20" s="1"/>
  <c r="U101" i="20"/>
  <c r="U74" i="34"/>
  <c r="L117" i="20"/>
  <c r="U117" i="20" s="1"/>
  <c r="U118" i="20"/>
  <c r="L178" i="23"/>
  <c r="L179" i="23" s="1"/>
  <c r="L119" i="20" s="1"/>
  <c r="U119" i="20" s="1"/>
  <c r="L65" i="34"/>
  <c r="U65" i="34" s="1"/>
  <c r="L112" i="20"/>
  <c r="U112" i="20" s="1"/>
  <c r="U113" i="20"/>
  <c r="L214" i="23"/>
  <c r="L221" i="23"/>
  <c r="L218" i="23"/>
  <c r="L211" i="23"/>
  <c r="M46" i="23"/>
  <c r="M18" i="23"/>
  <c r="M22" i="23" s="1"/>
  <c r="M24" i="23" s="1"/>
  <c r="M25" i="23" s="1"/>
  <c r="M35" i="23"/>
  <c r="M178" i="23"/>
  <c r="M179" i="23" s="1"/>
  <c r="M119" i="20" s="1"/>
  <c r="M65" i="34"/>
  <c r="N49" i="23"/>
  <c r="N16" i="23"/>
  <c r="N73" i="20"/>
  <c r="N50" i="23"/>
  <c r="N52" i="23" s="1"/>
  <c r="V61" i="23"/>
  <c r="N63" i="23"/>
  <c r="N65" i="23" s="1"/>
  <c r="N67" i="23" s="1"/>
  <c r="M192" i="23"/>
  <c r="K29" i="25"/>
  <c r="K27" i="25" s="1"/>
  <c r="K65" i="25"/>
  <c r="L207" i="23"/>
  <c r="L208" i="23" s="1"/>
  <c r="L251" i="23"/>
  <c r="M251" i="23"/>
  <c r="J75" i="34"/>
  <c r="J265" i="23"/>
  <c r="J278" i="23" s="1"/>
  <c r="J279" i="23" s="1"/>
  <c r="J280" i="23" s="1"/>
  <c r="J281" i="23" s="1"/>
  <c r="J114" i="20" s="1"/>
  <c r="T114" i="20" s="1"/>
  <c r="BK63" i="30"/>
  <c r="BK56" i="30"/>
  <c r="BM64" i="30"/>
  <c r="BM57" i="30" s="1"/>
  <c r="BL61" i="33"/>
  <c r="BM65" i="31"/>
  <c r="BM58" i="31" s="1"/>
  <c r="BL71" i="33"/>
  <c r="BK49" i="31"/>
  <c r="BK70" i="33"/>
  <c r="BK69" i="33"/>
  <c r="BK48" i="31"/>
  <c r="N177" i="23" l="1"/>
  <c r="N74" i="34" s="1"/>
  <c r="V74" i="34" s="1"/>
  <c r="N118" i="20"/>
  <c r="N172" i="23"/>
  <c r="N175" i="23" s="1"/>
  <c r="N101" i="20"/>
  <c r="N191" i="23"/>
  <c r="N186" i="23"/>
  <c r="N189" i="23" s="1"/>
  <c r="N192" i="23" s="1"/>
  <c r="N194" i="23" s="1"/>
  <c r="M14" i="20"/>
  <c r="M166" i="23"/>
  <c r="M167" i="23" s="1"/>
  <c r="M62" i="34" s="1"/>
  <c r="N113" i="20"/>
  <c r="N164" i="23"/>
  <c r="M221" i="23"/>
  <c r="M214" i="23"/>
  <c r="M218" i="23"/>
  <c r="M211" i="23"/>
  <c r="N206" i="23"/>
  <c r="N210" i="23"/>
  <c r="AL83" i="27"/>
  <c r="G82" i="36"/>
  <c r="G103" i="36"/>
  <c r="G57" i="36"/>
  <c r="G55" i="36" s="1"/>
  <c r="O170" i="23"/>
  <c r="O61" i="23"/>
  <c r="O63" i="23" s="1"/>
  <c r="O65" i="23" s="1"/>
  <c r="O67" i="23" s="1"/>
  <c r="O162" i="23"/>
  <c r="O10" i="23"/>
  <c r="O12" i="23" s="1"/>
  <c r="O14" i="23" s="1"/>
  <c r="O182" i="23"/>
  <c r="O184" i="23" s="1"/>
  <c r="O203" i="23"/>
  <c r="K222" i="23"/>
  <c r="L194" i="23"/>
  <c r="L193" i="23"/>
  <c r="AL35" i="27"/>
  <c r="AL33" i="27" s="1"/>
  <c r="AL112" i="30"/>
  <c r="AL111" i="30" s="1"/>
  <c r="AN62" i="30"/>
  <c r="AM46" i="30"/>
  <c r="AM51" i="30" s="1"/>
  <c r="AM54" i="30"/>
  <c r="AM59" i="33"/>
  <c r="AM61" i="30"/>
  <c r="AK131" i="30"/>
  <c r="AK132" i="30" s="1"/>
  <c r="AK133" i="30" s="1"/>
  <c r="AK69" i="27"/>
  <c r="AK65" i="27" s="1"/>
  <c r="AK94" i="27" s="1"/>
  <c r="AK95" i="27" s="1"/>
  <c r="AK45" i="27"/>
  <c r="AK82" i="27" s="1"/>
  <c r="AV45" i="31"/>
  <c r="AV108" i="31"/>
  <c r="AU51" i="27"/>
  <c r="AU104" i="31"/>
  <c r="AU106" i="31" s="1"/>
  <c r="AX65" i="30"/>
  <c r="AL131" i="31"/>
  <c r="AL78" i="27"/>
  <c r="AM111" i="31"/>
  <c r="AO61" i="31"/>
  <c r="AO55" i="31"/>
  <c r="AN67" i="33"/>
  <c r="AN72" i="33"/>
  <c r="AN52" i="31"/>
  <c r="AN109" i="31"/>
  <c r="AN107" i="31" s="1"/>
  <c r="AN113" i="31"/>
  <c r="AN66" i="31"/>
  <c r="AN40" i="27"/>
  <c r="AK133" i="31"/>
  <c r="AX53" i="30"/>
  <c r="AW97" i="30"/>
  <c r="J18" i="34"/>
  <c r="T18" i="34" s="1"/>
  <c r="D34" i="36" s="1"/>
  <c r="T59" i="34"/>
  <c r="J41" i="23"/>
  <c r="J44" i="23"/>
  <c r="J47" i="23" s="1"/>
  <c r="J91" i="34"/>
  <c r="T93" i="34"/>
  <c r="J82" i="23"/>
  <c r="J50" i="25"/>
  <c r="K73" i="23"/>
  <c r="K89" i="23"/>
  <c r="J98" i="23"/>
  <c r="K45" i="34"/>
  <c r="K39" i="34" s="1"/>
  <c r="K321" i="23"/>
  <c r="K319" i="23"/>
  <c r="K12" i="34"/>
  <c r="J319" i="23"/>
  <c r="J321" i="23"/>
  <c r="J45" i="34"/>
  <c r="J39" i="34" s="1"/>
  <c r="T47" i="34"/>
  <c r="J12" i="34"/>
  <c r="T12" i="34" s="1"/>
  <c r="D28" i="36" s="1"/>
  <c r="T40" i="34"/>
  <c r="D82" i="36"/>
  <c r="D103" i="36"/>
  <c r="D57" i="36"/>
  <c r="D55" i="36" s="1"/>
  <c r="L154" i="23"/>
  <c r="L155" i="23" s="1"/>
  <c r="L157" i="23" s="1"/>
  <c r="L93" i="20" s="1"/>
  <c r="K154" i="23"/>
  <c r="K155" i="23" s="1"/>
  <c r="L318" i="23"/>
  <c r="L47" i="34"/>
  <c r="M299" i="23"/>
  <c r="M293" i="23" s="1"/>
  <c r="M316" i="23"/>
  <c r="M42" i="34" s="1"/>
  <c r="M315" i="23"/>
  <c r="L65" i="25"/>
  <c r="L29" i="25"/>
  <c r="M130" i="23"/>
  <c r="M92" i="20" s="1"/>
  <c r="M148" i="23"/>
  <c r="M149" i="23"/>
  <c r="M44" i="34" s="1"/>
  <c r="N149" i="23"/>
  <c r="N44" i="34" s="1"/>
  <c r="N148" i="23"/>
  <c r="N130" i="23"/>
  <c r="N92" i="20" s="1"/>
  <c r="V92" i="20" s="1"/>
  <c r="M28" i="25"/>
  <c r="M296" i="23"/>
  <c r="M58" i="25" s="1"/>
  <c r="M317" i="23"/>
  <c r="N125" i="23"/>
  <c r="N57" i="25" s="1"/>
  <c r="N150" i="23"/>
  <c r="N301" i="23"/>
  <c r="N297" i="23"/>
  <c r="N300" i="23" s="1"/>
  <c r="N290" i="23"/>
  <c r="O126" i="23"/>
  <c r="O131" i="23" s="1"/>
  <c r="P133" i="23"/>
  <c r="O292" i="23"/>
  <c r="O298" i="23" s="1"/>
  <c r="O291" i="23"/>
  <c r="K43" i="23"/>
  <c r="K39" i="23"/>
  <c r="K97" i="34" s="1"/>
  <c r="K27" i="23"/>
  <c r="K74" i="20" s="1"/>
  <c r="K38" i="23"/>
  <c r="L38" i="23"/>
  <c r="L27" i="23"/>
  <c r="L74" i="20" s="1"/>
  <c r="U74" i="20" s="1"/>
  <c r="L39" i="23"/>
  <c r="L97" i="34" s="1"/>
  <c r="L95" i="34" s="1"/>
  <c r="K80" i="25"/>
  <c r="K93" i="25" s="1"/>
  <c r="K17" i="25"/>
  <c r="K104" i="34"/>
  <c r="K21" i="34"/>
  <c r="K20" i="34"/>
  <c r="K18" i="34"/>
  <c r="M26" i="23"/>
  <c r="L87" i="25"/>
  <c r="M33" i="23"/>
  <c r="M42" i="23" s="1"/>
  <c r="L42" i="23"/>
  <c r="L36" i="23"/>
  <c r="L82" i="34"/>
  <c r="U106" i="20"/>
  <c r="L105" i="20"/>
  <c r="U105" i="20" s="1"/>
  <c r="L215" i="23"/>
  <c r="L216" i="23"/>
  <c r="L217" i="23"/>
  <c r="L257" i="23"/>
  <c r="L255" i="23" s="1"/>
  <c r="L64" i="34" s="1"/>
  <c r="L261" i="23"/>
  <c r="L219" i="23"/>
  <c r="L220" i="23"/>
  <c r="L212" i="23"/>
  <c r="L213" i="23"/>
  <c r="L260" i="23" s="1"/>
  <c r="L259" i="23" s="1"/>
  <c r="L75" i="34" s="1"/>
  <c r="M87" i="25"/>
  <c r="N33" i="23"/>
  <c r="M36" i="23"/>
  <c r="M78" i="34"/>
  <c r="N46" i="23"/>
  <c r="N18" i="23"/>
  <c r="N22" i="23" s="1"/>
  <c r="N24" i="23" s="1"/>
  <c r="N25" i="23" s="1"/>
  <c r="N26" i="23" s="1"/>
  <c r="N35" i="23"/>
  <c r="N72" i="20"/>
  <c r="V72" i="20" s="1"/>
  <c r="V73" i="20"/>
  <c r="N69" i="23"/>
  <c r="N102" i="23" s="1"/>
  <c r="N105" i="23"/>
  <c r="N106" i="20"/>
  <c r="N117" i="20"/>
  <c r="V117" i="20" s="1"/>
  <c r="V118" i="20"/>
  <c r="N178" i="23"/>
  <c r="N179" i="23" s="1"/>
  <c r="N119" i="20" s="1"/>
  <c r="V119" i="20" s="1"/>
  <c r="N65" i="34"/>
  <c r="V65" i="34" s="1"/>
  <c r="N100" i="20"/>
  <c r="V100" i="20" s="1"/>
  <c r="V101" i="20"/>
  <c r="M193" i="23"/>
  <c r="M194" i="23"/>
  <c r="J71" i="34"/>
  <c r="T75" i="34"/>
  <c r="K260" i="23"/>
  <c r="K259" i="23" s="1"/>
  <c r="K75" i="34" s="1"/>
  <c r="L40" i="34"/>
  <c r="U40" i="34" s="1"/>
  <c r="U42" i="34"/>
  <c r="K250" i="23"/>
  <c r="K248" i="23" s="1"/>
  <c r="K252" i="23" s="1"/>
  <c r="K254" i="23" s="1"/>
  <c r="L250" i="23"/>
  <c r="L248" i="23" s="1"/>
  <c r="L252" i="23" s="1"/>
  <c r="L254" i="23" s="1"/>
  <c r="M250" i="23"/>
  <c r="M248" i="23" s="1"/>
  <c r="M252" i="23" s="1"/>
  <c r="M254" i="23" s="1"/>
  <c r="BK60" i="33"/>
  <c r="BK48" i="30"/>
  <c r="BL64" i="31"/>
  <c r="BL57" i="31" s="1"/>
  <c r="BL49" i="31" s="1"/>
  <c r="BL63" i="31"/>
  <c r="BL56" i="31" s="1"/>
  <c r="BL48" i="31" s="1"/>
  <c r="BM61" i="33"/>
  <c r="BM49" i="30"/>
  <c r="BM50" i="31"/>
  <c r="BM71" i="33"/>
  <c r="N14" i="20" l="1"/>
  <c r="V14" i="20" s="1"/>
  <c r="N166" i="23"/>
  <c r="N167" i="23" s="1"/>
  <c r="N62" i="34" s="1"/>
  <c r="V62" i="34"/>
  <c r="N193" i="23"/>
  <c r="N102" i="20"/>
  <c r="N77" i="34"/>
  <c r="N20" i="34" s="1"/>
  <c r="N112" i="20"/>
  <c r="V112" i="20" s="1"/>
  <c r="V113" i="20"/>
  <c r="M215" i="23"/>
  <c r="M216" i="23"/>
  <c r="M217" i="23"/>
  <c r="M257" i="23"/>
  <c r="M255" i="23" s="1"/>
  <c r="M261" i="23"/>
  <c r="M219" i="23"/>
  <c r="M220" i="23"/>
  <c r="M213" i="23"/>
  <c r="M260" i="23" s="1"/>
  <c r="M259" i="23" s="1"/>
  <c r="M75" i="34" s="1"/>
  <c r="M212" i="23"/>
  <c r="M222" i="23" s="1"/>
  <c r="N207" i="23"/>
  <c r="N251" i="23"/>
  <c r="N214" i="23"/>
  <c r="N221" i="23"/>
  <c r="N218" i="23"/>
  <c r="N211" i="23"/>
  <c r="L102" i="20"/>
  <c r="U102" i="20" s="1"/>
  <c r="L77" i="34"/>
  <c r="O177" i="23"/>
  <c r="O74" i="34" s="1"/>
  <c r="W74" i="34" s="1"/>
  <c r="O118" i="20"/>
  <c r="O117" i="20" s="1"/>
  <c r="O172" i="23"/>
  <c r="O175" i="23" s="1"/>
  <c r="O105" i="23"/>
  <c r="O82" i="34" s="1"/>
  <c r="O106" i="20"/>
  <c r="O69" i="23"/>
  <c r="O102" i="23" s="1"/>
  <c r="O113" i="20"/>
  <c r="O112" i="20" s="1"/>
  <c r="O164" i="23"/>
  <c r="O14" i="20" s="1"/>
  <c r="O50" i="23"/>
  <c r="O52" i="23" s="1"/>
  <c r="O16" i="23"/>
  <c r="O49" i="23"/>
  <c r="O73" i="20"/>
  <c r="O186" i="23"/>
  <c r="O189" i="23" s="1"/>
  <c r="O101" i="20"/>
  <c r="O100" i="20" s="1"/>
  <c r="O191" i="23"/>
  <c r="O210" i="23"/>
  <c r="O206" i="23"/>
  <c r="L222" i="23"/>
  <c r="AL55" i="27"/>
  <c r="AL117" i="30"/>
  <c r="AN61" i="30"/>
  <c r="AN59" i="30" s="1"/>
  <c r="AN55" i="30"/>
  <c r="AM109" i="30"/>
  <c r="AM113" i="30"/>
  <c r="AM52" i="30"/>
  <c r="AM58" i="33"/>
  <c r="AM63" i="33"/>
  <c r="AM59" i="30"/>
  <c r="AW60" i="31"/>
  <c r="AW53" i="31" s="1"/>
  <c r="AW45" i="31" s="1"/>
  <c r="AV98" i="31"/>
  <c r="AV97" i="31" s="1"/>
  <c r="AX58" i="30"/>
  <c r="AL132" i="31"/>
  <c r="AL74" i="27"/>
  <c r="AM117" i="31"/>
  <c r="AO59" i="31"/>
  <c r="AP61" i="31"/>
  <c r="AP55" i="31"/>
  <c r="AO54" i="31"/>
  <c r="AO68" i="33"/>
  <c r="AO47" i="31"/>
  <c r="AN36" i="27"/>
  <c r="AN112" i="31"/>
  <c r="AX108" i="30"/>
  <c r="AX45" i="30"/>
  <c r="AW104" i="30"/>
  <c r="J56" i="23"/>
  <c r="J53" i="23"/>
  <c r="T91" i="34"/>
  <c r="J90" i="34"/>
  <c r="J83" i="23"/>
  <c r="J107" i="20" s="1"/>
  <c r="T107" i="20" s="1"/>
  <c r="J95" i="23"/>
  <c r="J37" i="34" s="1"/>
  <c r="J94" i="23"/>
  <c r="J42" i="25"/>
  <c r="J16" i="25"/>
  <c r="K75" i="23"/>
  <c r="K86" i="23"/>
  <c r="L85" i="23" s="1"/>
  <c r="J99" i="23"/>
  <c r="J56" i="34"/>
  <c r="K13" i="34"/>
  <c r="K11" i="34"/>
  <c r="J13" i="34"/>
  <c r="T13" i="34" s="1"/>
  <c r="D29" i="36" s="1"/>
  <c r="T45" i="34"/>
  <c r="J11" i="34"/>
  <c r="T11" i="34" s="1"/>
  <c r="D27" i="36" s="1"/>
  <c r="T39" i="34"/>
  <c r="K156" i="23"/>
  <c r="K157" i="23"/>
  <c r="K93" i="20" s="1"/>
  <c r="L319" i="23"/>
  <c r="L321" i="23"/>
  <c r="M40" i="34"/>
  <c r="M318" i="23"/>
  <c r="M47" i="34"/>
  <c r="L27" i="25"/>
  <c r="U27" i="25" s="1"/>
  <c r="U29" i="25"/>
  <c r="E105" i="36" s="1"/>
  <c r="M151" i="23"/>
  <c r="M49" i="34"/>
  <c r="N151" i="23"/>
  <c r="N49" i="34"/>
  <c r="N316" i="23"/>
  <c r="N42" i="34" s="1"/>
  <c r="N315" i="23"/>
  <c r="N299" i="23"/>
  <c r="N293" i="23" s="1"/>
  <c r="N28" i="25"/>
  <c r="O148" i="23"/>
  <c r="O149" i="23"/>
  <c r="O44" i="34" s="1"/>
  <c r="O130" i="23"/>
  <c r="O92" i="20" s="1"/>
  <c r="N317" i="23"/>
  <c r="N296" i="23"/>
  <c r="N58" i="25" s="1"/>
  <c r="O125" i="23"/>
  <c r="O57" i="25" s="1"/>
  <c r="O150" i="23"/>
  <c r="P131" i="23"/>
  <c r="P150" i="23"/>
  <c r="O290" i="23"/>
  <c r="O297" i="23"/>
  <c r="O300" i="23" s="1"/>
  <c r="U97" i="34"/>
  <c r="K95" i="34"/>
  <c r="U95" i="34" s="1"/>
  <c r="K40" i="23"/>
  <c r="K93" i="34"/>
  <c r="L40" i="23"/>
  <c r="L93" i="34"/>
  <c r="L91" i="34" s="1"/>
  <c r="M39" i="23"/>
  <c r="M97" i="34" s="1"/>
  <c r="M27" i="23"/>
  <c r="M74" i="20" s="1"/>
  <c r="M38" i="23"/>
  <c r="L80" i="25"/>
  <c r="L93" i="25" s="1"/>
  <c r="L17" i="25"/>
  <c r="U17" i="25" s="1"/>
  <c r="E99" i="36" s="1"/>
  <c r="L43" i="23"/>
  <c r="L106" i="34"/>
  <c r="U82" i="34"/>
  <c r="L78" i="34"/>
  <c r="U64" i="34"/>
  <c r="N39" i="23"/>
  <c r="N97" i="34" s="1"/>
  <c r="N95" i="34" s="1"/>
  <c r="N27" i="23"/>
  <c r="N74" i="20" s="1"/>
  <c r="V74" i="20" s="1"/>
  <c r="N38" i="23"/>
  <c r="M80" i="25"/>
  <c r="M93" i="25" s="1"/>
  <c r="M17" i="25"/>
  <c r="M43" i="23"/>
  <c r="M106" i="34"/>
  <c r="M21" i="34"/>
  <c r="N87" i="25"/>
  <c r="N36" i="23"/>
  <c r="O33" i="23"/>
  <c r="N42" i="23"/>
  <c r="N82" i="34"/>
  <c r="V106" i="20"/>
  <c r="N105" i="20"/>
  <c r="V105" i="20" s="1"/>
  <c r="M77" i="34"/>
  <c r="M102" i="20"/>
  <c r="T71" i="34"/>
  <c r="J19" i="34"/>
  <c r="T19" i="34" s="1"/>
  <c r="D35" i="36" s="1"/>
  <c r="U75" i="34"/>
  <c r="K71" i="34"/>
  <c r="L12" i="34"/>
  <c r="U12" i="34" s="1"/>
  <c r="E28" i="36" s="1"/>
  <c r="V44" i="34"/>
  <c r="K265" i="23"/>
  <c r="K278" i="23" s="1"/>
  <c r="K279" i="23" s="1"/>
  <c r="K280" i="23" s="1"/>
  <c r="K281" i="23" s="1"/>
  <c r="K114" i="20" s="1"/>
  <c r="L265" i="23"/>
  <c r="L278" i="23" s="1"/>
  <c r="L279" i="23" s="1"/>
  <c r="L280" i="23" s="1"/>
  <c r="L281" i="23" s="1"/>
  <c r="L114" i="20" s="1"/>
  <c r="K320" i="23"/>
  <c r="K322" i="23"/>
  <c r="J320" i="23"/>
  <c r="J322" i="23"/>
  <c r="L45" i="34"/>
  <c r="U47" i="34"/>
  <c r="M29" i="25"/>
  <c r="M27" i="25" s="1"/>
  <c r="M65" i="25"/>
  <c r="P301" i="23"/>
  <c r="O301" i="23"/>
  <c r="BL63" i="30"/>
  <c r="BL56" i="30" s="1"/>
  <c r="BM64" i="31"/>
  <c r="BM57" i="31" s="1"/>
  <c r="BL70" i="33"/>
  <c r="BM63" i="31"/>
  <c r="BM56" i="31" s="1"/>
  <c r="BL69" i="33"/>
  <c r="BN64" i="30"/>
  <c r="BN57" i="30" s="1"/>
  <c r="BN49" i="30" s="1"/>
  <c r="BN65" i="31"/>
  <c r="BN58" i="31" s="1"/>
  <c r="BN50" i="31" s="1"/>
  <c r="V102" i="20" l="1"/>
  <c r="M64" i="34"/>
  <c r="M265" i="23"/>
  <c r="M278" i="23" s="1"/>
  <c r="M279" i="23" s="1"/>
  <c r="M280" i="23" s="1"/>
  <c r="M281" i="23" s="1"/>
  <c r="M114" i="20" s="1"/>
  <c r="N208" i="23"/>
  <c r="N250" i="23"/>
  <c r="N248" i="23" s="1"/>
  <c r="N252" i="23" s="1"/>
  <c r="N254" i="23" s="1"/>
  <c r="N217" i="23"/>
  <c r="N216" i="23"/>
  <c r="N215" i="23"/>
  <c r="N261" i="23"/>
  <c r="N257" i="23"/>
  <c r="N255" i="23" s="1"/>
  <c r="N64" i="34" s="1"/>
  <c r="V64" i="34" s="1"/>
  <c r="N220" i="23"/>
  <c r="N219" i="23"/>
  <c r="N212" i="23"/>
  <c r="N213" i="23"/>
  <c r="N260" i="23" s="1"/>
  <c r="N259" i="23" s="1"/>
  <c r="O192" i="23"/>
  <c r="L20" i="34"/>
  <c r="U20" i="34" s="1"/>
  <c r="E36" i="36" s="1"/>
  <c r="U77" i="34"/>
  <c r="W14" i="20"/>
  <c r="O166" i="23"/>
  <c r="O167" i="23" s="1"/>
  <c r="O62" i="34" s="1"/>
  <c r="W62" i="34" s="1"/>
  <c r="O178" i="23"/>
  <c r="O179" i="23" s="1"/>
  <c r="O119" i="20" s="1"/>
  <c r="W119" i="20" s="1"/>
  <c r="O65" i="34"/>
  <c r="W65" i="34" s="1"/>
  <c r="O105" i="20"/>
  <c r="W106" i="20"/>
  <c r="O18" i="23"/>
  <c r="O22" i="23" s="1"/>
  <c r="O24" i="23" s="1"/>
  <c r="O25" i="23" s="1"/>
  <c r="O46" i="23"/>
  <c r="O35" i="23"/>
  <c r="W73" i="20"/>
  <c r="Y73" i="20" s="1"/>
  <c r="O72" i="20"/>
  <c r="O214" i="23"/>
  <c r="O218" i="23"/>
  <c r="O221" i="23"/>
  <c r="O211" i="23"/>
  <c r="O251" i="23"/>
  <c r="P251" i="23"/>
  <c r="O207" i="23"/>
  <c r="O208" i="23" s="1"/>
  <c r="AL130" i="30"/>
  <c r="AL48" i="27"/>
  <c r="AN66" i="30"/>
  <c r="AN39" i="27"/>
  <c r="AN37" i="27" s="1"/>
  <c r="AN59" i="33"/>
  <c r="AN54" i="30"/>
  <c r="AN47" i="30"/>
  <c r="AM107" i="30"/>
  <c r="AM35" i="27"/>
  <c r="AM112" i="30"/>
  <c r="AM74" i="33"/>
  <c r="AM66" i="30"/>
  <c r="AM39" i="27"/>
  <c r="AW98" i="31"/>
  <c r="AW97" i="31" s="1"/>
  <c r="AX60" i="31"/>
  <c r="AW108" i="31"/>
  <c r="AV51" i="27"/>
  <c r="BZ51" i="27" s="1"/>
  <c r="M38" i="34" s="1"/>
  <c r="AV104" i="31"/>
  <c r="AV106" i="31" s="1"/>
  <c r="AX50" i="30"/>
  <c r="AX62" i="33"/>
  <c r="AL133" i="31"/>
  <c r="AM49" i="27"/>
  <c r="AM130" i="31"/>
  <c r="AP59" i="31"/>
  <c r="AO66" i="31"/>
  <c r="AO40" i="27"/>
  <c r="AP54" i="31"/>
  <c r="AO52" i="31"/>
  <c r="AO109" i="31"/>
  <c r="AO113" i="31"/>
  <c r="AP113" i="31" s="1"/>
  <c r="AP68" i="33"/>
  <c r="AO72" i="33"/>
  <c r="AO67" i="33"/>
  <c r="AP67" i="33" s="1"/>
  <c r="AP47" i="31"/>
  <c r="AO46" i="31"/>
  <c r="AO51" i="31" s="1"/>
  <c r="AN111" i="31"/>
  <c r="AY60" i="30"/>
  <c r="AX98" i="30"/>
  <c r="AW106" i="30"/>
  <c r="L13" i="34"/>
  <c r="U13" i="34" s="1"/>
  <c r="E29" i="36" s="1"/>
  <c r="U45" i="34"/>
  <c r="L39" i="34"/>
  <c r="J54" i="23"/>
  <c r="J57" i="23"/>
  <c r="J103" i="34"/>
  <c r="T90" i="34"/>
  <c r="J35" i="34"/>
  <c r="T37" i="34"/>
  <c r="J96" i="23"/>
  <c r="J34" i="34"/>
  <c r="J55" i="25"/>
  <c r="J9" i="25"/>
  <c r="T16" i="25"/>
  <c r="D98" i="36" s="1"/>
  <c r="J15" i="25"/>
  <c r="T15" i="25" s="1"/>
  <c r="T56" i="34"/>
  <c r="J54" i="34"/>
  <c r="L156" i="23"/>
  <c r="L159" i="23" s="1"/>
  <c r="L94" i="20" s="1"/>
  <c r="K159" i="23"/>
  <c r="K94" i="20" s="1"/>
  <c r="M12" i="34"/>
  <c r="M319" i="23"/>
  <c r="M321" i="23"/>
  <c r="M45" i="34"/>
  <c r="M39" i="34" s="1"/>
  <c r="E103" i="36"/>
  <c r="E57" i="36"/>
  <c r="E55" i="36" s="1"/>
  <c r="E82" i="36"/>
  <c r="M154" i="23"/>
  <c r="M155" i="23" s="1"/>
  <c r="N154" i="23"/>
  <c r="N155" i="23" s="1"/>
  <c r="N157" i="23" s="1"/>
  <c r="N93" i="20" s="1"/>
  <c r="N318" i="23"/>
  <c r="N47" i="34"/>
  <c r="V47" i="34" s="1"/>
  <c r="V28" i="25"/>
  <c r="F104" i="36" s="1"/>
  <c r="O151" i="23"/>
  <c r="O49" i="34"/>
  <c r="O315" i="23"/>
  <c r="O316" i="23"/>
  <c r="O42" i="34" s="1"/>
  <c r="O299" i="23"/>
  <c r="O293" i="23" s="1"/>
  <c r="O28" i="25"/>
  <c r="P148" i="23"/>
  <c r="P149" i="23"/>
  <c r="P44" i="34" s="1"/>
  <c r="W44" i="34" s="1"/>
  <c r="P130" i="23"/>
  <c r="P92" i="20" s="1"/>
  <c r="W92" i="20" s="1"/>
  <c r="P317" i="23"/>
  <c r="P300" i="23"/>
  <c r="O317" i="23"/>
  <c r="O296" i="23"/>
  <c r="O58" i="25" s="1"/>
  <c r="K41" i="23"/>
  <c r="K44" i="23"/>
  <c r="K47" i="23" s="1"/>
  <c r="U93" i="34"/>
  <c r="K91" i="34"/>
  <c r="L44" i="23"/>
  <c r="L47" i="23" s="1"/>
  <c r="L41" i="23"/>
  <c r="L90" i="34"/>
  <c r="L103" i="34" s="1"/>
  <c r="V97" i="34"/>
  <c r="M95" i="34"/>
  <c r="V95" i="34" s="1"/>
  <c r="M40" i="23"/>
  <c r="M93" i="34"/>
  <c r="U106" i="34"/>
  <c r="L104" i="34"/>
  <c r="U104" i="34" s="1"/>
  <c r="U78" i="34"/>
  <c r="L21" i="34"/>
  <c r="U21" i="34" s="1"/>
  <c r="E37" i="36" s="1"/>
  <c r="N40" i="23"/>
  <c r="N93" i="34"/>
  <c r="N91" i="34" s="1"/>
  <c r="N90" i="34" s="1"/>
  <c r="N103" i="34" s="1"/>
  <c r="M104" i="34"/>
  <c r="N80" i="25"/>
  <c r="N93" i="25" s="1"/>
  <c r="N17" i="25"/>
  <c r="V17" i="25" s="1"/>
  <c r="F99" i="36" s="1"/>
  <c r="N43" i="23"/>
  <c r="N106" i="34"/>
  <c r="V82" i="34"/>
  <c r="N78" i="34"/>
  <c r="W82" i="34"/>
  <c r="O78" i="34"/>
  <c r="V77" i="34"/>
  <c r="M20" i="34"/>
  <c r="V20" i="34" s="1"/>
  <c r="F36" i="36" s="1"/>
  <c r="K19" i="34"/>
  <c r="K323" i="23"/>
  <c r="K326" i="23"/>
  <c r="J326" i="23"/>
  <c r="J323" i="23"/>
  <c r="J324" i="23" s="1"/>
  <c r="U114" i="20"/>
  <c r="V49" i="34"/>
  <c r="K78" i="23"/>
  <c r="K76" i="23"/>
  <c r="L320" i="23"/>
  <c r="L322" i="23"/>
  <c r="L326" i="23" s="1"/>
  <c r="N40" i="34"/>
  <c r="V40" i="34" s="1"/>
  <c r="V42" i="34"/>
  <c r="N29" i="25"/>
  <c r="N65" i="25"/>
  <c r="BL60" i="33"/>
  <c r="BL48" i="30"/>
  <c r="BO64" i="30"/>
  <c r="BN61" i="33"/>
  <c r="BO65" i="31"/>
  <c r="BN71" i="33"/>
  <c r="BM70" i="33"/>
  <c r="BM49" i="31"/>
  <c r="BM48" i="31"/>
  <c r="BM69" i="33"/>
  <c r="N222" i="23" l="1"/>
  <c r="O194" i="23"/>
  <c r="O193" i="23"/>
  <c r="P193" i="23" s="1"/>
  <c r="O26" i="23"/>
  <c r="P26" i="23"/>
  <c r="O87" i="25"/>
  <c r="O42" i="23"/>
  <c r="P33" i="23"/>
  <c r="P42" i="23" s="1"/>
  <c r="O36" i="23"/>
  <c r="O215" i="23"/>
  <c r="O261" i="23"/>
  <c r="O217" i="23"/>
  <c r="O257" i="23"/>
  <c r="O255" i="23" s="1"/>
  <c r="O64" i="34" s="1"/>
  <c r="W64" i="34" s="1"/>
  <c r="O216" i="23"/>
  <c r="O219" i="23"/>
  <c r="O220" i="23"/>
  <c r="O212" i="23"/>
  <c r="O213" i="23"/>
  <c r="O260" i="23" s="1"/>
  <c r="O259" i="23" s="1"/>
  <c r="N75" i="34"/>
  <c r="V75" i="34" s="1"/>
  <c r="N265" i="23"/>
  <c r="N278" i="23" s="1"/>
  <c r="N279" i="23" s="1"/>
  <c r="N280" i="23" s="1"/>
  <c r="N281" i="23" s="1"/>
  <c r="N114" i="20" s="1"/>
  <c r="V114" i="20" s="1"/>
  <c r="AL131" i="30"/>
  <c r="AL132" i="30" s="1"/>
  <c r="AL133" i="30" s="1"/>
  <c r="AL45" i="27"/>
  <c r="AL69" i="27"/>
  <c r="AL65" i="27" s="1"/>
  <c r="AL94" i="27" s="1"/>
  <c r="AL95" i="27" s="1"/>
  <c r="AN88" i="27"/>
  <c r="AN90" i="27"/>
  <c r="AN63" i="33"/>
  <c r="AN58" i="33"/>
  <c r="AN109" i="30"/>
  <c r="AN113" i="30"/>
  <c r="AN52" i="30"/>
  <c r="AO62" i="30"/>
  <c r="AN46" i="30"/>
  <c r="AN51" i="30" s="1"/>
  <c r="AM54" i="27"/>
  <c r="AM33" i="27"/>
  <c r="AM111" i="30"/>
  <c r="AM117" i="30" s="1"/>
  <c r="AM37" i="27"/>
  <c r="AW51" i="27"/>
  <c r="AW104" i="31"/>
  <c r="AW106" i="31" s="1"/>
  <c r="AX53" i="31"/>
  <c r="AY65" i="30"/>
  <c r="AY58" i="30"/>
  <c r="AM78" i="27"/>
  <c r="AM131" i="31"/>
  <c r="AP40" i="27"/>
  <c r="AP52" i="31"/>
  <c r="G98" i="26" s="1"/>
  <c r="AO36" i="27"/>
  <c r="AO112" i="31"/>
  <c r="AO107" i="31"/>
  <c r="AP109" i="31"/>
  <c r="AP72" i="33"/>
  <c r="AP46" i="31"/>
  <c r="AP51" i="31" s="1"/>
  <c r="AQ62" i="31"/>
  <c r="AN117" i="31"/>
  <c r="AY53" i="30"/>
  <c r="AX97" i="30"/>
  <c r="N104" i="34"/>
  <c r="V106" i="34"/>
  <c r="O250" i="23"/>
  <c r="O248" i="23" s="1"/>
  <c r="O252" i="23" s="1"/>
  <c r="O254" i="23" s="1"/>
  <c r="P250" i="23"/>
  <c r="P248" i="23" s="1"/>
  <c r="P252" i="23" s="1"/>
  <c r="P254" i="23" s="1"/>
  <c r="P265" i="23" s="1"/>
  <c r="P278" i="23" s="1"/>
  <c r="P279" i="23" s="1"/>
  <c r="P280" i="23" s="1"/>
  <c r="P281" i="23" s="1"/>
  <c r="P114" i="20" s="1"/>
  <c r="V29" i="25"/>
  <c r="F105" i="36" s="1"/>
  <c r="N27" i="25"/>
  <c r="V27" i="25" s="1"/>
  <c r="L11" i="34"/>
  <c r="U11" i="34" s="1"/>
  <c r="E27" i="36" s="1"/>
  <c r="U39" i="34"/>
  <c r="J58" i="23"/>
  <c r="J75" i="20" s="1"/>
  <c r="T75" i="20" s="1"/>
  <c r="J76" i="20"/>
  <c r="J108" i="34"/>
  <c r="T103" i="34"/>
  <c r="J10" i="34"/>
  <c r="T10" i="34" s="1"/>
  <c r="D26" i="36" s="1"/>
  <c r="T35" i="34"/>
  <c r="J100" i="23"/>
  <c r="J103" i="23" s="1"/>
  <c r="J97" i="23"/>
  <c r="T34" i="34"/>
  <c r="J32" i="34"/>
  <c r="T9" i="25"/>
  <c r="T134" i="20" s="1"/>
  <c r="D97" i="36"/>
  <c r="D52" i="36"/>
  <c r="J16" i="34"/>
  <c r="T16" i="34" s="1"/>
  <c r="D32" i="36" s="1"/>
  <c r="T54" i="34"/>
  <c r="M11" i="34"/>
  <c r="M13" i="34"/>
  <c r="M157" i="23"/>
  <c r="M93" i="20" s="1"/>
  <c r="M156" i="23"/>
  <c r="N319" i="23"/>
  <c r="N321" i="23"/>
  <c r="N45" i="34"/>
  <c r="O154" i="23"/>
  <c r="O155" i="23" s="1"/>
  <c r="O318" i="23"/>
  <c r="O47" i="34"/>
  <c r="O40" i="34"/>
  <c r="P151" i="23"/>
  <c r="P49" i="34"/>
  <c r="W49" i="34" s="1"/>
  <c r="P299" i="23"/>
  <c r="P293" i="23" s="1"/>
  <c r="P315" i="23"/>
  <c r="P316" i="23"/>
  <c r="P42" i="34" s="1"/>
  <c r="K56" i="23"/>
  <c r="K53" i="23"/>
  <c r="K90" i="34"/>
  <c r="U91" i="34"/>
  <c r="L56" i="23"/>
  <c r="L53" i="23"/>
  <c r="L57" i="23" s="1"/>
  <c r="M44" i="23"/>
  <c r="M47" i="23" s="1"/>
  <c r="M41" i="23"/>
  <c r="V93" i="34"/>
  <c r="M91" i="34"/>
  <c r="N44" i="23"/>
  <c r="N47" i="23" s="1"/>
  <c r="N41" i="23"/>
  <c r="V78" i="34"/>
  <c r="N21" i="34"/>
  <c r="V21" i="34" s="1"/>
  <c r="F37" i="36" s="1"/>
  <c r="W78" i="34"/>
  <c r="O21" i="34"/>
  <c r="W21" i="34" s="1"/>
  <c r="G37" i="36" s="1"/>
  <c r="O102" i="20"/>
  <c r="W102" i="20" s="1"/>
  <c r="O77" i="34"/>
  <c r="K80" i="23"/>
  <c r="K81" i="23" s="1"/>
  <c r="K106" i="23"/>
  <c r="K108" i="23" s="1"/>
  <c r="K91" i="23"/>
  <c r="N12" i="34"/>
  <c r="V12" i="34" s="1"/>
  <c r="F28" i="36" s="1"/>
  <c r="U94" i="20"/>
  <c r="L108" i="34"/>
  <c r="L323" i="23"/>
  <c r="L324" i="23" s="1"/>
  <c r="M320" i="23"/>
  <c r="M322" i="23"/>
  <c r="O29" i="25"/>
  <c r="O27" i="25" s="1"/>
  <c r="O65" i="25"/>
  <c r="BP65" i="31"/>
  <c r="BO58" i="31"/>
  <c r="BM63" i="30"/>
  <c r="BM56" i="30" s="1"/>
  <c r="BM48" i="30" s="1"/>
  <c r="BN64" i="31"/>
  <c r="BN57" i="31" s="1"/>
  <c r="BN49" i="31" s="1"/>
  <c r="BN63" i="31"/>
  <c r="BN56" i="31" s="1"/>
  <c r="BN48" i="31" s="1"/>
  <c r="BP64" i="30"/>
  <c r="BO57" i="30"/>
  <c r="O222" i="23" l="1"/>
  <c r="P39" i="23"/>
  <c r="P97" i="34" s="1"/>
  <c r="P95" i="34" s="1"/>
  <c r="P38" i="23"/>
  <c r="P27" i="23"/>
  <c r="P74" i="20" s="1"/>
  <c r="W74" i="20" s="1"/>
  <c r="O43" i="23"/>
  <c r="O106" i="34"/>
  <c r="P43" i="23"/>
  <c r="P106" i="34"/>
  <c r="P104" i="34" s="1"/>
  <c r="O80" i="25"/>
  <c r="O93" i="25" s="1"/>
  <c r="O17" i="25"/>
  <c r="O39" i="23"/>
  <c r="O97" i="34" s="1"/>
  <c r="O38" i="23"/>
  <c r="O27" i="23"/>
  <c r="O74" i="20" s="1"/>
  <c r="O265" i="23"/>
  <c r="O278" i="23" s="1"/>
  <c r="O279" i="23" s="1"/>
  <c r="O280" i="23" s="1"/>
  <c r="O281" i="23" s="1"/>
  <c r="O114" i="20" s="1"/>
  <c r="W114" i="20" s="1"/>
  <c r="O75" i="34"/>
  <c r="W75" i="34" s="1"/>
  <c r="AN74" i="33"/>
  <c r="AN107" i="30"/>
  <c r="AN35" i="27"/>
  <c r="AN112" i="30"/>
  <c r="AP62" i="30"/>
  <c r="AO61" i="30"/>
  <c r="AO55" i="30"/>
  <c r="AM130" i="30"/>
  <c r="AM48" i="27"/>
  <c r="AM55" i="27"/>
  <c r="AM88" i="27"/>
  <c r="AM90" i="27"/>
  <c r="AL82" i="27"/>
  <c r="AN83" i="27"/>
  <c r="AX108" i="31"/>
  <c r="AX45" i="31"/>
  <c r="AY62" i="33"/>
  <c r="AY50" i="30"/>
  <c r="AM74" i="27"/>
  <c r="AM132" i="31"/>
  <c r="AP36" i="27"/>
  <c r="AP112" i="31"/>
  <c r="AO111" i="31"/>
  <c r="AO117" i="31" s="1"/>
  <c r="AP117" i="31" s="1"/>
  <c r="AP107" i="31"/>
  <c r="AQ61" i="31"/>
  <c r="AQ59" i="31" s="1"/>
  <c r="AQ55" i="31"/>
  <c r="AN49" i="27"/>
  <c r="AN130" i="31"/>
  <c r="AY108" i="30"/>
  <c r="AY45" i="30"/>
  <c r="AX104" i="30"/>
  <c r="V104" i="34"/>
  <c r="N108" i="34"/>
  <c r="N121" i="34" s="1"/>
  <c r="F82" i="36"/>
  <c r="F57" i="36"/>
  <c r="F55" i="36" s="1"/>
  <c r="F103" i="36"/>
  <c r="N320" i="23"/>
  <c r="N322" i="23"/>
  <c r="N326" i="23" s="1"/>
  <c r="N13" i="34"/>
  <c r="V13" i="34" s="1"/>
  <c r="F29" i="36" s="1"/>
  <c r="V45" i="34"/>
  <c r="N39" i="34"/>
  <c r="T76" i="20"/>
  <c r="T108" i="34"/>
  <c r="J121" i="34"/>
  <c r="J112" i="23"/>
  <c r="J109" i="23"/>
  <c r="J31" i="34"/>
  <c r="J9" i="34"/>
  <c r="T9" i="34" s="1"/>
  <c r="D25" i="36" s="1"/>
  <c r="T32" i="34"/>
  <c r="D71" i="36"/>
  <c r="D96" i="36" s="1"/>
  <c r="D50" i="36"/>
  <c r="N156" i="23"/>
  <c r="N159" i="23" s="1"/>
  <c r="N94" i="20" s="1"/>
  <c r="M159" i="23"/>
  <c r="M94" i="20" s="1"/>
  <c r="O156" i="23"/>
  <c r="O157" i="23"/>
  <c r="O93" i="20" s="1"/>
  <c r="O319" i="23"/>
  <c r="O321" i="23"/>
  <c r="O12" i="34"/>
  <c r="P154" i="23"/>
  <c r="P155" i="23" s="1"/>
  <c r="P157" i="23" s="1"/>
  <c r="P93" i="20" s="1"/>
  <c r="P47" i="34"/>
  <c r="P45" i="34" s="1"/>
  <c r="P13" i="34" s="1"/>
  <c r="P318" i="23"/>
  <c r="K54" i="23"/>
  <c r="L54" i="23" s="1"/>
  <c r="K57" i="23"/>
  <c r="U90" i="34"/>
  <c r="K103" i="34"/>
  <c r="L58" i="23"/>
  <c r="L75" i="20" s="1"/>
  <c r="U75" i="20" s="1"/>
  <c r="L76" i="20"/>
  <c r="M56" i="23"/>
  <c r="M53" i="23"/>
  <c r="M57" i="23" s="1"/>
  <c r="V91" i="34"/>
  <c r="M90" i="34"/>
  <c r="N56" i="23"/>
  <c r="N53" i="23"/>
  <c r="N57" i="23" s="1"/>
  <c r="W77" i="34"/>
  <c r="O20" i="34"/>
  <c r="W20" i="34" s="1"/>
  <c r="G36" i="36" s="1"/>
  <c r="K82" i="23"/>
  <c r="L73" i="23"/>
  <c r="K50" i="25"/>
  <c r="L89" i="23"/>
  <c r="K98" i="23"/>
  <c r="L121" i="34"/>
  <c r="M323" i="23"/>
  <c r="N323" i="23" s="1"/>
  <c r="N324" i="23" s="1"/>
  <c r="M326" i="23"/>
  <c r="O45" i="34"/>
  <c r="O39" i="34" s="1"/>
  <c r="W47" i="34"/>
  <c r="P40" i="34"/>
  <c r="W40" i="34" s="1"/>
  <c r="W42" i="34"/>
  <c r="BO50" i="31"/>
  <c r="BP50" i="31" s="1"/>
  <c r="BO71" i="33"/>
  <c r="BP71" i="33" s="1"/>
  <c r="BP58" i="31"/>
  <c r="BN63" i="30"/>
  <c r="BN56" i="30" s="1"/>
  <c r="BM60" i="33"/>
  <c r="BO64" i="31"/>
  <c r="BN70" i="33"/>
  <c r="BO63" i="31"/>
  <c r="BN69" i="33"/>
  <c r="BO49" i="30"/>
  <c r="BP49" i="30" s="1"/>
  <c r="BP57" i="30"/>
  <c r="BO61" i="33"/>
  <c r="BP61" i="33" s="1"/>
  <c r="P93" i="34" l="1"/>
  <c r="P91" i="34" s="1"/>
  <c r="P40" i="23"/>
  <c r="W106" i="34"/>
  <c r="O104" i="34"/>
  <c r="W104" i="34" s="1"/>
  <c r="O95" i="34"/>
  <c r="W97" i="34"/>
  <c r="W95" i="34"/>
  <c r="O40" i="23"/>
  <c r="O93" i="34"/>
  <c r="AM83" i="27"/>
  <c r="AN54" i="27"/>
  <c r="AN33" i="27"/>
  <c r="AN111" i="30"/>
  <c r="AN117" i="30" s="1"/>
  <c r="AP61" i="30"/>
  <c r="AO59" i="30"/>
  <c r="AO47" i="30"/>
  <c r="AO59" i="33"/>
  <c r="AO54" i="30"/>
  <c r="AP55" i="30"/>
  <c r="AM131" i="30"/>
  <c r="AM132" i="30" s="1"/>
  <c r="AM45" i="27"/>
  <c r="AM69" i="27"/>
  <c r="AY60" i="31"/>
  <c r="AX98" i="31"/>
  <c r="AX97" i="31" s="1"/>
  <c r="AZ65" i="30"/>
  <c r="AM133" i="31"/>
  <c r="AP111" i="31"/>
  <c r="AO130" i="31"/>
  <c r="AP130" i="31" s="1"/>
  <c r="AO49" i="27"/>
  <c r="AQ40" i="27"/>
  <c r="AQ66" i="31"/>
  <c r="AQ54" i="31"/>
  <c r="AQ68" i="33"/>
  <c r="AQ47" i="31"/>
  <c r="AP49" i="27"/>
  <c r="AN78" i="27"/>
  <c r="AN131" i="31"/>
  <c r="AZ60" i="30"/>
  <c r="AY98" i="30"/>
  <c r="AX106" i="30"/>
  <c r="V94" i="20"/>
  <c r="M54" i="23"/>
  <c r="N54" i="23" s="1"/>
  <c r="V39" i="34"/>
  <c r="N11" i="34"/>
  <c r="V11" i="34" s="1"/>
  <c r="F27" i="36" s="1"/>
  <c r="T121" i="34"/>
  <c r="J123" i="34"/>
  <c r="J111" i="23"/>
  <c r="J113" i="23"/>
  <c r="J110" i="23"/>
  <c r="J53" i="34"/>
  <c r="J8" i="34"/>
  <c r="T8" i="34" s="1"/>
  <c r="D24" i="36" s="1"/>
  <c r="T31" i="34"/>
  <c r="P156" i="23"/>
  <c r="P159" i="23" s="1"/>
  <c r="P94" i="20" s="1"/>
  <c r="O159" i="23"/>
  <c r="O94" i="20" s="1"/>
  <c r="O11" i="34"/>
  <c r="P319" i="23"/>
  <c r="P321" i="23"/>
  <c r="K58" i="23"/>
  <c r="K75" i="20" s="1"/>
  <c r="K76" i="20"/>
  <c r="U103" i="34"/>
  <c r="K108" i="34"/>
  <c r="M58" i="23"/>
  <c r="M75" i="20" s="1"/>
  <c r="M76" i="20"/>
  <c r="V90" i="34"/>
  <c r="M103" i="34"/>
  <c r="N76" i="20"/>
  <c r="N58" i="23"/>
  <c r="N75" i="20" s="1"/>
  <c r="V75" i="20" s="1"/>
  <c r="N123" i="34"/>
  <c r="P44" i="23"/>
  <c r="P47" i="23" s="1"/>
  <c r="P41" i="23"/>
  <c r="K83" i="23"/>
  <c r="K107" i="20" s="1"/>
  <c r="K94" i="23"/>
  <c r="K95" i="23"/>
  <c r="K37" i="34" s="1"/>
  <c r="L75" i="23"/>
  <c r="L86" i="23"/>
  <c r="M85" i="23" s="1"/>
  <c r="K42" i="25"/>
  <c r="K16" i="25"/>
  <c r="K15" i="25" s="1"/>
  <c r="K56" i="34"/>
  <c r="K99" i="23"/>
  <c r="L123" i="34"/>
  <c r="O13" i="34"/>
  <c r="W13" i="34" s="1"/>
  <c r="G29" i="36" s="1"/>
  <c r="W45" i="34"/>
  <c r="P12" i="34"/>
  <c r="W12" i="34" s="1"/>
  <c r="G28" i="36" s="1"/>
  <c r="P39" i="34"/>
  <c r="O320" i="23"/>
  <c r="O322" i="23"/>
  <c r="BP64" i="31"/>
  <c r="BO57" i="31"/>
  <c r="BN60" i="33"/>
  <c r="BN48" i="30"/>
  <c r="BP63" i="31"/>
  <c r="BO56" i="31"/>
  <c r="O91" i="34" l="1"/>
  <c r="W93" i="34"/>
  <c r="O44" i="23"/>
  <c r="O47" i="23" s="1"/>
  <c r="O41" i="23"/>
  <c r="AN48" i="27"/>
  <c r="AN130" i="30"/>
  <c r="AN55" i="27"/>
  <c r="AP59" i="30"/>
  <c r="AO39" i="27"/>
  <c r="AO66" i="30"/>
  <c r="AP47" i="30"/>
  <c r="AO46" i="30"/>
  <c r="AO51" i="30" s="1"/>
  <c r="AO63" i="33"/>
  <c r="AO58" i="33"/>
  <c r="AP58" i="33" s="1"/>
  <c r="AP59" i="33"/>
  <c r="AO109" i="30"/>
  <c r="AO113" i="30"/>
  <c r="AP113" i="30" s="1"/>
  <c r="AO52" i="30"/>
  <c r="AP54" i="30"/>
  <c r="AM65" i="27"/>
  <c r="AM133" i="30"/>
  <c r="AY53" i="31"/>
  <c r="AX51" i="27"/>
  <c r="AX104" i="31"/>
  <c r="AX106" i="31" s="1"/>
  <c r="AZ58" i="30"/>
  <c r="AO131" i="31"/>
  <c r="AO78" i="27"/>
  <c r="AQ52" i="31"/>
  <c r="AQ109" i="31"/>
  <c r="AQ107" i="31" s="1"/>
  <c r="AQ113" i="31"/>
  <c r="AQ67" i="33"/>
  <c r="AQ72" i="33"/>
  <c r="AQ46" i="31"/>
  <c r="AQ51" i="31" s="1"/>
  <c r="AR62" i="31"/>
  <c r="AN74" i="27"/>
  <c r="AN132" i="31"/>
  <c r="AZ53" i="30"/>
  <c r="AY97" i="30"/>
  <c r="P90" i="34"/>
  <c r="P320" i="23"/>
  <c r="P322" i="23"/>
  <c r="P326" i="23" s="1"/>
  <c r="P11" i="34"/>
  <c r="W11" i="34" s="1"/>
  <c r="G27" i="36" s="1"/>
  <c r="W39" i="34"/>
  <c r="T123" i="34"/>
  <c r="J125" i="34"/>
  <c r="T125" i="34" s="1"/>
  <c r="J114" i="23"/>
  <c r="J108" i="20" s="1"/>
  <c r="T108" i="20" s="1"/>
  <c r="J109" i="20"/>
  <c r="J58" i="34"/>
  <c r="J15" i="34"/>
  <c r="T15" i="34" s="1"/>
  <c r="D31" i="36" s="1"/>
  <c r="T53" i="34"/>
  <c r="U76" i="20"/>
  <c r="U108" i="34"/>
  <c r="K121" i="34"/>
  <c r="V103" i="34"/>
  <c r="M108" i="34"/>
  <c r="N125" i="34"/>
  <c r="P56" i="23"/>
  <c r="P53" i="23"/>
  <c r="P57" i="23" s="1"/>
  <c r="K96" i="23"/>
  <c r="K34" i="34"/>
  <c r="K35" i="34"/>
  <c r="K55" i="25"/>
  <c r="K9" i="25"/>
  <c r="K54" i="34"/>
  <c r="K16" i="34" s="1"/>
  <c r="L125" i="34"/>
  <c r="O323" i="23"/>
  <c r="O326" i="23"/>
  <c r="W94" i="20"/>
  <c r="V76" i="20"/>
  <c r="L78" i="23"/>
  <c r="L76" i="23"/>
  <c r="BP57" i="31"/>
  <c r="BO49" i="31"/>
  <c r="BP49" i="31" s="1"/>
  <c r="BO70" i="33"/>
  <c r="BP70" i="33" s="1"/>
  <c r="BO63" i="30"/>
  <c r="BP56" i="31"/>
  <c r="BO48" i="31"/>
  <c r="BP48" i="31" s="1"/>
  <c r="BO69" i="33"/>
  <c r="BP69" i="33" s="1"/>
  <c r="O90" i="34" l="1"/>
  <c r="W91" i="34"/>
  <c r="P323" i="23"/>
  <c r="P324" i="23" s="1"/>
  <c r="O53" i="23"/>
  <c r="O56" i="23"/>
  <c r="AN45" i="27"/>
  <c r="AN69" i="27"/>
  <c r="AN131" i="30"/>
  <c r="AN132" i="30" s="1"/>
  <c r="AO37" i="27"/>
  <c r="AP39" i="27"/>
  <c r="AP46" i="30"/>
  <c r="AP51" i="30" s="1"/>
  <c r="AQ62" i="30"/>
  <c r="AP63" i="33"/>
  <c r="AO74" i="33"/>
  <c r="AP109" i="30"/>
  <c r="AO107" i="30"/>
  <c r="AO35" i="27"/>
  <c r="AO112" i="30"/>
  <c r="AP52" i="30"/>
  <c r="G76" i="26" s="1"/>
  <c r="G120" i="26" s="1"/>
  <c r="AM82" i="27"/>
  <c r="AM94" i="27"/>
  <c r="AM95" i="27" s="1"/>
  <c r="P103" i="34"/>
  <c r="BP63" i="30"/>
  <c r="BO56" i="30"/>
  <c r="AY45" i="31"/>
  <c r="AY108" i="31"/>
  <c r="AZ50" i="30"/>
  <c r="BA65" i="30" s="1"/>
  <c r="AZ62" i="33"/>
  <c r="AQ36" i="27"/>
  <c r="AQ112" i="31"/>
  <c r="AQ111" i="31" s="1"/>
  <c r="AQ117" i="31" s="1"/>
  <c r="AN133" i="31"/>
  <c r="AZ45" i="30"/>
  <c r="AZ108" i="30"/>
  <c r="AY104" i="30"/>
  <c r="AP131" i="31"/>
  <c r="AO132" i="31"/>
  <c r="AO74" i="27"/>
  <c r="AP74" i="27" s="1"/>
  <c r="AP78" i="27"/>
  <c r="AR61" i="31"/>
  <c r="AR59" i="31" s="1"/>
  <c r="AR55" i="31"/>
  <c r="J124" i="20"/>
  <c r="T124" i="20" s="1"/>
  <c r="T109" i="20"/>
  <c r="T58" i="34"/>
  <c r="J83" i="34"/>
  <c r="J17" i="34"/>
  <c r="T17" i="34" s="1"/>
  <c r="D33" i="36" s="1"/>
  <c r="U121" i="34"/>
  <c r="K123" i="34"/>
  <c r="V108" i="34"/>
  <c r="M121" i="34"/>
  <c r="P76" i="20"/>
  <c r="P58" i="23"/>
  <c r="P75" i="20" s="1"/>
  <c r="W75" i="20" s="1"/>
  <c r="K100" i="23"/>
  <c r="K103" i="23" s="1"/>
  <c r="K97" i="23"/>
  <c r="K32" i="34"/>
  <c r="K10" i="34"/>
  <c r="L80" i="23"/>
  <c r="L81" i="23" s="1"/>
  <c r="L106" i="23"/>
  <c r="L108" i="23" s="1"/>
  <c r="L91" i="23"/>
  <c r="W90" i="34" l="1"/>
  <c r="O103" i="34"/>
  <c r="O108" i="34" s="1"/>
  <c r="O121" i="34" s="1"/>
  <c r="P108" i="34"/>
  <c r="W103" i="34"/>
  <c r="O54" i="23"/>
  <c r="P54" i="23" s="1"/>
  <c r="O57" i="23"/>
  <c r="AN65" i="27"/>
  <c r="AN133" i="30"/>
  <c r="AO88" i="27"/>
  <c r="AP37" i="27"/>
  <c r="AO90" i="27"/>
  <c r="BY74" i="33"/>
  <c r="L197" i="23" s="1"/>
  <c r="AP74" i="33"/>
  <c r="AP107" i="30"/>
  <c r="AO54" i="27"/>
  <c r="AP35" i="27"/>
  <c r="AO33" i="27"/>
  <c r="AP33" i="27" s="1"/>
  <c r="AP112" i="30"/>
  <c r="AO111" i="30"/>
  <c r="AO117" i="30" s="1"/>
  <c r="AQ61" i="30"/>
  <c r="AQ59" i="30" s="1"/>
  <c r="AQ55" i="30"/>
  <c r="BO48" i="30"/>
  <c r="BP48" i="30" s="1"/>
  <c r="BP56" i="30"/>
  <c r="BO60" i="33"/>
  <c r="BP60" i="33" s="1"/>
  <c r="AO133" i="31"/>
  <c r="BY133" i="31" s="1"/>
  <c r="L45" i="20" s="1"/>
  <c r="U45" i="20" s="1"/>
  <c r="AP132" i="31"/>
  <c r="AP133" i="31" s="1"/>
  <c r="AY98" i="31"/>
  <c r="AY97" i="31" s="1"/>
  <c r="AZ60" i="31"/>
  <c r="BA58" i="30"/>
  <c r="AQ49" i="27"/>
  <c r="AQ130" i="31"/>
  <c r="AP79" i="27"/>
  <c r="G125" i="26"/>
  <c r="BA60" i="30"/>
  <c r="BA53" i="30" s="1"/>
  <c r="AZ98" i="30"/>
  <c r="AY106" i="30"/>
  <c r="AR40" i="27"/>
  <c r="AR66" i="31"/>
  <c r="AR68" i="33"/>
  <c r="AR54" i="31"/>
  <c r="AR47" i="31"/>
  <c r="J85" i="34"/>
  <c r="J22" i="34"/>
  <c r="T83" i="34"/>
  <c r="U123" i="34"/>
  <c r="K125" i="34"/>
  <c r="U125" i="34" s="1"/>
  <c r="V121" i="34"/>
  <c r="M123" i="34"/>
  <c r="K112" i="23"/>
  <c r="K109" i="23"/>
  <c r="K9" i="34"/>
  <c r="K31" i="34"/>
  <c r="L82" i="23"/>
  <c r="M73" i="23"/>
  <c r="L50" i="25"/>
  <c r="L98" i="23"/>
  <c r="M89" i="23"/>
  <c r="P121" i="34" l="1"/>
  <c r="W108" i="34"/>
  <c r="O58" i="23"/>
  <c r="O75" i="20" s="1"/>
  <c r="O76" i="20"/>
  <c r="W76" i="20" s="1"/>
  <c r="AN82" i="27"/>
  <c r="AN94" i="27"/>
  <c r="AN95" i="27" s="1"/>
  <c r="AO83" i="27"/>
  <c r="BY88" i="27"/>
  <c r="AP88" i="27"/>
  <c r="BY90" i="27"/>
  <c r="AP90" i="27"/>
  <c r="L68" i="34"/>
  <c r="U68" i="34" s="1"/>
  <c r="L97" i="20"/>
  <c r="U97" i="20" s="1"/>
  <c r="AP54" i="27"/>
  <c r="BY54" i="27"/>
  <c r="L60" i="34" s="1"/>
  <c r="AP117" i="30"/>
  <c r="AO130" i="30"/>
  <c r="AO48" i="27"/>
  <c r="AP111" i="30"/>
  <c r="AO55" i="27"/>
  <c r="AQ66" i="30"/>
  <c r="AQ39" i="27"/>
  <c r="AQ37" i="27" s="1"/>
  <c r="AQ59" i="33"/>
  <c r="AQ54" i="30"/>
  <c r="AQ47" i="30"/>
  <c r="AY51" i="27"/>
  <c r="AY104" i="31"/>
  <c r="AY106" i="31" s="1"/>
  <c r="AZ53" i="31"/>
  <c r="BA50" i="30"/>
  <c r="BA62" i="33"/>
  <c r="AQ78" i="27"/>
  <c r="AQ74" i="27" s="1"/>
  <c r="AQ131" i="31"/>
  <c r="AQ132" i="31" s="1"/>
  <c r="AQ133" i="31" s="1"/>
  <c r="BA108" i="30"/>
  <c r="BA45" i="30"/>
  <c r="AZ97" i="30"/>
  <c r="AR72" i="33"/>
  <c r="AR67" i="33"/>
  <c r="AR52" i="31"/>
  <c r="AR109" i="31"/>
  <c r="AR107" i="31" s="1"/>
  <c r="AR113" i="31"/>
  <c r="AR46" i="31"/>
  <c r="AR51" i="31" s="1"/>
  <c r="AS62" i="31"/>
  <c r="T85" i="34"/>
  <c r="J87" i="34"/>
  <c r="T87" i="34" s="1"/>
  <c r="T22" i="34"/>
  <c r="J26" i="34"/>
  <c r="V123" i="34"/>
  <c r="M125" i="34"/>
  <c r="V125" i="34" s="1"/>
  <c r="O123" i="34"/>
  <c r="K110" i="23"/>
  <c r="K111" i="23"/>
  <c r="K113" i="23"/>
  <c r="K53" i="34"/>
  <c r="K8" i="34"/>
  <c r="L83" i="23"/>
  <c r="L107" i="20" s="1"/>
  <c r="U107" i="20" s="1"/>
  <c r="L94" i="23"/>
  <c r="L95" i="23"/>
  <c r="L37" i="34" s="1"/>
  <c r="M86" i="23"/>
  <c r="N85" i="23" s="1"/>
  <c r="M75" i="23"/>
  <c r="L42" i="25"/>
  <c r="L16" i="25"/>
  <c r="L56" i="34"/>
  <c r="L99" i="23"/>
  <c r="P123" i="34" l="1"/>
  <c r="W121" i="34"/>
  <c r="T136" i="20"/>
  <c r="T130" i="20"/>
  <c r="AP83" i="27"/>
  <c r="G126" i="26" s="1"/>
  <c r="BY83" i="27"/>
  <c r="U60" i="34"/>
  <c r="L59" i="34"/>
  <c r="AO131" i="30"/>
  <c r="AP130" i="30"/>
  <c r="AP48" i="27"/>
  <c r="AO45" i="27"/>
  <c r="AO69" i="27"/>
  <c r="BY55" i="27"/>
  <c r="L72" i="34" s="1"/>
  <c r="AP55" i="27"/>
  <c r="AQ90" i="27"/>
  <c r="AQ88" i="27"/>
  <c r="AQ83" i="27" s="1"/>
  <c r="AQ63" i="33"/>
  <c r="AQ74" i="33" s="1"/>
  <c r="AQ58" i="33"/>
  <c r="AQ52" i="30"/>
  <c r="AQ109" i="30"/>
  <c r="AQ107" i="30" s="1"/>
  <c r="AQ113" i="30"/>
  <c r="AR62" i="30"/>
  <c r="AQ46" i="30"/>
  <c r="AQ51" i="30" s="1"/>
  <c r="AZ108" i="31"/>
  <c r="AZ45" i="31"/>
  <c r="BB65" i="30"/>
  <c r="BB60" i="30"/>
  <c r="BA98" i="30"/>
  <c r="AZ104" i="30"/>
  <c r="AR36" i="27"/>
  <c r="AR112" i="31"/>
  <c r="AR111" i="31" s="1"/>
  <c r="AR117" i="31" s="1"/>
  <c r="AS61" i="31"/>
  <c r="AS55" i="31"/>
  <c r="D38" i="36"/>
  <c r="J28" i="34"/>
  <c r="T26" i="34"/>
  <c r="O125" i="34"/>
  <c r="K109" i="20"/>
  <c r="K124" i="20" s="1"/>
  <c r="K114" i="23"/>
  <c r="K108" i="20" s="1"/>
  <c r="K15" i="34"/>
  <c r="K58" i="34"/>
  <c r="L96" i="23"/>
  <c r="L34" i="34"/>
  <c r="U37" i="34"/>
  <c r="L35" i="34"/>
  <c r="L55" i="25"/>
  <c r="L9" i="25"/>
  <c r="U16" i="25"/>
  <c r="E98" i="36" s="1"/>
  <c r="L15" i="25"/>
  <c r="U15" i="25" s="1"/>
  <c r="U56" i="34"/>
  <c r="L54" i="34"/>
  <c r="M78" i="23"/>
  <c r="M76" i="23"/>
  <c r="P125" i="34" l="1"/>
  <c r="W125" i="34" s="1"/>
  <c r="W123" i="34"/>
  <c r="AR61" i="30"/>
  <c r="AR59" i="30" s="1"/>
  <c r="AR55" i="30"/>
  <c r="AR47" i="30" s="1"/>
  <c r="J35" i="25"/>
  <c r="D40" i="36"/>
  <c r="E8" i="40"/>
  <c r="E11" i="40" s="1"/>
  <c r="E47" i="41" s="1"/>
  <c r="L18" i="34"/>
  <c r="U18" i="34" s="1"/>
  <c r="E34" i="36" s="1"/>
  <c r="U59" i="34"/>
  <c r="AP131" i="30"/>
  <c r="AO132" i="30"/>
  <c r="AP45" i="27"/>
  <c r="AP69" i="27"/>
  <c r="AO65" i="27"/>
  <c r="AO82" i="27" s="1"/>
  <c r="L71" i="34"/>
  <c r="U72" i="34"/>
  <c r="AQ35" i="27"/>
  <c r="AQ33" i="27" s="1"/>
  <c r="AQ112" i="30"/>
  <c r="AQ111" i="30" s="1"/>
  <c r="AQ54" i="27"/>
  <c r="AR66" i="30"/>
  <c r="AR39" i="27"/>
  <c r="AR37" i="27" s="1"/>
  <c r="AR54" i="30"/>
  <c r="AR59" i="33"/>
  <c r="AS62" i="30"/>
  <c r="AR46" i="30"/>
  <c r="AR51" i="30" s="1"/>
  <c r="BA60" i="31"/>
  <c r="AZ98" i="31"/>
  <c r="AZ97" i="31" s="1"/>
  <c r="BA97" i="30"/>
  <c r="AZ106" i="30"/>
  <c r="AR49" i="27"/>
  <c r="AR130" i="31"/>
  <c r="AS68" i="33"/>
  <c r="AS54" i="31"/>
  <c r="AS47" i="31"/>
  <c r="BC65" i="30"/>
  <c r="BB58" i="30"/>
  <c r="BC60" i="30"/>
  <c r="BB53" i="30"/>
  <c r="AS59" i="31"/>
  <c r="T28" i="34"/>
  <c r="K17" i="34"/>
  <c r="K83" i="34"/>
  <c r="L97" i="23"/>
  <c r="L100" i="23"/>
  <c r="L103" i="23" s="1"/>
  <c r="U34" i="34"/>
  <c r="L32" i="34"/>
  <c r="U35" i="34"/>
  <c r="L10" i="34"/>
  <c r="U10" i="34" s="1"/>
  <c r="E26" i="36" s="1"/>
  <c r="U9" i="25"/>
  <c r="U134" i="20" s="1"/>
  <c r="E52" i="36"/>
  <c r="E97" i="36"/>
  <c r="L16" i="34"/>
  <c r="U16" i="34" s="1"/>
  <c r="E32" i="36" s="1"/>
  <c r="U54" i="34"/>
  <c r="M106" i="23"/>
  <c r="M108" i="23" s="1"/>
  <c r="M80" i="23"/>
  <c r="M81" i="23" s="1"/>
  <c r="M91" i="23"/>
  <c r="D44" i="36" l="1"/>
  <c r="T132" i="20"/>
  <c r="J8" i="25"/>
  <c r="J31" i="25"/>
  <c r="D42" i="36"/>
  <c r="AQ55" i="27"/>
  <c r="AQ117" i="30"/>
  <c r="AS61" i="30"/>
  <c r="AS59" i="30" s="1"/>
  <c r="AS55" i="30"/>
  <c r="AP132" i="30"/>
  <c r="AP133" i="30" s="1"/>
  <c r="AO133" i="30"/>
  <c r="BY133" i="30" s="1"/>
  <c r="L42" i="20" s="1"/>
  <c r="U42" i="20" s="1"/>
  <c r="AP65" i="27"/>
  <c r="AO94" i="27"/>
  <c r="U71" i="34"/>
  <c r="L19" i="34"/>
  <c r="U19" i="34" s="1"/>
  <c r="E35" i="36" s="1"/>
  <c r="AR90" i="27"/>
  <c r="AR88" i="27"/>
  <c r="AR109" i="30"/>
  <c r="AR107" i="30" s="1"/>
  <c r="AR113" i="30"/>
  <c r="AR52" i="30"/>
  <c r="AR63" i="33"/>
  <c r="AR74" i="33" s="1"/>
  <c r="AR58" i="33"/>
  <c r="BA53" i="31"/>
  <c r="AZ104" i="31"/>
  <c r="AZ106" i="31" s="1"/>
  <c r="AZ51" i="27"/>
  <c r="BA104" i="30"/>
  <c r="AR78" i="27"/>
  <c r="AR74" i="27" s="1"/>
  <c r="AR131" i="31"/>
  <c r="AR132" i="31" s="1"/>
  <c r="AR133" i="31" s="1"/>
  <c r="AS72" i="33"/>
  <c r="AS67" i="33"/>
  <c r="AS52" i="31"/>
  <c r="AS109" i="31"/>
  <c r="AS113" i="31"/>
  <c r="AT62" i="31"/>
  <c r="AT55" i="31" s="1"/>
  <c r="AT47" i="31" s="1"/>
  <c r="AS46" i="31"/>
  <c r="AS51" i="31" s="1"/>
  <c r="BB62" i="33"/>
  <c r="BC62" i="33" s="1"/>
  <c r="BC58" i="30"/>
  <c r="BB50" i="30"/>
  <c r="BC50" i="30" s="1"/>
  <c r="BD65" i="30" s="1"/>
  <c r="BB108" i="30"/>
  <c r="BC108" i="30" s="1"/>
  <c r="BC53" i="30"/>
  <c r="BB45" i="30"/>
  <c r="AS66" i="31"/>
  <c r="AS40" i="27"/>
  <c r="T35" i="25"/>
  <c r="D60" i="36" s="1"/>
  <c r="K22" i="34"/>
  <c r="K85" i="34"/>
  <c r="L112" i="23"/>
  <c r="L109" i="23"/>
  <c r="U32" i="34"/>
  <c r="L9" i="34"/>
  <c r="U9" i="34" s="1"/>
  <c r="E25" i="36" s="1"/>
  <c r="L31" i="34"/>
  <c r="E71" i="36"/>
  <c r="E96" i="36" s="1"/>
  <c r="E50" i="36"/>
  <c r="M82" i="23"/>
  <c r="N73" i="23"/>
  <c r="M50" i="25"/>
  <c r="N89" i="23"/>
  <c r="M98" i="23"/>
  <c r="T8" i="25" l="1"/>
  <c r="J21" i="25"/>
  <c r="T21" i="25" s="1"/>
  <c r="D53" i="36" s="1"/>
  <c r="D80" i="36" s="1"/>
  <c r="D101" i="36" s="1"/>
  <c r="AS47" i="30"/>
  <c r="AS54" i="30"/>
  <c r="AS52" i="30" s="1"/>
  <c r="AS59" i="33"/>
  <c r="AS63" i="33" s="1"/>
  <c r="AS74" i="33" s="1"/>
  <c r="AR83" i="27"/>
  <c r="AS66" i="30"/>
  <c r="AS39" i="27"/>
  <c r="AS37" i="27" s="1"/>
  <c r="AQ48" i="27"/>
  <c r="AQ130" i="30"/>
  <c r="AQ131" i="30" s="1"/>
  <c r="AQ132" i="30" s="1"/>
  <c r="AQ133" i="30" s="1"/>
  <c r="AP82" i="27"/>
  <c r="AP71" i="27"/>
  <c r="G124" i="26"/>
  <c r="G122" i="26" s="1"/>
  <c r="AO95" i="27"/>
  <c r="BY95" i="27" s="1"/>
  <c r="L33" i="20" s="1"/>
  <c r="U33" i="20" s="1"/>
  <c r="BY94" i="27"/>
  <c r="AP94" i="27"/>
  <c r="AR54" i="27"/>
  <c r="AR112" i="30"/>
  <c r="AR111" i="30" s="1"/>
  <c r="AR35" i="27"/>
  <c r="AR33" i="27" s="1"/>
  <c r="AS58" i="33"/>
  <c r="BA45" i="31"/>
  <c r="BA108" i="31"/>
  <c r="BA106" i="30"/>
  <c r="AS36" i="27"/>
  <c r="AS112" i="31"/>
  <c r="AS111" i="31" s="1"/>
  <c r="AS107" i="31"/>
  <c r="AT46" i="31"/>
  <c r="AT51" i="31" s="1"/>
  <c r="AU62" i="31"/>
  <c r="AT68" i="33"/>
  <c r="AT54" i="31"/>
  <c r="AT61" i="31"/>
  <c r="BD58" i="30"/>
  <c r="BB98" i="30"/>
  <c r="BC45" i="30"/>
  <c r="BD60" i="30" s="1"/>
  <c r="BD53" i="30" s="1"/>
  <c r="K26" i="34"/>
  <c r="K87" i="34"/>
  <c r="L110" i="23"/>
  <c r="L111" i="23"/>
  <c r="L113" i="23"/>
  <c r="U31" i="34"/>
  <c r="L53" i="34"/>
  <c r="L8" i="34"/>
  <c r="U8" i="34" s="1"/>
  <c r="E24" i="36" s="1"/>
  <c r="M95" i="23"/>
  <c r="M37" i="34" s="1"/>
  <c r="M83" i="23"/>
  <c r="M107" i="20" s="1"/>
  <c r="M94" i="23"/>
  <c r="N75" i="23"/>
  <c r="N86" i="23"/>
  <c r="O85" i="23" s="1"/>
  <c r="M42" i="25"/>
  <c r="M16" i="25"/>
  <c r="M15" i="25" s="1"/>
  <c r="M99" i="23"/>
  <c r="M56" i="34"/>
  <c r="AS46" i="30" l="1"/>
  <c r="AS51" i="30" s="1"/>
  <c r="AT62" i="30"/>
  <c r="AS113" i="30"/>
  <c r="AS109" i="30"/>
  <c r="AS107" i="30" s="1"/>
  <c r="AS54" i="27" s="1"/>
  <c r="G128" i="26"/>
  <c r="G129" i="26" s="1"/>
  <c r="AS90" i="27"/>
  <c r="AS88" i="27"/>
  <c r="AQ45" i="27"/>
  <c r="AQ69" i="27"/>
  <c r="AQ65" i="27" s="1"/>
  <c r="AQ94" i="27" s="1"/>
  <c r="AQ95" i="27" s="1"/>
  <c r="AP95" i="27"/>
  <c r="AP96" i="27"/>
  <c r="AP97" i="27" s="1"/>
  <c r="AS35" i="27"/>
  <c r="AS33" i="27" s="1"/>
  <c r="AS112" i="30"/>
  <c r="AR55" i="27"/>
  <c r="AR117" i="30"/>
  <c r="BA98" i="31"/>
  <c r="BB60" i="31"/>
  <c r="AS117" i="31"/>
  <c r="AU61" i="31"/>
  <c r="AU55" i="31"/>
  <c r="AT72" i="33"/>
  <c r="AT67" i="33"/>
  <c r="AT52" i="31"/>
  <c r="AT109" i="31"/>
  <c r="AT113" i="31"/>
  <c r="AT59" i="31"/>
  <c r="BD62" i="33"/>
  <c r="BD50" i="30"/>
  <c r="BC98" i="30"/>
  <c r="BB97" i="30"/>
  <c r="BD45" i="30"/>
  <c r="BD108" i="30"/>
  <c r="K28" i="34"/>
  <c r="L109" i="20"/>
  <c r="L114" i="23"/>
  <c r="L108" i="20" s="1"/>
  <c r="U108" i="20" s="1"/>
  <c r="U53" i="34"/>
  <c r="L15" i="34"/>
  <c r="U15" i="34" s="1"/>
  <c r="E31" i="36" s="1"/>
  <c r="L58" i="34"/>
  <c r="M35" i="34"/>
  <c r="M10" i="34" s="1"/>
  <c r="M96" i="23"/>
  <c r="M34" i="34"/>
  <c r="M9" i="25"/>
  <c r="M55" i="25"/>
  <c r="M54" i="34"/>
  <c r="M16" i="34" s="1"/>
  <c r="N78" i="23"/>
  <c r="N76" i="23"/>
  <c r="AS83" i="27" l="1"/>
  <c r="K35" i="25"/>
  <c r="AT55" i="30"/>
  <c r="AT61" i="30"/>
  <c r="AT59" i="30" s="1"/>
  <c r="AS111" i="30"/>
  <c r="AS117" i="30" s="1"/>
  <c r="AQ82" i="27"/>
  <c r="AR130" i="30"/>
  <c r="AR48" i="27"/>
  <c r="BA97" i="31"/>
  <c r="BC60" i="31"/>
  <c r="BB53" i="31"/>
  <c r="AS130" i="31"/>
  <c r="AS49" i="27"/>
  <c r="AU68" i="33"/>
  <c r="AU54" i="31"/>
  <c r="AU47" i="31"/>
  <c r="AT36" i="27"/>
  <c r="AT112" i="31"/>
  <c r="AT107" i="31"/>
  <c r="AT40" i="27"/>
  <c r="AT66" i="31"/>
  <c r="BE65" i="30"/>
  <c r="BC97" i="30"/>
  <c r="BB104" i="30"/>
  <c r="BE60" i="30"/>
  <c r="BD98" i="30"/>
  <c r="BD97" i="30" s="1"/>
  <c r="BD104" i="30" s="1"/>
  <c r="BD106" i="30" s="1"/>
  <c r="AU59" i="31"/>
  <c r="L124" i="20"/>
  <c r="U124" i="20" s="1"/>
  <c r="U109" i="20"/>
  <c r="U58" i="34"/>
  <c r="L17" i="34"/>
  <c r="U17" i="34" s="1"/>
  <c r="E33" i="36" s="1"/>
  <c r="L83" i="34"/>
  <c r="M97" i="23"/>
  <c r="M100" i="23"/>
  <c r="M103" i="23" s="1"/>
  <c r="M32" i="34"/>
  <c r="N91" i="23"/>
  <c r="N106" i="23"/>
  <c r="N108" i="23" s="1"/>
  <c r="N80" i="23"/>
  <c r="N81" i="23" s="1"/>
  <c r="AS48" i="27" l="1"/>
  <c r="AS69" i="27" s="1"/>
  <c r="AS65" i="27" s="1"/>
  <c r="AS130" i="30"/>
  <c r="AS55" i="27"/>
  <c r="K8" i="25"/>
  <c r="K21" i="25" s="1"/>
  <c r="K31" i="25"/>
  <c r="K33" i="25" s="1"/>
  <c r="AT47" i="30"/>
  <c r="AT59" i="33"/>
  <c r="AT54" i="30"/>
  <c r="AT39" i="27"/>
  <c r="AT66" i="30"/>
  <c r="AR131" i="30"/>
  <c r="AS131" i="30" s="1"/>
  <c r="AS132" i="30" s="1"/>
  <c r="AS133" i="30" s="1"/>
  <c r="AR45" i="27"/>
  <c r="AR69" i="27"/>
  <c r="AR65" i="27" s="1"/>
  <c r="AR94" i="27" s="1"/>
  <c r="AR95" i="27" s="1"/>
  <c r="BA51" i="27"/>
  <c r="BA104" i="31"/>
  <c r="BB108" i="31"/>
  <c r="BC53" i="31"/>
  <c r="BB45" i="31"/>
  <c r="AS131" i="31"/>
  <c r="AS132" i="31" s="1"/>
  <c r="AS133" i="31" s="1"/>
  <c r="AS45" i="27"/>
  <c r="AS78" i="27"/>
  <c r="AS74" i="27" s="1"/>
  <c r="AS94" i="27" s="1"/>
  <c r="AS95" i="27" s="1"/>
  <c r="AU72" i="33"/>
  <c r="AU67" i="33"/>
  <c r="AU52" i="31"/>
  <c r="AU109" i="31"/>
  <c r="AU113" i="31"/>
  <c r="AV62" i="31"/>
  <c r="AV55" i="31" s="1"/>
  <c r="AV47" i="31" s="1"/>
  <c r="AU46" i="31"/>
  <c r="AU51" i="31" s="1"/>
  <c r="BE58" i="30"/>
  <c r="BC104" i="30"/>
  <c r="BB106" i="30"/>
  <c r="AU40" i="27"/>
  <c r="AU66" i="31"/>
  <c r="AT111" i="31"/>
  <c r="AT37" i="27"/>
  <c r="BE53" i="30"/>
  <c r="U83" i="34"/>
  <c r="L85" i="34"/>
  <c r="L22" i="34"/>
  <c r="M112" i="23"/>
  <c r="M109" i="23"/>
  <c r="M31" i="34"/>
  <c r="M9" i="34"/>
  <c r="O89" i="23"/>
  <c r="N98" i="23"/>
  <c r="N82" i="23"/>
  <c r="O73" i="23"/>
  <c r="N50" i="25"/>
  <c r="K38" i="25" l="1"/>
  <c r="J33" i="25"/>
  <c r="J38" i="25" s="1"/>
  <c r="T31" i="25"/>
  <c r="AU62" i="30"/>
  <c r="AT46" i="30"/>
  <c r="AT51" i="30" s="1"/>
  <c r="AT63" i="33"/>
  <c r="AT74" i="33" s="1"/>
  <c r="AT58" i="33"/>
  <c r="AT52" i="30"/>
  <c r="AT109" i="30"/>
  <c r="AT107" i="30" s="1"/>
  <c r="AT54" i="27" s="1"/>
  <c r="AT113" i="30"/>
  <c r="AR82" i="27"/>
  <c r="AR132" i="30"/>
  <c r="AR133" i="30" s="1"/>
  <c r="AT117" i="31"/>
  <c r="BA106" i="31"/>
  <c r="BC108" i="31"/>
  <c r="BC45" i="31"/>
  <c r="BB98" i="31"/>
  <c r="AU36" i="27"/>
  <c r="AU112" i="31"/>
  <c r="AU107" i="31"/>
  <c r="AW62" i="31"/>
  <c r="AV46" i="31"/>
  <c r="AV51" i="31" s="1"/>
  <c r="AV68" i="33"/>
  <c r="AV54" i="31"/>
  <c r="AV61" i="31"/>
  <c r="BE50" i="30"/>
  <c r="BE62" i="33"/>
  <c r="AT90" i="27"/>
  <c r="AT88" i="27"/>
  <c r="BE45" i="30"/>
  <c r="BE108" i="30"/>
  <c r="AS82" i="27"/>
  <c r="BC106" i="30"/>
  <c r="U85" i="34"/>
  <c r="L87" i="34"/>
  <c r="U87" i="34" s="1"/>
  <c r="U22" i="34"/>
  <c r="L26" i="34"/>
  <c r="M111" i="23"/>
  <c r="M113" i="23"/>
  <c r="M110" i="23"/>
  <c r="M53" i="34"/>
  <c r="M8" i="34"/>
  <c r="N99" i="23"/>
  <c r="N56" i="34"/>
  <c r="N94" i="23"/>
  <c r="N83" i="23"/>
  <c r="N107" i="20" s="1"/>
  <c r="V107" i="20" s="1"/>
  <c r="N95" i="23"/>
  <c r="N37" i="34" s="1"/>
  <c r="O75" i="23"/>
  <c r="O86" i="23"/>
  <c r="P85" i="23" s="1"/>
  <c r="N42" i="25"/>
  <c r="N16" i="25"/>
  <c r="T33" i="25" l="1"/>
  <c r="D58" i="36" s="1"/>
  <c r="D88" i="36" s="1"/>
  <c r="D107" i="36" s="1"/>
  <c r="T38" i="25"/>
  <c r="D62" i="36" s="1"/>
  <c r="AT112" i="30"/>
  <c r="AT111" i="30" s="1"/>
  <c r="AT35" i="27"/>
  <c r="AT33" i="27" s="1"/>
  <c r="AU61" i="30"/>
  <c r="AU59" i="30" s="1"/>
  <c r="AU55" i="30"/>
  <c r="U136" i="20"/>
  <c r="U130" i="20"/>
  <c r="AT130" i="31"/>
  <c r="AT131" i="31" s="1"/>
  <c r="AT132" i="31" s="1"/>
  <c r="AT133" i="31" s="1"/>
  <c r="AT49" i="27"/>
  <c r="BD60" i="31"/>
  <c r="BD53" i="31" s="1"/>
  <c r="BD45" i="31" s="1"/>
  <c r="BC98" i="31"/>
  <c r="BB97" i="31"/>
  <c r="AU111" i="31"/>
  <c r="AU117" i="31" s="1"/>
  <c r="AV72" i="33"/>
  <c r="AV67" i="33"/>
  <c r="AV52" i="31"/>
  <c r="AV109" i="31"/>
  <c r="AV113" i="31"/>
  <c r="AV59" i="31"/>
  <c r="BF65" i="30"/>
  <c r="BF58" i="30" s="1"/>
  <c r="AT83" i="27"/>
  <c r="BF60" i="30"/>
  <c r="BF53" i="30" s="1"/>
  <c r="BE98" i="30"/>
  <c r="AW61" i="31"/>
  <c r="AW59" i="31" s="1"/>
  <c r="AW55" i="31"/>
  <c r="E38" i="36"/>
  <c r="U26" i="34"/>
  <c r="L28" i="34"/>
  <c r="L35" i="25" s="1"/>
  <c r="M114" i="23"/>
  <c r="M108" i="20" s="1"/>
  <c r="M109" i="20"/>
  <c r="M58" i="34"/>
  <c r="M15" i="34"/>
  <c r="V56" i="34"/>
  <c r="N54" i="34"/>
  <c r="N96" i="23"/>
  <c r="N34" i="34"/>
  <c r="V37" i="34"/>
  <c r="N9" i="25"/>
  <c r="N55" i="25"/>
  <c r="V16" i="25"/>
  <c r="F98" i="36" s="1"/>
  <c r="N15" i="25"/>
  <c r="V15" i="25" s="1"/>
  <c r="O78" i="23"/>
  <c r="O76" i="23"/>
  <c r="E40" i="36" l="1"/>
  <c r="F8" i="40"/>
  <c r="F11" i="40" s="1"/>
  <c r="F47" i="41" s="1"/>
  <c r="L8" i="25"/>
  <c r="L31" i="25"/>
  <c r="AT55" i="27"/>
  <c r="AT117" i="30"/>
  <c r="AU66" i="30"/>
  <c r="AU39" i="27"/>
  <c r="AU37" i="27" s="1"/>
  <c r="AU59" i="33"/>
  <c r="AU54" i="30"/>
  <c r="AU47" i="30"/>
  <c r="AT78" i="27"/>
  <c r="AT74" i="27" s="1"/>
  <c r="BD98" i="31"/>
  <c r="BD97" i="31" s="1"/>
  <c r="BE60" i="31"/>
  <c r="BD108" i="31"/>
  <c r="BC97" i="31"/>
  <c r="BB51" i="27"/>
  <c r="BB104" i="31"/>
  <c r="AU130" i="31"/>
  <c r="AU49" i="27"/>
  <c r="AV36" i="27"/>
  <c r="AV112" i="31"/>
  <c r="AV107" i="31"/>
  <c r="AV66" i="31"/>
  <c r="AV40" i="27"/>
  <c r="BF62" i="33"/>
  <c r="BF50" i="30"/>
  <c r="BF108" i="30"/>
  <c r="BF45" i="30"/>
  <c r="AW66" i="31"/>
  <c r="AW40" i="27"/>
  <c r="AW68" i="33"/>
  <c r="AW54" i="31"/>
  <c r="AW47" i="31"/>
  <c r="BE97" i="30"/>
  <c r="BE104" i="30" s="1"/>
  <c r="BE106" i="30" s="1"/>
  <c r="U28" i="34"/>
  <c r="M17" i="34"/>
  <c r="N16" i="34"/>
  <c r="V16" i="34" s="1"/>
  <c r="F32" i="36" s="1"/>
  <c r="V54" i="34"/>
  <c r="N97" i="23"/>
  <c r="N100" i="23"/>
  <c r="N103" i="23" s="1"/>
  <c r="V34" i="34"/>
  <c r="N32" i="34"/>
  <c r="V9" i="25"/>
  <c r="V134" i="20" s="1"/>
  <c r="F52" i="36"/>
  <c r="F97" i="36"/>
  <c r="O80" i="23"/>
  <c r="O81" i="23" s="1"/>
  <c r="O106" i="23"/>
  <c r="O108" i="23" s="1"/>
  <c r="O91" i="23"/>
  <c r="E44" i="36" l="1"/>
  <c r="U132" i="20"/>
  <c r="U8" i="25"/>
  <c r="L21" i="25"/>
  <c r="U21" i="25" s="1"/>
  <c r="E53" i="36" s="1"/>
  <c r="E80" i="36" s="1"/>
  <c r="E101" i="36" s="1"/>
  <c r="AT130" i="30"/>
  <c r="AT48" i="27"/>
  <c r="AU90" i="27"/>
  <c r="AU88" i="27"/>
  <c r="AU83" i="27" s="1"/>
  <c r="AU63" i="33"/>
  <c r="AU74" i="33" s="1"/>
  <c r="AU58" i="33"/>
  <c r="AU52" i="30"/>
  <c r="AU113" i="30"/>
  <c r="AU109" i="30"/>
  <c r="AU107" i="30" s="1"/>
  <c r="AU54" i="27" s="1"/>
  <c r="AU46" i="30"/>
  <c r="AU51" i="30" s="1"/>
  <c r="AV62" i="30"/>
  <c r="E42" i="36"/>
  <c r="BD51" i="27"/>
  <c r="BD104" i="31"/>
  <c r="BD106" i="31" s="1"/>
  <c r="BE53" i="31"/>
  <c r="CA51" i="27"/>
  <c r="N38" i="34" s="1"/>
  <c r="BC51" i="27"/>
  <c r="BC104" i="31"/>
  <c r="BB106" i="31"/>
  <c r="BC106" i="31" s="1"/>
  <c r="AU131" i="31"/>
  <c r="AU132" i="31" s="1"/>
  <c r="AU133" i="31" s="1"/>
  <c r="AU78" i="27"/>
  <c r="AV111" i="31"/>
  <c r="AV117" i="31" s="1"/>
  <c r="BG65" i="30"/>
  <c r="BG60" i="30"/>
  <c r="BF98" i="30"/>
  <c r="AW67" i="33"/>
  <c r="AW72" i="33"/>
  <c r="AW52" i="31"/>
  <c r="AW109" i="31"/>
  <c r="AW113" i="31"/>
  <c r="AX62" i="31"/>
  <c r="AX55" i="31" s="1"/>
  <c r="AX47" i="31" s="1"/>
  <c r="AW46" i="31"/>
  <c r="AW51" i="31" s="1"/>
  <c r="U35" i="25"/>
  <c r="E60" i="36" s="1"/>
  <c r="N112" i="23"/>
  <c r="N109" i="23"/>
  <c r="V32" i="34"/>
  <c r="N9" i="34"/>
  <c r="V9" i="34" s="1"/>
  <c r="F25" i="36" s="1"/>
  <c r="F71" i="36"/>
  <c r="F96" i="36" s="1"/>
  <c r="F50" i="36"/>
  <c r="O82" i="23"/>
  <c r="P73" i="23"/>
  <c r="O50" i="25"/>
  <c r="O98" i="23"/>
  <c r="P89" i="23"/>
  <c r="AT45" i="27" l="1"/>
  <c r="AT69" i="27"/>
  <c r="AT65" i="27" s="1"/>
  <c r="AT94" i="27" s="1"/>
  <c r="AT95" i="27" s="1"/>
  <c r="AU112" i="30"/>
  <c r="AU111" i="30" s="1"/>
  <c r="AU35" i="27"/>
  <c r="AU33" i="27" s="1"/>
  <c r="AT131" i="30"/>
  <c r="AT132" i="30" s="1"/>
  <c r="AT133" i="30" s="1"/>
  <c r="AV61" i="30"/>
  <c r="AV59" i="30" s="1"/>
  <c r="AV55" i="30"/>
  <c r="BE45" i="31"/>
  <c r="BE108" i="31"/>
  <c r="N35" i="34"/>
  <c r="V38" i="34"/>
  <c r="AU74" i="27"/>
  <c r="AV130" i="31"/>
  <c r="AV49" i="27"/>
  <c r="BG58" i="30"/>
  <c r="BG53" i="30"/>
  <c r="BF97" i="30"/>
  <c r="AW112" i="31"/>
  <c r="AW36" i="27"/>
  <c r="AW107" i="31"/>
  <c r="AX61" i="31"/>
  <c r="AX54" i="31"/>
  <c r="AX68" i="33"/>
  <c r="AY62" i="31"/>
  <c r="AY55" i="31" s="1"/>
  <c r="AX46" i="31"/>
  <c r="AX51" i="31" s="1"/>
  <c r="N110" i="23"/>
  <c r="N111" i="23"/>
  <c r="N113" i="23"/>
  <c r="O95" i="23"/>
  <c r="O37" i="34" s="1"/>
  <c r="O83" i="23"/>
  <c r="O107" i="20" s="1"/>
  <c r="O94" i="23"/>
  <c r="P75" i="23"/>
  <c r="P86" i="23"/>
  <c r="O42" i="25"/>
  <c r="O16" i="25"/>
  <c r="O15" i="25" s="1"/>
  <c r="O99" i="23"/>
  <c r="O56" i="34"/>
  <c r="AU55" i="27" l="1"/>
  <c r="AU117" i="30"/>
  <c r="AV39" i="27"/>
  <c r="AV37" i="27" s="1"/>
  <c r="AV66" i="30"/>
  <c r="AV54" i="30"/>
  <c r="AV59" i="33"/>
  <c r="AV47" i="30"/>
  <c r="AT82" i="27"/>
  <c r="BE98" i="31"/>
  <c r="BE97" i="31" s="1"/>
  <c r="BF60" i="31"/>
  <c r="N31" i="34"/>
  <c r="N10" i="34"/>
  <c r="V10" i="34" s="1"/>
  <c r="F26" i="36" s="1"/>
  <c r="V35" i="34"/>
  <c r="AV131" i="31"/>
  <c r="AV132" i="31" s="1"/>
  <c r="AV78" i="27"/>
  <c r="BG50" i="30"/>
  <c r="BH65" i="30" s="1"/>
  <c r="BG62" i="33"/>
  <c r="BG45" i="30"/>
  <c r="BG108" i="30"/>
  <c r="BF104" i="30"/>
  <c r="AW111" i="31"/>
  <c r="AW117" i="31" s="1"/>
  <c r="AX59" i="31"/>
  <c r="AX52" i="31"/>
  <c r="AX113" i="31"/>
  <c r="AX109" i="31"/>
  <c r="AX67" i="33"/>
  <c r="AX72" i="33"/>
  <c r="AY68" i="33"/>
  <c r="AY54" i="31"/>
  <c r="AY47" i="31"/>
  <c r="AY61" i="31"/>
  <c r="AY59" i="31" s="1"/>
  <c r="N109" i="20"/>
  <c r="V109" i="20" s="1"/>
  <c r="N114" i="23"/>
  <c r="N108" i="20" s="1"/>
  <c r="V108" i="20" s="1"/>
  <c r="O96" i="23"/>
  <c r="O34" i="34"/>
  <c r="O55" i="25"/>
  <c r="O9" i="25"/>
  <c r="O54" i="34"/>
  <c r="O16" i="34" s="1"/>
  <c r="P78" i="23"/>
  <c r="P76" i="23"/>
  <c r="AU48" i="27" l="1"/>
  <c r="AU130" i="30"/>
  <c r="AU131" i="30" s="1"/>
  <c r="AU132" i="30" s="1"/>
  <c r="AU133" i="30" s="1"/>
  <c r="AV90" i="27"/>
  <c r="BZ90" i="27" s="1"/>
  <c r="AV88" i="27"/>
  <c r="AV113" i="30"/>
  <c r="AV52" i="30"/>
  <c r="AV109" i="30"/>
  <c r="AV107" i="30" s="1"/>
  <c r="AV58" i="33"/>
  <c r="AV63" i="33"/>
  <c r="AV74" i="33" s="1"/>
  <c r="BZ74" i="33" s="1"/>
  <c r="M197" i="23" s="1"/>
  <c r="AW62" i="30"/>
  <c r="AV46" i="30"/>
  <c r="AV51" i="30" s="1"/>
  <c r="BE51" i="27"/>
  <c r="BE104" i="31"/>
  <c r="BE106" i="31" s="1"/>
  <c r="BF53" i="31"/>
  <c r="N8" i="34"/>
  <c r="V8" i="34" s="1"/>
  <c r="F24" i="36" s="1"/>
  <c r="N53" i="34"/>
  <c r="V31" i="34"/>
  <c r="AV133" i="31"/>
  <c r="BZ133" i="31" s="1"/>
  <c r="M45" i="20" s="1"/>
  <c r="AV74" i="27"/>
  <c r="BH58" i="30"/>
  <c r="BG98" i="30"/>
  <c r="BH60" i="30"/>
  <c r="BF106" i="30"/>
  <c r="AW130" i="31"/>
  <c r="AW49" i="27"/>
  <c r="AX40" i="27"/>
  <c r="AX66" i="31"/>
  <c r="AX112" i="31"/>
  <c r="AX36" i="27"/>
  <c r="AX107" i="31"/>
  <c r="AY72" i="33"/>
  <c r="AY67" i="33"/>
  <c r="AY52" i="31"/>
  <c r="AY113" i="31"/>
  <c r="AY109" i="31"/>
  <c r="AY107" i="31" s="1"/>
  <c r="AZ62" i="31"/>
  <c r="AY46" i="31"/>
  <c r="AY51" i="31" s="1"/>
  <c r="AY40" i="27"/>
  <c r="AY66" i="31"/>
  <c r="O97" i="23"/>
  <c r="O100" i="23"/>
  <c r="O103" i="23" s="1"/>
  <c r="O32" i="34"/>
  <c r="P106" i="23"/>
  <c r="P108" i="23" s="1"/>
  <c r="P91" i="23"/>
  <c r="P98" i="23" s="1"/>
  <c r="P80" i="23"/>
  <c r="P81" i="23" s="1"/>
  <c r="AU45" i="27" l="1"/>
  <c r="AU69" i="27"/>
  <c r="AU65" i="27" s="1"/>
  <c r="AU94" i="27" s="1"/>
  <c r="AU95" i="27" s="1"/>
  <c r="AV83" i="27"/>
  <c r="BZ83" i="27" s="1"/>
  <c r="BZ88" i="27"/>
  <c r="AV112" i="30"/>
  <c r="AV111" i="30" s="1"/>
  <c r="AV35" i="27"/>
  <c r="AV33" i="27" s="1"/>
  <c r="AV54" i="27"/>
  <c r="BZ54" i="27" s="1"/>
  <c r="M60" i="34" s="1"/>
  <c r="M68" i="34"/>
  <c r="M97" i="20"/>
  <c r="AW61" i="30"/>
  <c r="AW59" i="30" s="1"/>
  <c r="AW55" i="30"/>
  <c r="BF45" i="31"/>
  <c r="BF108" i="31"/>
  <c r="V53" i="34"/>
  <c r="N58" i="34"/>
  <c r="N15" i="34"/>
  <c r="V15" i="34" s="1"/>
  <c r="F31" i="36" s="1"/>
  <c r="BH50" i="30"/>
  <c r="BH62" i="33"/>
  <c r="BG97" i="30"/>
  <c r="BH53" i="30"/>
  <c r="AW131" i="31"/>
  <c r="AW78" i="27"/>
  <c r="AX111" i="31"/>
  <c r="AX117" i="31" s="1"/>
  <c r="AY112" i="31"/>
  <c r="AY36" i="27"/>
  <c r="AZ61" i="31"/>
  <c r="AZ55" i="31"/>
  <c r="O112" i="23"/>
  <c r="O109" i="23"/>
  <c r="O9" i="34"/>
  <c r="P56" i="34"/>
  <c r="P82" i="23"/>
  <c r="P99" i="23" s="1"/>
  <c r="P50" i="25"/>
  <c r="L33" i="25" l="1"/>
  <c r="L38" i="25" s="1"/>
  <c r="U31" i="25"/>
  <c r="AV55" i="27"/>
  <c r="BZ55" i="27" s="1"/>
  <c r="M72" i="34" s="1"/>
  <c r="M71" i="34" s="1"/>
  <c r="M19" i="34" s="1"/>
  <c r="AV117" i="30"/>
  <c r="AV48" i="27"/>
  <c r="AV130" i="30"/>
  <c r="AV131" i="30" s="1"/>
  <c r="AV132" i="30" s="1"/>
  <c r="AV133" i="30" s="1"/>
  <c r="BZ133" i="30" s="1"/>
  <c r="M42" i="20" s="1"/>
  <c r="AW39" i="27"/>
  <c r="AW37" i="27" s="1"/>
  <c r="AW66" i="30"/>
  <c r="AW59" i="33"/>
  <c r="AW54" i="30"/>
  <c r="AW47" i="30"/>
  <c r="M59" i="34"/>
  <c r="AU82" i="27"/>
  <c r="BG60" i="31"/>
  <c r="BF98" i="31"/>
  <c r="BF97" i="31" s="1"/>
  <c r="N17" i="34"/>
  <c r="V17" i="34" s="1"/>
  <c r="F33" i="36" s="1"/>
  <c r="V58" i="34"/>
  <c r="BI65" i="30"/>
  <c r="BG104" i="30"/>
  <c r="BH45" i="30"/>
  <c r="BH108" i="30"/>
  <c r="AW132" i="31"/>
  <c r="AW74" i="27"/>
  <c r="AX49" i="27"/>
  <c r="AX130" i="31"/>
  <c r="AZ59" i="31"/>
  <c r="AZ54" i="31"/>
  <c r="AZ68" i="33"/>
  <c r="AZ47" i="31"/>
  <c r="AY111" i="31"/>
  <c r="O113" i="23"/>
  <c r="O111" i="23"/>
  <c r="O110" i="23"/>
  <c r="W56" i="34"/>
  <c r="P54" i="34"/>
  <c r="P94" i="23"/>
  <c r="P95" i="23"/>
  <c r="P37" i="34" s="1"/>
  <c r="W37" i="34" s="1"/>
  <c r="P83" i="23"/>
  <c r="P107" i="20" s="1"/>
  <c r="W107" i="20" s="1"/>
  <c r="P42" i="25"/>
  <c r="P16" i="25"/>
  <c r="U33" i="25" l="1"/>
  <c r="E58" i="36" s="1"/>
  <c r="E88" i="36" s="1"/>
  <c r="E107" i="36" s="1"/>
  <c r="U38" i="25"/>
  <c r="E62" i="36" s="1"/>
  <c r="AV45" i="27"/>
  <c r="AV69" i="27"/>
  <c r="AV65" i="27" s="1"/>
  <c r="AV94" i="27" s="1"/>
  <c r="AW90" i="27"/>
  <c r="AW88" i="27"/>
  <c r="AW83" i="27" s="1"/>
  <c r="AW58" i="33"/>
  <c r="AW63" i="33"/>
  <c r="AW74" i="33" s="1"/>
  <c r="AW52" i="30"/>
  <c r="AW109" i="30"/>
  <c r="AW107" i="30" s="1"/>
  <c r="AW113" i="30"/>
  <c r="AX62" i="30"/>
  <c r="AW46" i="30"/>
  <c r="AW51" i="30" s="1"/>
  <c r="M83" i="34"/>
  <c r="M18" i="34"/>
  <c r="AY117" i="31"/>
  <c r="BG53" i="31"/>
  <c r="BF51" i="27"/>
  <c r="BF104" i="31"/>
  <c r="BF106" i="31" s="1"/>
  <c r="BI58" i="30"/>
  <c r="BG106" i="30"/>
  <c r="BI60" i="30"/>
  <c r="BI53" i="30" s="1"/>
  <c r="BI45" i="30" s="1"/>
  <c r="BH98" i="30"/>
  <c r="AW133" i="31"/>
  <c r="AX78" i="27"/>
  <c r="AX131" i="31"/>
  <c r="AZ40" i="27"/>
  <c r="AZ66" i="31"/>
  <c r="AZ52" i="31"/>
  <c r="AZ109" i="31"/>
  <c r="AZ113" i="31"/>
  <c r="AZ72" i="33"/>
  <c r="AZ67" i="33"/>
  <c r="AZ46" i="31"/>
  <c r="AZ51" i="31" s="1"/>
  <c r="BA62" i="31"/>
  <c r="BA55" i="31" s="1"/>
  <c r="BA47" i="31" s="1"/>
  <c r="O109" i="20"/>
  <c r="O114" i="23"/>
  <c r="O108" i="20" s="1"/>
  <c r="P16" i="34"/>
  <c r="W16" i="34" s="1"/>
  <c r="G32" i="36" s="1"/>
  <c r="W54" i="34"/>
  <c r="P96" i="23"/>
  <c r="P34" i="34"/>
  <c r="P9" i="25"/>
  <c r="P55" i="25"/>
  <c r="W16" i="25"/>
  <c r="G98" i="36" s="1"/>
  <c r="P15" i="25"/>
  <c r="W15" i="25" s="1"/>
  <c r="AV95" i="27" l="1"/>
  <c r="BZ95" i="27" s="1"/>
  <c r="M33" i="20" s="1"/>
  <c r="M124" i="20" s="1"/>
  <c r="BZ94" i="27"/>
  <c r="AW112" i="30"/>
  <c r="AW111" i="30" s="1"/>
  <c r="AW35" i="27"/>
  <c r="AW33" i="27" s="1"/>
  <c r="AW54" i="27"/>
  <c r="M85" i="34"/>
  <c r="M87" i="34" s="1"/>
  <c r="M22" i="34"/>
  <c r="M26" i="34" s="1"/>
  <c r="M28" i="34" s="1"/>
  <c r="M35" i="25" s="1"/>
  <c r="AV82" i="27"/>
  <c r="AX61" i="30"/>
  <c r="AX59" i="30" s="1"/>
  <c r="AX55" i="30"/>
  <c r="AY49" i="27"/>
  <c r="AY130" i="31"/>
  <c r="AY131" i="31" s="1"/>
  <c r="AY132" i="31" s="1"/>
  <c r="AY133" i="31" s="1"/>
  <c r="BG45" i="31"/>
  <c r="BG108" i="31"/>
  <c r="BI50" i="30"/>
  <c r="BJ65" i="30" s="1"/>
  <c r="BI62" i="33"/>
  <c r="BI108" i="30"/>
  <c r="BH97" i="30"/>
  <c r="AX74" i="27"/>
  <c r="AX132" i="31"/>
  <c r="AZ36" i="27"/>
  <c r="AZ112" i="31"/>
  <c r="AZ107" i="31"/>
  <c r="BB62" i="31"/>
  <c r="BC62" i="31" s="1"/>
  <c r="BA46" i="31"/>
  <c r="BA51" i="31" s="1"/>
  <c r="BA68" i="33"/>
  <c r="BA54" i="31"/>
  <c r="BA61" i="31"/>
  <c r="BI98" i="30"/>
  <c r="BI97" i="30" s="1"/>
  <c r="BI104" i="30" s="1"/>
  <c r="BI106" i="30" s="1"/>
  <c r="BJ60" i="30"/>
  <c r="P100" i="23"/>
  <c r="P103" i="23" s="1"/>
  <c r="P97" i="23"/>
  <c r="W34" i="34"/>
  <c r="P32" i="34"/>
  <c r="W9" i="25"/>
  <c r="G52" i="36"/>
  <c r="G97" i="36"/>
  <c r="M8" i="25" l="1"/>
  <c r="M21" i="25" s="1"/>
  <c r="M31" i="25"/>
  <c r="AW55" i="27"/>
  <c r="AW117" i="30"/>
  <c r="AX66" i="30"/>
  <c r="AX39" i="27"/>
  <c r="AX37" i="27" s="1"/>
  <c r="AX59" i="33"/>
  <c r="AX54" i="30"/>
  <c r="AX47" i="30"/>
  <c r="AY78" i="27"/>
  <c r="AY74" i="27" s="1"/>
  <c r="BH60" i="31"/>
  <c r="BG98" i="31"/>
  <c r="BG97" i="31" s="1"/>
  <c r="BJ58" i="30"/>
  <c r="BH104" i="30"/>
  <c r="AX133" i="31"/>
  <c r="AZ111" i="31"/>
  <c r="AZ117" i="31" s="1"/>
  <c r="BB61" i="31"/>
  <c r="BB55" i="31"/>
  <c r="BA67" i="33"/>
  <c r="BA72" i="33"/>
  <c r="BA52" i="31"/>
  <c r="BA113" i="31"/>
  <c r="BA109" i="31"/>
  <c r="BA59" i="31"/>
  <c r="BJ53" i="30"/>
  <c r="P112" i="23"/>
  <c r="P109" i="23"/>
  <c r="W32" i="34"/>
  <c r="P9" i="34"/>
  <c r="W9" i="34" s="1"/>
  <c r="G25" i="36" s="1"/>
  <c r="W134" i="20"/>
  <c r="C17" i="36" s="1"/>
  <c r="D18" i="41" s="1"/>
  <c r="G50" i="36"/>
  <c r="G71" i="36"/>
  <c r="G96" i="36" s="1"/>
  <c r="AW48" i="27" l="1"/>
  <c r="AW130" i="30"/>
  <c r="AW131" i="30" s="1"/>
  <c r="AW132" i="30" s="1"/>
  <c r="AW133" i="30" s="1"/>
  <c r="M33" i="25"/>
  <c r="M38" i="25" s="1"/>
  <c r="AW45" i="27"/>
  <c r="AW69" i="27"/>
  <c r="AW65" i="27" s="1"/>
  <c r="AW94" i="27" s="1"/>
  <c r="AW95" i="27" s="1"/>
  <c r="AX90" i="27"/>
  <c r="AX88" i="27"/>
  <c r="AX58" i="33"/>
  <c r="AX63" i="33"/>
  <c r="AX74" i="33" s="1"/>
  <c r="AX113" i="30"/>
  <c r="AX52" i="30"/>
  <c r="AX109" i="30"/>
  <c r="AX107" i="30" s="1"/>
  <c r="AY62" i="30"/>
  <c r="AX46" i="30"/>
  <c r="AX51" i="30" s="1"/>
  <c r="BH53" i="31"/>
  <c r="BG104" i="31"/>
  <c r="BG106" i="31" s="1"/>
  <c r="BG51" i="27"/>
  <c r="BJ50" i="30"/>
  <c r="BJ62" i="33"/>
  <c r="BH106" i="30"/>
  <c r="AZ130" i="31"/>
  <c r="AZ49" i="27"/>
  <c r="BC55" i="31"/>
  <c r="BB68" i="33"/>
  <c r="BB54" i="31"/>
  <c r="BB47" i="31"/>
  <c r="BA36" i="27"/>
  <c r="BA112" i="31"/>
  <c r="BA107" i="31"/>
  <c r="BA66" i="31"/>
  <c r="BA40" i="27"/>
  <c r="BJ45" i="30"/>
  <c r="BJ108" i="30"/>
  <c r="BB59" i="31"/>
  <c r="BC59" i="31" s="1"/>
  <c r="BC61" i="31"/>
  <c r="P110" i="23"/>
  <c r="P113" i="23"/>
  <c r="P111" i="23"/>
  <c r="AW82" i="27" l="1"/>
  <c r="AX83" i="27"/>
  <c r="AX35" i="27"/>
  <c r="AX33" i="27" s="1"/>
  <c r="AX112" i="30"/>
  <c r="AX111" i="30" s="1"/>
  <c r="AX54" i="27"/>
  <c r="AY61" i="30"/>
  <c r="AY59" i="30" s="1"/>
  <c r="AY55" i="30"/>
  <c r="BH45" i="31"/>
  <c r="BH108" i="31"/>
  <c r="BK65" i="30"/>
  <c r="AZ131" i="31"/>
  <c r="AZ78" i="27"/>
  <c r="BC68" i="33"/>
  <c r="BB67" i="33"/>
  <c r="BC67" i="33" s="1"/>
  <c r="BB72" i="33"/>
  <c r="BC54" i="31"/>
  <c r="BB52" i="31"/>
  <c r="BB113" i="31"/>
  <c r="BC113" i="31" s="1"/>
  <c r="BB109" i="31"/>
  <c r="BB46" i="31"/>
  <c r="BB51" i="31" s="1"/>
  <c r="BC47" i="31"/>
  <c r="BA111" i="31"/>
  <c r="BA117" i="31" s="1"/>
  <c r="BK60" i="30"/>
  <c r="BK53" i="30" s="1"/>
  <c r="BK45" i="30" s="1"/>
  <c r="BJ98" i="30"/>
  <c r="BB66" i="31"/>
  <c r="BB40" i="27"/>
  <c r="BC40" i="27" s="1"/>
  <c r="P109" i="20"/>
  <c r="W109" i="20" s="1"/>
  <c r="P114" i="23"/>
  <c r="P108" i="20" s="1"/>
  <c r="W108" i="20" s="1"/>
  <c r="AX55" i="27" l="1"/>
  <c r="AX117" i="30"/>
  <c r="AY66" i="30"/>
  <c r="AY39" i="27"/>
  <c r="AY37" i="27" s="1"/>
  <c r="AY47" i="30"/>
  <c r="AY54" i="30"/>
  <c r="AY59" i="33"/>
  <c r="BI60" i="31"/>
  <c r="BH98" i="31"/>
  <c r="BH97" i="31" s="1"/>
  <c r="BK58" i="30"/>
  <c r="AZ132" i="31"/>
  <c r="AZ74" i="27"/>
  <c r="BC72" i="33"/>
  <c r="BC52" i="31"/>
  <c r="H98" i="26" s="1"/>
  <c r="BB36" i="27"/>
  <c r="BB112" i="31"/>
  <c r="BC109" i="31"/>
  <c r="BB107" i="31"/>
  <c r="BD62" i="31"/>
  <c r="BC46" i="31"/>
  <c r="BC51" i="31" s="1"/>
  <c r="BA49" i="27"/>
  <c r="BA130" i="31"/>
  <c r="BK108" i="30"/>
  <c r="BJ97" i="30"/>
  <c r="BK98" i="30"/>
  <c r="BK97" i="30" s="1"/>
  <c r="BK104" i="30" s="1"/>
  <c r="BK106" i="30" s="1"/>
  <c r="BL60" i="30"/>
  <c r="AX130" i="30" l="1"/>
  <c r="AX131" i="30" s="1"/>
  <c r="AX132" i="30" s="1"/>
  <c r="AX133" i="30" s="1"/>
  <c r="AX48" i="27"/>
  <c r="AY88" i="27"/>
  <c r="AY90" i="27"/>
  <c r="AY46" i="30"/>
  <c r="AY51" i="30" s="1"/>
  <c r="AZ62" i="30"/>
  <c r="AY109" i="30"/>
  <c r="AY107" i="30" s="1"/>
  <c r="AY113" i="30"/>
  <c r="AY52" i="30"/>
  <c r="AY63" i="33"/>
  <c r="AY74" i="33" s="1"/>
  <c r="AY58" i="33"/>
  <c r="BD61" i="31"/>
  <c r="BD59" i="31" s="1"/>
  <c r="BD55" i="31"/>
  <c r="BI53" i="31"/>
  <c r="BH104" i="31"/>
  <c r="BH106" i="31" s="1"/>
  <c r="BH51" i="27"/>
  <c r="BK50" i="30"/>
  <c r="BL65" i="30" s="1"/>
  <c r="BK62" i="33"/>
  <c r="AZ133" i="31"/>
  <c r="BC36" i="27"/>
  <c r="BC112" i="31"/>
  <c r="BB111" i="31"/>
  <c r="BC107" i="31"/>
  <c r="BA78" i="27"/>
  <c r="BA131" i="31"/>
  <c r="BA132" i="31" s="1"/>
  <c r="BA133" i="31" s="1"/>
  <c r="BJ104" i="30"/>
  <c r="BL53" i="30"/>
  <c r="AX45" i="27" l="1"/>
  <c r="AX69" i="27"/>
  <c r="AX65" i="27" s="1"/>
  <c r="AX94" i="27" s="1"/>
  <c r="AX95" i="27" s="1"/>
  <c r="AX82" i="27"/>
  <c r="AY83" i="27"/>
  <c r="AZ61" i="30"/>
  <c r="AZ59" i="30" s="1"/>
  <c r="AZ55" i="30"/>
  <c r="AY54" i="27"/>
  <c r="AY35" i="27"/>
  <c r="AY33" i="27" s="1"/>
  <c r="AY112" i="30"/>
  <c r="AY111" i="30" s="1"/>
  <c r="BD40" i="27"/>
  <c r="BD66" i="31"/>
  <c r="BD47" i="31"/>
  <c r="BD68" i="33"/>
  <c r="BD54" i="31"/>
  <c r="BI108" i="31"/>
  <c r="BI45" i="31"/>
  <c r="BL58" i="30"/>
  <c r="BC111" i="31"/>
  <c r="BB117" i="31"/>
  <c r="BA74" i="27"/>
  <c r="BJ106" i="30"/>
  <c r="BL45" i="30"/>
  <c r="BL108" i="30"/>
  <c r="AZ39" i="27" l="1"/>
  <c r="AZ37" i="27" s="1"/>
  <c r="AZ66" i="30"/>
  <c r="AZ59" i="33"/>
  <c r="AZ54" i="30"/>
  <c r="AZ47" i="30"/>
  <c r="AY55" i="27"/>
  <c r="AY117" i="30"/>
  <c r="BD67" i="33"/>
  <c r="BD72" i="33"/>
  <c r="BD52" i="31"/>
  <c r="BD113" i="31"/>
  <c r="BD109" i="31"/>
  <c r="BD107" i="31" s="1"/>
  <c r="BD46" i="31"/>
  <c r="BD51" i="31" s="1"/>
  <c r="BE62" i="31"/>
  <c r="BI98" i="31"/>
  <c r="BI97" i="31" s="1"/>
  <c r="BJ60" i="31"/>
  <c r="BJ53" i="31" s="1"/>
  <c r="BL50" i="30"/>
  <c r="BM65" i="30" s="1"/>
  <c r="BL62" i="33"/>
  <c r="BC117" i="31"/>
  <c r="BB49" i="27"/>
  <c r="BB130" i="31"/>
  <c r="BM60" i="30"/>
  <c r="BL98" i="30"/>
  <c r="AZ88" i="27" l="1"/>
  <c r="AZ90" i="27"/>
  <c r="AZ58" i="33"/>
  <c r="AZ63" i="33"/>
  <c r="AZ109" i="30"/>
  <c r="AZ113" i="30"/>
  <c r="AZ52" i="30"/>
  <c r="AZ46" i="30"/>
  <c r="AZ51" i="30" s="1"/>
  <c r="BA62" i="30"/>
  <c r="BA55" i="30" s="1"/>
  <c r="BA47" i="30" s="1"/>
  <c r="AY48" i="27"/>
  <c r="AY130" i="30"/>
  <c r="BD36" i="27"/>
  <c r="BD112" i="31"/>
  <c r="BD111" i="31" s="1"/>
  <c r="BD117" i="31" s="1"/>
  <c r="BE61" i="31"/>
  <c r="BE59" i="31" s="1"/>
  <c r="BE55" i="31"/>
  <c r="BJ45" i="31"/>
  <c r="BJ108" i="31"/>
  <c r="BI51" i="27"/>
  <c r="CB51" i="27" s="1"/>
  <c r="O38" i="34" s="1"/>
  <c r="O35" i="34" s="1"/>
  <c r="BI104" i="31"/>
  <c r="BI106" i="31" s="1"/>
  <c r="BM58" i="30"/>
  <c r="BC49" i="27"/>
  <c r="BB78" i="27"/>
  <c r="BC130" i="31"/>
  <c r="BB131" i="31"/>
  <c r="BM53" i="30"/>
  <c r="BL97" i="30"/>
  <c r="AZ83" i="27" l="1"/>
  <c r="AZ35" i="27"/>
  <c r="AZ33" i="27" s="1"/>
  <c r="AZ112" i="30"/>
  <c r="AZ111" i="30" s="1"/>
  <c r="BB62" i="30"/>
  <c r="BC62" i="30" s="1"/>
  <c r="BA46" i="30"/>
  <c r="BA51" i="30" s="1"/>
  <c r="BA59" i="33"/>
  <c r="BA54" i="30"/>
  <c r="BA61" i="30"/>
  <c r="AY45" i="27"/>
  <c r="AY69" i="27"/>
  <c r="AY65" i="27" s="1"/>
  <c r="AY94" i="27" s="1"/>
  <c r="AY95" i="27" s="1"/>
  <c r="AY131" i="30"/>
  <c r="AY132" i="30" s="1"/>
  <c r="AY133" i="30" s="1"/>
  <c r="AZ74" i="33"/>
  <c r="AZ107" i="30"/>
  <c r="AZ54" i="27" s="1"/>
  <c r="BE66" i="31"/>
  <c r="BE40" i="27"/>
  <c r="BE47" i="31"/>
  <c r="BE54" i="31"/>
  <c r="BE68" i="33"/>
  <c r="BK60" i="31"/>
  <c r="BJ98" i="31"/>
  <c r="BJ97" i="31" s="1"/>
  <c r="O31" i="34"/>
  <c r="O10" i="34"/>
  <c r="BM62" i="33"/>
  <c r="BM50" i="30"/>
  <c r="BC78" i="27"/>
  <c r="BB74" i="27"/>
  <c r="BM108" i="30"/>
  <c r="BM45" i="30"/>
  <c r="BL104" i="30"/>
  <c r="BD130" i="31"/>
  <c r="BD49" i="27"/>
  <c r="BC131" i="31"/>
  <c r="BB132" i="31"/>
  <c r="AZ55" i="27" l="1"/>
  <c r="AZ117" i="30"/>
  <c r="BB61" i="30"/>
  <c r="BB55" i="30"/>
  <c r="BA63" i="33"/>
  <c r="BA58" i="33"/>
  <c r="BA109" i="30"/>
  <c r="BA113" i="30"/>
  <c r="BA52" i="30"/>
  <c r="BA59" i="30"/>
  <c r="AY82" i="27"/>
  <c r="BF62" i="31"/>
  <c r="BE46" i="31"/>
  <c r="BE51" i="31" s="1"/>
  <c r="BE109" i="31"/>
  <c r="BE107" i="31" s="1"/>
  <c r="BE52" i="31"/>
  <c r="BE113" i="31"/>
  <c r="BE67" i="33"/>
  <c r="BE72" i="33"/>
  <c r="BJ51" i="27"/>
  <c r="BJ104" i="31"/>
  <c r="BJ106" i="31" s="1"/>
  <c r="BK53" i="31"/>
  <c r="O8" i="34"/>
  <c r="O53" i="34"/>
  <c r="BN65" i="30"/>
  <c r="BC74" i="27"/>
  <c r="BN60" i="30"/>
  <c r="BM98" i="30"/>
  <c r="BL106" i="30"/>
  <c r="BD131" i="31"/>
  <c r="BD78" i="27"/>
  <c r="BD74" i="27" s="1"/>
  <c r="BB133" i="31"/>
  <c r="CA133" i="31" s="1"/>
  <c r="N45" i="20" s="1"/>
  <c r="V45" i="20" s="1"/>
  <c r="BC132" i="31"/>
  <c r="BC133" i="31" s="1"/>
  <c r="AZ130" i="30" l="1"/>
  <c r="AZ48" i="27"/>
  <c r="BC55" i="30"/>
  <c r="BB59" i="33"/>
  <c r="BB54" i="30"/>
  <c r="BB47" i="30"/>
  <c r="BA74" i="33"/>
  <c r="BA107" i="30"/>
  <c r="BA112" i="30"/>
  <c r="BA35" i="27"/>
  <c r="BA66" i="30"/>
  <c r="BA39" i="27"/>
  <c r="BB59" i="30"/>
  <c r="BC59" i="30" s="1"/>
  <c r="BC61" i="30"/>
  <c r="BE112" i="31"/>
  <c r="BE111" i="31" s="1"/>
  <c r="BE36" i="27"/>
  <c r="BF61" i="31"/>
  <c r="BF59" i="31" s="1"/>
  <c r="BF55" i="31"/>
  <c r="BK108" i="31"/>
  <c r="BK45" i="31"/>
  <c r="O15" i="34"/>
  <c r="O58" i="34"/>
  <c r="BN58" i="30"/>
  <c r="H125" i="26"/>
  <c r="BC79" i="27"/>
  <c r="BN53" i="30"/>
  <c r="BM97" i="30"/>
  <c r="BD132" i="31"/>
  <c r="BD133" i="31" s="1"/>
  <c r="AZ131" i="30" l="1"/>
  <c r="AZ132" i="30" s="1"/>
  <c r="AZ133" i="30" s="1"/>
  <c r="AZ69" i="27"/>
  <c r="AZ65" i="27" s="1"/>
  <c r="AZ94" i="27" s="1"/>
  <c r="AZ95" i="27" s="1"/>
  <c r="AZ45" i="27"/>
  <c r="BC59" i="33"/>
  <c r="BB58" i="33"/>
  <c r="BC58" i="33" s="1"/>
  <c r="BB63" i="33"/>
  <c r="BC54" i="30"/>
  <c r="BB52" i="30"/>
  <c r="BB113" i="30"/>
  <c r="BC113" i="30" s="1"/>
  <c r="BB109" i="30"/>
  <c r="BC47" i="30"/>
  <c r="BB46" i="30"/>
  <c r="BB51" i="30" s="1"/>
  <c r="BA54" i="27"/>
  <c r="BA111" i="30"/>
  <c r="BA117" i="30" s="1"/>
  <c r="BA33" i="27"/>
  <c r="BA37" i="27"/>
  <c r="BB39" i="27"/>
  <c r="BB66" i="30"/>
  <c r="BF66" i="31"/>
  <c r="BF40" i="27"/>
  <c r="BF47" i="31"/>
  <c r="BF68" i="33"/>
  <c r="BF54" i="31"/>
  <c r="BE117" i="31"/>
  <c r="BL60" i="31"/>
  <c r="BK98" i="31"/>
  <c r="BK97" i="31" s="1"/>
  <c r="O17" i="34"/>
  <c r="BN50" i="30"/>
  <c r="BN62" i="33"/>
  <c r="BN108" i="30"/>
  <c r="BN45" i="30"/>
  <c r="BM104" i="30"/>
  <c r="BC63" i="33" l="1"/>
  <c r="BB74" i="33"/>
  <c r="BC52" i="30"/>
  <c r="H76" i="26" s="1"/>
  <c r="H120" i="26" s="1"/>
  <c r="BB112" i="30"/>
  <c r="BB35" i="27"/>
  <c r="BC109" i="30"/>
  <c r="BB107" i="30"/>
  <c r="BD62" i="30"/>
  <c r="BC46" i="30"/>
  <c r="BC51" i="30" s="1"/>
  <c r="BA48" i="27"/>
  <c r="BA130" i="30"/>
  <c r="BA55" i="27"/>
  <c r="BA88" i="27"/>
  <c r="BA90" i="27"/>
  <c r="AZ82" i="27"/>
  <c r="BB37" i="27"/>
  <c r="BC37" i="27" s="1"/>
  <c r="BC39" i="27"/>
  <c r="BG62" i="31"/>
  <c r="BF46" i="31"/>
  <c r="BF51" i="31" s="1"/>
  <c r="BF72" i="33"/>
  <c r="BF67" i="33"/>
  <c r="BF52" i="31"/>
  <c r="BF113" i="31"/>
  <c r="BF109" i="31"/>
  <c r="BF107" i="31" s="1"/>
  <c r="BE49" i="27"/>
  <c r="BE130" i="31"/>
  <c r="BL53" i="31"/>
  <c r="BO65" i="30"/>
  <c r="BO60" i="30"/>
  <c r="BN98" i="30"/>
  <c r="BM106" i="30"/>
  <c r="BK51" i="27"/>
  <c r="BK104" i="31"/>
  <c r="BK106" i="31" s="1"/>
  <c r="CA74" i="33" l="1"/>
  <c r="N197" i="23" s="1"/>
  <c r="BC74" i="33"/>
  <c r="BC112" i="30"/>
  <c r="BB111" i="30"/>
  <c r="BC35" i="27"/>
  <c r="BB33" i="27"/>
  <c r="BC33" i="27" s="1"/>
  <c r="BC107" i="30"/>
  <c r="BB54" i="27"/>
  <c r="BA69" i="27"/>
  <c r="BA45" i="27"/>
  <c r="BA131" i="30"/>
  <c r="BA132" i="30" s="1"/>
  <c r="BA83" i="27"/>
  <c r="BB90" i="27"/>
  <c r="BB88" i="27"/>
  <c r="BD61" i="30"/>
  <c r="BD59" i="30" s="1"/>
  <c r="BD55" i="30"/>
  <c r="BP65" i="30"/>
  <c r="BO58" i="30"/>
  <c r="BF112" i="31"/>
  <c r="BF111" i="31" s="1"/>
  <c r="BF36" i="27"/>
  <c r="BE78" i="27"/>
  <c r="BE74" i="27" s="1"/>
  <c r="BE131" i="31"/>
  <c r="BE132" i="31" s="1"/>
  <c r="BE133" i="31" s="1"/>
  <c r="BG61" i="31"/>
  <c r="BG59" i="31" s="1"/>
  <c r="BG55" i="31"/>
  <c r="BL108" i="31"/>
  <c r="BL45" i="31"/>
  <c r="BN97" i="30"/>
  <c r="BP60" i="30"/>
  <c r="BO53" i="30"/>
  <c r="N97" i="20" l="1"/>
  <c r="V97" i="20" s="1"/>
  <c r="N68" i="34"/>
  <c r="V68" i="34" s="1"/>
  <c r="BC111" i="30"/>
  <c r="BB55" i="27"/>
  <c r="BB117" i="30"/>
  <c r="CA54" i="27"/>
  <c r="N60" i="34" s="1"/>
  <c r="BC54" i="27"/>
  <c r="BA65" i="27"/>
  <c r="BA82" i="27" s="1"/>
  <c r="BA133" i="30"/>
  <c r="BD39" i="27"/>
  <c r="BD37" i="27" s="1"/>
  <c r="BD66" i="30"/>
  <c r="BD59" i="33"/>
  <c r="BD54" i="30"/>
  <c r="BD47" i="30"/>
  <c r="CA90" i="27"/>
  <c r="BC90" i="27"/>
  <c r="BB83" i="27"/>
  <c r="CA88" i="27"/>
  <c r="BC88" i="27"/>
  <c r="BO50" i="30"/>
  <c r="BP50" i="30" s="1"/>
  <c r="BP58" i="30"/>
  <c r="BO62" i="33"/>
  <c r="BP62" i="33" s="1"/>
  <c r="BF117" i="31"/>
  <c r="BG40" i="27"/>
  <c r="BG66" i="31"/>
  <c r="BG68" i="33"/>
  <c r="BG54" i="31"/>
  <c r="BG47" i="31"/>
  <c r="BL98" i="31"/>
  <c r="BL97" i="31" s="1"/>
  <c r="BM60" i="31"/>
  <c r="BN104" i="30"/>
  <c r="BO108" i="30"/>
  <c r="BP108" i="30" s="1"/>
  <c r="BP53" i="30"/>
  <c r="BO45" i="30"/>
  <c r="BR96" i="27"/>
  <c r="BS96" i="27" s="1"/>
  <c r="CA83" i="27" l="1"/>
  <c r="BC83" i="27"/>
  <c r="H126" i="26" s="1"/>
  <c r="BC55" i="27"/>
  <c r="CA55" i="27"/>
  <c r="N72" i="34" s="1"/>
  <c r="BC117" i="30"/>
  <c r="BB130" i="30"/>
  <c r="BB48" i="27"/>
  <c r="N59" i="34"/>
  <c r="V60" i="34"/>
  <c r="BA94" i="27"/>
  <c r="BD88" i="27"/>
  <c r="BD90" i="27"/>
  <c r="BD63" i="33"/>
  <c r="BD74" i="33" s="1"/>
  <c r="BD58" i="33"/>
  <c r="BD113" i="30"/>
  <c r="BD109" i="30"/>
  <c r="BD107" i="30" s="1"/>
  <c r="BD52" i="30"/>
  <c r="BD46" i="30"/>
  <c r="BD51" i="30" s="1"/>
  <c r="BE62" i="30"/>
  <c r="BE61" i="30" s="1"/>
  <c r="BE59" i="30" s="1"/>
  <c r="BF49" i="27"/>
  <c r="BF130" i="31"/>
  <c r="BF131" i="31" s="1"/>
  <c r="BF132" i="31" s="1"/>
  <c r="BF133" i="31" s="1"/>
  <c r="BF78" i="27"/>
  <c r="BF74" i="27" s="1"/>
  <c r="BG67" i="33"/>
  <c r="BG72" i="33"/>
  <c r="BG113" i="31"/>
  <c r="BG52" i="31"/>
  <c r="BG109" i="31"/>
  <c r="BG107" i="31" s="1"/>
  <c r="BG46" i="31"/>
  <c r="BG51" i="31" s="1"/>
  <c r="BH62" i="31"/>
  <c r="BM53" i="31"/>
  <c r="BN106" i="30"/>
  <c r="BO98" i="30"/>
  <c r="BP45" i="30"/>
  <c r="BL104" i="31"/>
  <c r="BL106" i="31" s="1"/>
  <c r="BL51" i="27"/>
  <c r="BD83" i="27" l="1"/>
  <c r="BE55" i="30"/>
  <c r="N71" i="34"/>
  <c r="V72" i="34"/>
  <c r="BC130" i="30"/>
  <c r="BB131" i="30"/>
  <c r="BC48" i="27"/>
  <c r="BB69" i="27"/>
  <c r="BB45" i="27"/>
  <c r="BC45" i="27" s="1"/>
  <c r="N18" i="34"/>
  <c r="V18" i="34" s="1"/>
  <c r="F34" i="36" s="1"/>
  <c r="V59" i="34"/>
  <c r="BA95" i="27"/>
  <c r="BD54" i="27"/>
  <c r="BD35" i="27"/>
  <c r="BD33" i="27" s="1"/>
  <c r="BD112" i="30"/>
  <c r="BD111" i="30" s="1"/>
  <c r="BE66" i="30"/>
  <c r="BE39" i="27"/>
  <c r="BE37" i="27" s="1"/>
  <c r="BF62" i="30"/>
  <c r="BG36" i="27"/>
  <c r="BG112" i="31"/>
  <c r="BG111" i="31" s="1"/>
  <c r="BH61" i="31"/>
  <c r="BH59" i="31" s="1"/>
  <c r="BH55" i="31"/>
  <c r="BM45" i="31"/>
  <c r="BM108" i="31"/>
  <c r="BP98" i="30"/>
  <c r="BO97" i="30"/>
  <c r="R10" i="21"/>
  <c r="D14" i="21"/>
  <c r="R12" i="21"/>
  <c r="BE47" i="30" l="1"/>
  <c r="BE46" i="30" s="1"/>
  <c r="BE51" i="30" s="1"/>
  <c r="BE54" i="30"/>
  <c r="BE59" i="33"/>
  <c r="BE58" i="33" s="1"/>
  <c r="BD55" i="27"/>
  <c r="BD117" i="30"/>
  <c r="V71" i="34"/>
  <c r="N19" i="34"/>
  <c r="V19" i="34" s="1"/>
  <c r="F35" i="36" s="1"/>
  <c r="N83" i="34"/>
  <c r="BC69" i="27"/>
  <c r="BB65" i="27"/>
  <c r="BD48" i="27"/>
  <c r="BD130" i="30"/>
  <c r="BD131" i="30" s="1"/>
  <c r="BD132" i="30" s="1"/>
  <c r="BD133" i="30" s="1"/>
  <c r="BE90" i="27"/>
  <c r="BE88" i="27"/>
  <c r="BE83" i="27" s="1"/>
  <c r="BE109" i="30"/>
  <c r="BE107" i="30" s="1"/>
  <c r="BE52" i="30"/>
  <c r="BE113" i="30"/>
  <c r="BC131" i="30"/>
  <c r="BB132" i="30"/>
  <c r="BF61" i="30"/>
  <c r="BF59" i="30" s="1"/>
  <c r="BF55" i="30"/>
  <c r="BG117" i="31"/>
  <c r="BH66" i="31"/>
  <c r="BH40" i="27"/>
  <c r="BH68" i="33"/>
  <c r="BH54" i="31"/>
  <c r="BH47" i="31"/>
  <c r="BM98" i="31"/>
  <c r="BM97" i="31" s="1"/>
  <c r="BN60" i="31"/>
  <c r="BN53" i="31" s="1"/>
  <c r="BP97" i="30"/>
  <c r="BO104" i="30"/>
  <c r="R14" i="21"/>
  <c r="D15" i="21"/>
  <c r="R15" i="21" s="1"/>
  <c r="U10" i="21"/>
  <c r="BE63" i="33" l="1"/>
  <c r="BE74" i="33" s="1"/>
  <c r="N85" i="34"/>
  <c r="N22" i="34"/>
  <c r="V83" i="34"/>
  <c r="BC65" i="27"/>
  <c r="BB94" i="27"/>
  <c r="BB82" i="27"/>
  <c r="BD69" i="27"/>
  <c r="BD65" i="27" s="1"/>
  <c r="BD94" i="27" s="1"/>
  <c r="BD95" i="27" s="1"/>
  <c r="BD45" i="27"/>
  <c r="BD82" i="27" s="1"/>
  <c r="BE54" i="27"/>
  <c r="BE35" i="27"/>
  <c r="BE33" i="27" s="1"/>
  <c r="BE112" i="30"/>
  <c r="BE111" i="30" s="1"/>
  <c r="BB133" i="30"/>
  <c r="CA133" i="30" s="1"/>
  <c r="N42" i="20" s="1"/>
  <c r="V42" i="20" s="1"/>
  <c r="BC132" i="30"/>
  <c r="BC133" i="30" s="1"/>
  <c r="BF66" i="30"/>
  <c r="BF39" i="27"/>
  <c r="BF37" i="27" s="1"/>
  <c r="BF54" i="30"/>
  <c r="BF59" i="33"/>
  <c r="BF47" i="30"/>
  <c r="BG49" i="27"/>
  <c r="BG130" i="31"/>
  <c r="BG131" i="31" s="1"/>
  <c r="BG132" i="31" s="1"/>
  <c r="BG133" i="31" s="1"/>
  <c r="BH72" i="33"/>
  <c r="BH67" i="33"/>
  <c r="BH113" i="31"/>
  <c r="BH109" i="31"/>
  <c r="BH107" i="31" s="1"/>
  <c r="BH52" i="31"/>
  <c r="BI62" i="31"/>
  <c r="BH46" i="31"/>
  <c r="BH51" i="31" s="1"/>
  <c r="BN108" i="31"/>
  <c r="BN45" i="31"/>
  <c r="BM51" i="27"/>
  <c r="BM104" i="31"/>
  <c r="BM106" i="31" s="1"/>
  <c r="BP104" i="30"/>
  <c r="BO106" i="30"/>
  <c r="BP106" i="30" s="1"/>
  <c r="L14" i="21"/>
  <c r="U12" i="21"/>
  <c r="V85" i="34" l="1"/>
  <c r="N87" i="34"/>
  <c r="V87" i="34" s="1"/>
  <c r="N26" i="34"/>
  <c r="V22" i="34"/>
  <c r="BC82" i="27"/>
  <c r="H124" i="26"/>
  <c r="H122" i="26" s="1"/>
  <c r="BC71" i="27"/>
  <c r="BC94" i="27"/>
  <c r="CA94" i="27"/>
  <c r="BB95" i="27"/>
  <c r="CA95" i="27" s="1"/>
  <c r="N33" i="20" s="1"/>
  <c r="BF88" i="27"/>
  <c r="BF90" i="27"/>
  <c r="BF52" i="30"/>
  <c r="BF113" i="30"/>
  <c r="BF109" i="30"/>
  <c r="BF107" i="30" s="1"/>
  <c r="BF63" i="33"/>
  <c r="BF74" i="33" s="1"/>
  <c r="BF58" i="33"/>
  <c r="BG62" i="30"/>
  <c r="BG61" i="30" s="1"/>
  <c r="BG59" i="30" s="1"/>
  <c r="BF46" i="30"/>
  <c r="BF51" i="30" s="1"/>
  <c r="BE55" i="27"/>
  <c r="BE117" i="30"/>
  <c r="BG78" i="27"/>
  <c r="BG74" i="27" s="1"/>
  <c r="BH112" i="31"/>
  <c r="BH111" i="31" s="1"/>
  <c r="BH36" i="27"/>
  <c r="BI61" i="31"/>
  <c r="BI59" i="31" s="1"/>
  <c r="BI55" i="31"/>
  <c r="BN98" i="31"/>
  <c r="BN97" i="31" s="1"/>
  <c r="BO60" i="31"/>
  <c r="U14" i="21"/>
  <c r="L15" i="21"/>
  <c r="U15" i="21" s="1"/>
  <c r="BG55" i="30" l="1"/>
  <c r="BG47" i="30" s="1"/>
  <c r="BG46" i="30" s="1"/>
  <c r="BG51" i="30" s="1"/>
  <c r="V26" i="34"/>
  <c r="N28" i="34"/>
  <c r="N35" i="25" s="1"/>
  <c r="F38" i="36"/>
  <c r="V130" i="20"/>
  <c r="V136" i="20"/>
  <c r="H128" i="26"/>
  <c r="H129" i="26" s="1"/>
  <c r="BC96" i="27"/>
  <c r="BC97" i="27" s="1"/>
  <c r="BC95" i="27"/>
  <c r="V33" i="20"/>
  <c r="N124" i="20"/>
  <c r="V124" i="20" s="1"/>
  <c r="BF35" i="27"/>
  <c r="BF33" i="27" s="1"/>
  <c r="BF112" i="30"/>
  <c r="BF111" i="30" s="1"/>
  <c r="BF54" i="27"/>
  <c r="BH62" i="30"/>
  <c r="BG39" i="27"/>
  <c r="BG37" i="27" s="1"/>
  <c r="BG66" i="30"/>
  <c r="BG54" i="30"/>
  <c r="BE130" i="30"/>
  <c r="BE131" i="30" s="1"/>
  <c r="BE132" i="30" s="1"/>
  <c r="BE133" i="30" s="1"/>
  <c r="BE48" i="27"/>
  <c r="BF83" i="27"/>
  <c r="BI66" i="31"/>
  <c r="BI40" i="27"/>
  <c r="BI54" i="31"/>
  <c r="BI68" i="33"/>
  <c r="BI47" i="31"/>
  <c r="BH117" i="31"/>
  <c r="BP60" i="31"/>
  <c r="BO53" i="31"/>
  <c r="BN104" i="31"/>
  <c r="BN51" i="27"/>
  <c r="BN106" i="31"/>
  <c r="BG59" i="33" l="1"/>
  <c r="F40" i="36"/>
  <c r="G8" i="40"/>
  <c r="G11" i="40" s="1"/>
  <c r="G47" i="41" s="1"/>
  <c r="N8" i="25"/>
  <c r="N31" i="25"/>
  <c r="BF55" i="27"/>
  <c r="BF117" i="30"/>
  <c r="BF48" i="27" s="1"/>
  <c r="V28" i="34"/>
  <c r="BF130" i="30"/>
  <c r="BF131" i="30" s="1"/>
  <c r="BF132" i="30" s="1"/>
  <c r="BF133" i="30" s="1"/>
  <c r="BH55" i="30"/>
  <c r="BH61" i="30"/>
  <c r="BH59" i="30" s="1"/>
  <c r="BG88" i="27"/>
  <c r="BG90" i="27"/>
  <c r="BG113" i="30"/>
  <c r="BG109" i="30"/>
  <c r="BG107" i="30" s="1"/>
  <c r="BG52" i="30"/>
  <c r="BE69" i="27"/>
  <c r="BE65" i="27" s="1"/>
  <c r="BE94" i="27" s="1"/>
  <c r="BE95" i="27" s="1"/>
  <c r="BE45" i="27"/>
  <c r="BE82" i="27" s="1"/>
  <c r="BI113" i="31"/>
  <c r="BI109" i="31"/>
  <c r="BI107" i="31" s="1"/>
  <c r="BI52" i="31"/>
  <c r="BI67" i="33"/>
  <c r="BI72" i="33"/>
  <c r="BI46" i="31"/>
  <c r="BI51" i="31" s="1"/>
  <c r="BJ62" i="31"/>
  <c r="BH130" i="31"/>
  <c r="BH49" i="27"/>
  <c r="BO108" i="31"/>
  <c r="BP53" i="31"/>
  <c r="BO45" i="31"/>
  <c r="BG63" i="33" l="1"/>
  <c r="BG74" i="33" s="1"/>
  <c r="BG58" i="33"/>
  <c r="F44" i="36"/>
  <c r="V132" i="20"/>
  <c r="N21" i="25"/>
  <c r="V21" i="25" s="1"/>
  <c r="F53" i="36" s="1"/>
  <c r="F80" i="36" s="1"/>
  <c r="F101" i="36" s="1"/>
  <c r="V8" i="25"/>
  <c r="BG83" i="27"/>
  <c r="V35" i="25"/>
  <c r="F60" i="36" s="1"/>
  <c r="F42" i="36"/>
  <c r="BF45" i="27"/>
  <c r="BF69" i="27"/>
  <c r="BF65" i="27" s="1"/>
  <c r="BF94" i="27" s="1"/>
  <c r="BF95" i="27" s="1"/>
  <c r="BH59" i="33"/>
  <c r="BH47" i="30"/>
  <c r="BH54" i="30"/>
  <c r="BH39" i="27"/>
  <c r="BH37" i="27" s="1"/>
  <c r="BH66" i="30"/>
  <c r="BG54" i="27"/>
  <c r="BG35" i="27"/>
  <c r="BG33" i="27" s="1"/>
  <c r="BG112" i="30"/>
  <c r="BG111" i="30" s="1"/>
  <c r="BI112" i="31"/>
  <c r="BI111" i="31" s="1"/>
  <c r="BI36" i="27"/>
  <c r="BH131" i="31"/>
  <c r="BH132" i="31" s="1"/>
  <c r="BH133" i="31" s="1"/>
  <c r="BH78" i="27"/>
  <c r="BH74" i="27" s="1"/>
  <c r="BJ61" i="31"/>
  <c r="BJ59" i="31" s="1"/>
  <c r="BJ55" i="31"/>
  <c r="BP108" i="31"/>
  <c r="BP45" i="31"/>
  <c r="BO98" i="31"/>
  <c r="BF82" i="27" l="1"/>
  <c r="BH58" i="33"/>
  <c r="BH63" i="33"/>
  <c r="BH74" i="33" s="1"/>
  <c r="BH46" i="30"/>
  <c r="BH51" i="30" s="1"/>
  <c r="BI62" i="30"/>
  <c r="BH109" i="30"/>
  <c r="BH107" i="30" s="1"/>
  <c r="BH113" i="30"/>
  <c r="BH52" i="30"/>
  <c r="BH90" i="27"/>
  <c r="BH88" i="27"/>
  <c r="BG55" i="27"/>
  <c r="BG117" i="30"/>
  <c r="BJ40" i="27"/>
  <c r="BJ66" i="31"/>
  <c r="BJ54" i="31"/>
  <c r="BJ68" i="33"/>
  <c r="BJ47" i="31"/>
  <c r="BI117" i="31"/>
  <c r="BO97" i="31"/>
  <c r="BP98" i="31"/>
  <c r="BH83" i="27" l="1"/>
  <c r="BH112" i="30"/>
  <c r="BH111" i="30" s="1"/>
  <c r="BH35" i="27"/>
  <c r="BH33" i="27" s="1"/>
  <c r="BG48" i="27"/>
  <c r="BG130" i="30"/>
  <c r="BG131" i="30" s="1"/>
  <c r="BG132" i="30" s="1"/>
  <c r="BG133" i="30" s="1"/>
  <c r="BI61" i="30"/>
  <c r="BI59" i="30" s="1"/>
  <c r="BI55" i="30"/>
  <c r="BH54" i="27"/>
  <c r="BJ113" i="31"/>
  <c r="BJ109" i="31"/>
  <c r="BJ107" i="31" s="1"/>
  <c r="BJ52" i="31"/>
  <c r="BJ72" i="33"/>
  <c r="BJ67" i="33"/>
  <c r="BK62" i="31"/>
  <c r="BJ46" i="31"/>
  <c r="BJ51" i="31" s="1"/>
  <c r="BI49" i="27"/>
  <c r="BI130" i="31"/>
  <c r="BO51" i="27"/>
  <c r="BO104" i="31"/>
  <c r="BP97" i="31"/>
  <c r="BH55" i="27" l="1"/>
  <c r="BH117" i="30"/>
  <c r="BH48" i="27" s="1"/>
  <c r="BK61" i="31"/>
  <c r="BK59" i="31" s="1"/>
  <c r="BK55" i="31"/>
  <c r="BG69" i="27"/>
  <c r="BG65" i="27" s="1"/>
  <c r="BG94" i="27" s="1"/>
  <c r="BG95" i="27" s="1"/>
  <c r="BG45" i="27"/>
  <c r="BG82" i="27" s="1"/>
  <c r="BI39" i="27"/>
  <c r="BI37" i="27" s="1"/>
  <c r="BI66" i="30"/>
  <c r="BI47" i="30"/>
  <c r="BI54" i="30"/>
  <c r="BI59" i="33"/>
  <c r="BH130" i="30"/>
  <c r="BH131" i="30" s="1"/>
  <c r="BH132" i="30" s="1"/>
  <c r="BH133" i="30" s="1"/>
  <c r="BJ112" i="31"/>
  <c r="BJ111" i="31" s="1"/>
  <c r="BJ36" i="27"/>
  <c r="BK66" i="31"/>
  <c r="BK40" i="27"/>
  <c r="BI78" i="27"/>
  <c r="BI74" i="27" s="1"/>
  <c r="BI131" i="31"/>
  <c r="BI132" i="31" s="1"/>
  <c r="BI133" i="31" s="1"/>
  <c r="CB133" i="31" s="1"/>
  <c r="O45" i="20" s="1"/>
  <c r="CC51" i="27"/>
  <c r="P38" i="34" s="1"/>
  <c r="BP51" i="27"/>
  <c r="BP104" i="31"/>
  <c r="BO106" i="31"/>
  <c r="BK47" i="31" l="1"/>
  <c r="BK68" i="33"/>
  <c r="BK54" i="31"/>
  <c r="BI90" i="27"/>
  <c r="CB90" i="27" s="1"/>
  <c r="BI88" i="27"/>
  <c r="BJ62" i="30"/>
  <c r="BI46" i="30"/>
  <c r="BI51" i="30" s="1"/>
  <c r="BI113" i="30"/>
  <c r="BI109" i="30"/>
  <c r="BI107" i="30" s="1"/>
  <c r="BI52" i="30"/>
  <c r="BI58" i="33"/>
  <c r="BI63" i="33"/>
  <c r="BI74" i="33" s="1"/>
  <c r="CB74" i="33" s="1"/>
  <c r="O197" i="23" s="1"/>
  <c r="BH45" i="27"/>
  <c r="BH69" i="27"/>
  <c r="BH65" i="27" s="1"/>
  <c r="BH94" i="27" s="1"/>
  <c r="BH95" i="27" s="1"/>
  <c r="BK67" i="33"/>
  <c r="BK72" i="33"/>
  <c r="BK109" i="31"/>
  <c r="BK107" i="31" s="1"/>
  <c r="BJ117" i="31"/>
  <c r="P35" i="34"/>
  <c r="W38" i="34"/>
  <c r="BP106" i="31"/>
  <c r="BL62" i="31" l="1"/>
  <c r="BK46" i="31"/>
  <c r="BK51" i="31" s="1"/>
  <c r="BK113" i="31"/>
  <c r="BK52" i="31"/>
  <c r="N33" i="25"/>
  <c r="N38" i="25" s="1"/>
  <c r="V31" i="25"/>
  <c r="BJ61" i="30"/>
  <c r="BJ59" i="30" s="1"/>
  <c r="BJ55" i="30"/>
  <c r="BJ47" i="30" s="1"/>
  <c r="BK62" i="30" s="1"/>
  <c r="BH82" i="27"/>
  <c r="CB88" i="27"/>
  <c r="BI83" i="27"/>
  <c r="CB83" i="27" s="1"/>
  <c r="BJ59" i="33"/>
  <c r="BI54" i="27"/>
  <c r="CB54" i="27" s="1"/>
  <c r="O60" i="34" s="1"/>
  <c r="BI112" i="30"/>
  <c r="BI111" i="30" s="1"/>
  <c r="BI35" i="27"/>
  <c r="BI33" i="27" s="1"/>
  <c r="O68" i="34"/>
  <c r="O97" i="20"/>
  <c r="BK112" i="31"/>
  <c r="BK111" i="31" s="1"/>
  <c r="BK36" i="27"/>
  <c r="BJ130" i="31"/>
  <c r="BJ49" i="27"/>
  <c r="W35" i="34"/>
  <c r="P31" i="34"/>
  <c r="P10" i="34"/>
  <c r="W10" i="34" s="1"/>
  <c r="G26" i="36" s="1"/>
  <c r="BL55" i="31" l="1"/>
  <c r="BL61" i="31"/>
  <c r="BL59" i="31" s="1"/>
  <c r="BJ39" i="27"/>
  <c r="BJ37" i="27" s="1"/>
  <c r="BJ66" i="30"/>
  <c r="BJ46" i="30"/>
  <c r="BJ51" i="30" s="1"/>
  <c r="BJ54" i="30"/>
  <c r="V33" i="25"/>
  <c r="F58" i="36" s="1"/>
  <c r="F88" i="36" s="1"/>
  <c r="F107" i="36" s="1"/>
  <c r="V38" i="25"/>
  <c r="F62" i="36" s="1"/>
  <c r="BJ58" i="33"/>
  <c r="BJ63" i="33"/>
  <c r="BJ74" i="33" s="1"/>
  <c r="BJ90" i="27"/>
  <c r="BJ88" i="27"/>
  <c r="O59" i="34"/>
  <c r="BK61" i="30"/>
  <c r="BK59" i="30" s="1"/>
  <c r="BK55" i="30"/>
  <c r="BI55" i="27"/>
  <c r="CB55" i="27" s="1"/>
  <c r="O72" i="34" s="1"/>
  <c r="O71" i="34" s="1"/>
  <c r="O19" i="34" s="1"/>
  <c r="BI117" i="30"/>
  <c r="BK117" i="31"/>
  <c r="BJ131" i="31"/>
  <c r="BJ132" i="31" s="1"/>
  <c r="BJ133" i="31" s="1"/>
  <c r="BJ78" i="27"/>
  <c r="BJ74" i="27" s="1"/>
  <c r="BL66" i="31"/>
  <c r="BL40" i="27"/>
  <c r="P8" i="34"/>
  <c r="W8" i="34" s="1"/>
  <c r="G24" i="36" s="1"/>
  <c r="P53" i="34"/>
  <c r="W31" i="34"/>
  <c r="BL47" i="31" l="1"/>
  <c r="BL68" i="33"/>
  <c r="BL54" i="31"/>
  <c r="BJ109" i="30"/>
  <c r="BJ107" i="30" s="1"/>
  <c r="BJ52" i="30"/>
  <c r="BJ113" i="30"/>
  <c r="BJ54" i="27"/>
  <c r="BJ112" i="30"/>
  <c r="BJ111" i="30" s="1"/>
  <c r="BJ35" i="27"/>
  <c r="BJ33" i="27" s="1"/>
  <c r="O18" i="34"/>
  <c r="O83" i="34"/>
  <c r="BK39" i="27"/>
  <c r="BK37" i="27" s="1"/>
  <c r="BK66" i="30"/>
  <c r="BK47" i="30"/>
  <c r="BK59" i="33"/>
  <c r="BK54" i="30"/>
  <c r="BI48" i="27"/>
  <c r="BI130" i="30"/>
  <c r="BI131" i="30" s="1"/>
  <c r="BI132" i="30" s="1"/>
  <c r="BI133" i="30" s="1"/>
  <c r="CB133" i="30" s="1"/>
  <c r="O42" i="20" s="1"/>
  <c r="BJ83" i="27"/>
  <c r="BK130" i="31"/>
  <c r="BK131" i="31" s="1"/>
  <c r="BK132" i="31" s="1"/>
  <c r="BK133" i="31" s="1"/>
  <c r="BK49" i="27"/>
  <c r="BK78" i="27" s="1"/>
  <c r="BK74" i="27" s="1"/>
  <c r="P58" i="34"/>
  <c r="W53" i="34"/>
  <c r="P15" i="34"/>
  <c r="W15" i="34" s="1"/>
  <c r="G31" i="36" s="1"/>
  <c r="BL46" i="31" l="1"/>
  <c r="BL51" i="31" s="1"/>
  <c r="BM62" i="31"/>
  <c r="BL72" i="33"/>
  <c r="BL67" i="33"/>
  <c r="BL109" i="31"/>
  <c r="BL107" i="31" s="1"/>
  <c r="BL52" i="31"/>
  <c r="BL113" i="31"/>
  <c r="O85" i="34"/>
  <c r="O87" i="34" s="1"/>
  <c r="O22" i="34"/>
  <c r="O26" i="34" s="1"/>
  <c r="O28" i="34" s="1"/>
  <c r="O35" i="25" s="1"/>
  <c r="BK90" i="27"/>
  <c r="BK88" i="27"/>
  <c r="BL62" i="30"/>
  <c r="BK46" i="30"/>
  <c r="BK51" i="30" s="1"/>
  <c r="BK58" i="33"/>
  <c r="BK63" i="33"/>
  <c r="BK74" i="33" s="1"/>
  <c r="BK52" i="30"/>
  <c r="BK113" i="30"/>
  <c r="BK109" i="30"/>
  <c r="BK107" i="30" s="1"/>
  <c r="BI69" i="27"/>
  <c r="BI65" i="27" s="1"/>
  <c r="BI94" i="27" s="1"/>
  <c r="BI45" i="27"/>
  <c r="BJ55" i="27"/>
  <c r="BJ117" i="30"/>
  <c r="W58" i="34"/>
  <c r="P17" i="34"/>
  <c r="W17" i="34" s="1"/>
  <c r="G33" i="36" s="1"/>
  <c r="BM61" i="31" l="1"/>
  <c r="BM59" i="31" s="1"/>
  <c r="BM55" i="31"/>
  <c r="BL36" i="27"/>
  <c r="BL112" i="31"/>
  <c r="BL111" i="31" s="1"/>
  <c r="BL117" i="31" s="1"/>
  <c r="BI82" i="27"/>
  <c r="O8" i="25"/>
  <c r="O21" i="25" s="1"/>
  <c r="O31" i="25"/>
  <c r="BK35" i="27"/>
  <c r="BK33" i="27" s="1"/>
  <c r="BK112" i="30"/>
  <c r="BK111" i="30" s="1"/>
  <c r="BK54" i="27"/>
  <c r="CB94" i="27"/>
  <c r="BI95" i="27"/>
  <c r="CB95" i="27" s="1"/>
  <c r="O33" i="20" s="1"/>
  <c r="O124" i="20" s="1"/>
  <c r="BJ130" i="30"/>
  <c r="BJ131" i="30" s="1"/>
  <c r="BJ132" i="30" s="1"/>
  <c r="BJ133" i="30" s="1"/>
  <c r="BJ48" i="27"/>
  <c r="BK83" i="27"/>
  <c r="BL61" i="30"/>
  <c r="BL59" i="30" s="1"/>
  <c r="BL55" i="30"/>
  <c r="BM40" i="27"/>
  <c r="BM66" i="31"/>
  <c r="BM54" i="31" l="1"/>
  <c r="BM68" i="33"/>
  <c r="BM47" i="31"/>
  <c r="BK55" i="27"/>
  <c r="BK117" i="30"/>
  <c r="O33" i="25"/>
  <c r="O38" i="25" s="1"/>
  <c r="BK48" i="27"/>
  <c r="BK130" i="30"/>
  <c r="BK131" i="30" s="1"/>
  <c r="BK132" i="30" s="1"/>
  <c r="BK133" i="30" s="1"/>
  <c r="BJ45" i="27"/>
  <c r="BJ69" i="27"/>
  <c r="BJ65" i="27" s="1"/>
  <c r="BJ94" i="27" s="1"/>
  <c r="BJ95" i="27" s="1"/>
  <c r="BL66" i="30"/>
  <c r="BL39" i="27"/>
  <c r="BL37" i="27" s="1"/>
  <c r="BL54" i="30"/>
  <c r="BL59" i="33"/>
  <c r="BL47" i="30"/>
  <c r="BL49" i="27"/>
  <c r="BL78" i="27" s="1"/>
  <c r="BL130" i="31"/>
  <c r="BL131" i="31" s="1"/>
  <c r="BL132" i="31" s="1"/>
  <c r="BM113" i="31" l="1"/>
  <c r="BM109" i="31"/>
  <c r="BM107" i="31" s="1"/>
  <c r="BM52" i="31"/>
  <c r="BM72" i="33"/>
  <c r="BM67" i="33"/>
  <c r="BN62" i="31"/>
  <c r="BM46" i="31"/>
  <c r="BM51" i="31" s="1"/>
  <c r="BJ82" i="27"/>
  <c r="BK45" i="27"/>
  <c r="BK69" i="27"/>
  <c r="BK65" i="27" s="1"/>
  <c r="BK94" i="27" s="1"/>
  <c r="BK95" i="27" s="1"/>
  <c r="BL88" i="27"/>
  <c r="BL90" i="27"/>
  <c r="BL113" i="30"/>
  <c r="BL52" i="30"/>
  <c r="BL109" i="30"/>
  <c r="BL107" i="30" s="1"/>
  <c r="BL54" i="27" s="1"/>
  <c r="BL58" i="33"/>
  <c r="BL63" i="33"/>
  <c r="BL74" i="33" s="1"/>
  <c r="BL46" i="30"/>
  <c r="BL51" i="30" s="1"/>
  <c r="BM62" i="30"/>
  <c r="BM61" i="30" s="1"/>
  <c r="BM59" i="30" s="1"/>
  <c r="BL133" i="31"/>
  <c r="BL74" i="27"/>
  <c r="BM112" i="31" l="1"/>
  <c r="BM111" i="31" s="1"/>
  <c r="BM117" i="31" s="1"/>
  <c r="BM36" i="27"/>
  <c r="BN61" i="31"/>
  <c r="BN55" i="31"/>
  <c r="BM55" i="30"/>
  <c r="BM47" i="30" s="1"/>
  <c r="BK82" i="27"/>
  <c r="BL83" i="27"/>
  <c r="BL35" i="27"/>
  <c r="BL33" i="27" s="1"/>
  <c r="BL112" i="30"/>
  <c r="BL111" i="30" s="1"/>
  <c r="BN62" i="30"/>
  <c r="BM46" i="30"/>
  <c r="BM51" i="30" s="1"/>
  <c r="BM39" i="27"/>
  <c r="BM37" i="27" s="1"/>
  <c r="BM66" i="30"/>
  <c r="BM54" i="30"/>
  <c r="BM49" i="27" l="1"/>
  <c r="BM78" i="27" s="1"/>
  <c r="BM74" i="27" s="1"/>
  <c r="BM130" i="31"/>
  <c r="BN59" i="31"/>
  <c r="BN47" i="31"/>
  <c r="BN54" i="31"/>
  <c r="BN68" i="33"/>
  <c r="BM59" i="33"/>
  <c r="BL55" i="27"/>
  <c r="BL117" i="30"/>
  <c r="BM88" i="27"/>
  <c r="BM90" i="27"/>
  <c r="BM58" i="33"/>
  <c r="BM63" i="33"/>
  <c r="BM74" i="33" s="1"/>
  <c r="BM113" i="30"/>
  <c r="BM109" i="30"/>
  <c r="BM107" i="30" s="1"/>
  <c r="BM54" i="27" s="1"/>
  <c r="BM52" i="30"/>
  <c r="BN61" i="30"/>
  <c r="BN59" i="30" s="1"/>
  <c r="BN55" i="30"/>
  <c r="BN66" i="31" l="1"/>
  <c r="BN40" i="27"/>
  <c r="BN46" i="31"/>
  <c r="BN51" i="31" s="1"/>
  <c r="BO62" i="31"/>
  <c r="BO55" i="31"/>
  <c r="BN109" i="31"/>
  <c r="BN52" i="31"/>
  <c r="BN113" i="31"/>
  <c r="BN72" i="33"/>
  <c r="BN67" i="33"/>
  <c r="BM131" i="31"/>
  <c r="BM132" i="31" s="1"/>
  <c r="BM133" i="31" s="1"/>
  <c r="BL48" i="27"/>
  <c r="BL130" i="30"/>
  <c r="BL131" i="30" s="1"/>
  <c r="BL132" i="30" s="1"/>
  <c r="BL133" i="30" s="1"/>
  <c r="BM112" i="30"/>
  <c r="BM111" i="30" s="1"/>
  <c r="BM35" i="27"/>
  <c r="BM33" i="27" s="1"/>
  <c r="BN39" i="27"/>
  <c r="BN66" i="30"/>
  <c r="BN59" i="33"/>
  <c r="BN54" i="30"/>
  <c r="BN47" i="30"/>
  <c r="BM83" i="27"/>
  <c r="BP62" i="31" l="1"/>
  <c r="BO61" i="31"/>
  <c r="BP55" i="31"/>
  <c r="BO54" i="31"/>
  <c r="BO68" i="33"/>
  <c r="BO47" i="31"/>
  <c r="BN107" i="31"/>
  <c r="BN112" i="31"/>
  <c r="BN36" i="27"/>
  <c r="BN37" i="27"/>
  <c r="BL45" i="27"/>
  <c r="BL69" i="27"/>
  <c r="BL65" i="27" s="1"/>
  <c r="BL94" i="27" s="1"/>
  <c r="BL95" i="27" s="1"/>
  <c r="BM55" i="27"/>
  <c r="BM117" i="30"/>
  <c r="BN88" i="27"/>
  <c r="BN90" i="27"/>
  <c r="BN63" i="33"/>
  <c r="BN58" i="33"/>
  <c r="BN113" i="30"/>
  <c r="BN52" i="30"/>
  <c r="BN109" i="30"/>
  <c r="BN46" i="30"/>
  <c r="BN51" i="30" s="1"/>
  <c r="BO62" i="30"/>
  <c r="BP61" i="31" l="1"/>
  <c r="BO59" i="31"/>
  <c r="BP54" i="31"/>
  <c r="BO52" i="31"/>
  <c r="BO109" i="31"/>
  <c r="BO113" i="31"/>
  <c r="BP113" i="31" s="1"/>
  <c r="BP68" i="33"/>
  <c r="BO72" i="33"/>
  <c r="BP72" i="33" s="1"/>
  <c r="BO67" i="33"/>
  <c r="BP67" i="33" s="1"/>
  <c r="BP47" i="31"/>
  <c r="BP46" i="31" s="1"/>
  <c r="BP51" i="31" s="1"/>
  <c r="BO46" i="31"/>
  <c r="BO51" i="31" s="1"/>
  <c r="BN111" i="31"/>
  <c r="BN117" i="31" s="1"/>
  <c r="BM130" i="30"/>
  <c r="BM131" i="30" s="1"/>
  <c r="BM132" i="30" s="1"/>
  <c r="BM133" i="30" s="1"/>
  <c r="BM48" i="27"/>
  <c r="BN35" i="27"/>
  <c r="BN112" i="30"/>
  <c r="BO61" i="30"/>
  <c r="BP62" i="30"/>
  <c r="BO55" i="30"/>
  <c r="BL82" i="27"/>
  <c r="BN83" i="27"/>
  <c r="BN74" i="33"/>
  <c r="BN107" i="30"/>
  <c r="BP59" i="31" l="1"/>
  <c r="BO40" i="27"/>
  <c r="BP40" i="27" s="1"/>
  <c r="BO66" i="31"/>
  <c r="BP52" i="31"/>
  <c r="I98" i="26" s="1"/>
  <c r="BO36" i="27"/>
  <c r="BP36" i="27" s="1"/>
  <c r="BO112" i="31"/>
  <c r="BP109" i="31"/>
  <c r="BO107" i="31"/>
  <c r="BP107" i="31" s="1"/>
  <c r="BN130" i="31"/>
  <c r="BN49" i="27"/>
  <c r="BM69" i="27"/>
  <c r="BM65" i="27" s="1"/>
  <c r="BM94" i="27" s="1"/>
  <c r="BM95" i="27" s="1"/>
  <c r="BM45" i="27"/>
  <c r="BO59" i="30"/>
  <c r="BP61" i="30"/>
  <c r="BP55" i="30"/>
  <c r="BO54" i="30"/>
  <c r="BO59" i="33"/>
  <c r="BO47" i="30"/>
  <c r="BN54" i="27"/>
  <c r="BN33" i="27"/>
  <c r="BN111" i="30"/>
  <c r="L98" i="26" l="1"/>
  <c r="K98" i="26"/>
  <c r="BP112" i="31"/>
  <c r="BO111" i="31"/>
  <c r="BN131" i="31"/>
  <c r="BN78" i="27"/>
  <c r="BM82" i="27"/>
  <c r="BN55" i="27"/>
  <c r="BN117" i="30"/>
  <c r="BO66" i="30"/>
  <c r="BP59" i="30"/>
  <c r="BO39" i="27"/>
  <c r="BP54" i="30"/>
  <c r="BO52" i="30"/>
  <c r="BO109" i="30"/>
  <c r="BO113" i="30"/>
  <c r="BP113" i="30" s="1"/>
  <c r="BP59" i="33"/>
  <c r="BO58" i="33"/>
  <c r="BP58" i="33" s="1"/>
  <c r="BO63" i="33"/>
  <c r="BO46" i="30"/>
  <c r="BO51" i="30" s="1"/>
  <c r="BP47" i="30"/>
  <c r="BP46" i="30" s="1"/>
  <c r="BP51" i="30" s="1"/>
  <c r="BP111" i="31" l="1"/>
  <c r="BO117" i="31"/>
  <c r="BN132" i="31"/>
  <c r="BN74" i="27"/>
  <c r="BN48" i="27"/>
  <c r="BN130" i="30"/>
  <c r="BO37" i="27"/>
  <c r="BP39" i="27"/>
  <c r="BP52" i="30"/>
  <c r="I76" i="26" s="1"/>
  <c r="BO112" i="30"/>
  <c r="BO35" i="27"/>
  <c r="BP109" i="30"/>
  <c r="BO107" i="30"/>
  <c r="BP63" i="33"/>
  <c r="BO74" i="33"/>
  <c r="BN45" i="27"/>
  <c r="BN69" i="27"/>
  <c r="BN131" i="30"/>
  <c r="BN132" i="30" s="1"/>
  <c r="BN133" i="30" s="1"/>
  <c r="BP117" i="31" l="1"/>
  <c r="BO130" i="31"/>
  <c r="BO49" i="27"/>
  <c r="BN133" i="31"/>
  <c r="BP37" i="27"/>
  <c r="BO90" i="27"/>
  <c r="BO88" i="27"/>
  <c r="L76" i="26"/>
  <c r="K76" i="26"/>
  <c r="I120" i="26"/>
  <c r="BP112" i="30"/>
  <c r="BO111" i="30"/>
  <c r="BP35" i="27"/>
  <c r="BO33" i="27"/>
  <c r="BP33" i="27" s="1"/>
  <c r="BP107" i="30"/>
  <c r="BO54" i="27"/>
  <c r="BP74" i="33"/>
  <c r="CC74" i="33"/>
  <c r="P197" i="23" s="1"/>
  <c r="BN65" i="27"/>
  <c r="BP130" i="31" l="1"/>
  <c r="BO131" i="31"/>
  <c r="BP49" i="27"/>
  <c r="BO78" i="27"/>
  <c r="BN94" i="27"/>
  <c r="BN95" i="27" s="1"/>
  <c r="BN82" i="27"/>
  <c r="BP90" i="27"/>
  <c r="CC90" i="27"/>
  <c r="CC88" i="27"/>
  <c r="BP88" i="27"/>
  <c r="BO83" i="27"/>
  <c r="L120" i="26"/>
  <c r="K120" i="26"/>
  <c r="BP111" i="30"/>
  <c r="BO55" i="27"/>
  <c r="BO117" i="30"/>
  <c r="CC54" i="27"/>
  <c r="P60" i="34" s="1"/>
  <c r="BP54" i="27"/>
  <c r="P97" i="20"/>
  <c r="W97" i="20" s="1"/>
  <c r="P68" i="34"/>
  <c r="W68" i="34" s="1"/>
  <c r="BP78" i="27" l="1"/>
  <c r="BO74" i="27"/>
  <c r="BP74" i="27" s="1"/>
  <c r="BP131" i="31"/>
  <c r="BO132" i="31"/>
  <c r="BP83" i="27"/>
  <c r="I126" i="26" s="1"/>
  <c r="CC83" i="27"/>
  <c r="BP55" i="27"/>
  <c r="CC55" i="27"/>
  <c r="P72" i="34" s="1"/>
  <c r="BP117" i="30"/>
  <c r="BO130" i="30"/>
  <c r="BO48" i="27"/>
  <c r="W60" i="34"/>
  <c r="P59" i="34"/>
  <c r="I125" i="26" l="1"/>
  <c r="BP79" i="27"/>
  <c r="BO133" i="31"/>
  <c r="CC133" i="31" s="1"/>
  <c r="P45" i="20" s="1"/>
  <c r="W45" i="20" s="1"/>
  <c r="BP132" i="31"/>
  <c r="BP133" i="31" s="1"/>
  <c r="W72" i="34"/>
  <c r="P71" i="34"/>
  <c r="BP130" i="30"/>
  <c r="BO131" i="30"/>
  <c r="BO45" i="27"/>
  <c r="BO69" i="27"/>
  <c r="BP48" i="27"/>
  <c r="P18" i="34"/>
  <c r="W18" i="34" s="1"/>
  <c r="G34" i="36" s="1"/>
  <c r="W59" i="34"/>
  <c r="BP131" i="30" l="1"/>
  <c r="BO132" i="30"/>
  <c r="W71" i="34"/>
  <c r="P19" i="34"/>
  <c r="W19" i="34" s="1"/>
  <c r="G35" i="36" s="1"/>
  <c r="P83" i="34"/>
  <c r="BP132" i="30"/>
  <c r="BP133" i="30" s="1"/>
  <c r="BO133" i="30"/>
  <c r="CC133" i="30" s="1"/>
  <c r="P42" i="20" s="1"/>
  <c r="W42" i="20" s="1"/>
  <c r="BP45" i="27"/>
  <c r="BP69" i="27"/>
  <c r="BO65" i="27"/>
  <c r="BO82" i="27" s="1"/>
  <c r="W83" i="34" l="1"/>
  <c r="P85" i="34"/>
  <c r="P22" i="34"/>
  <c r="BO66" i="27"/>
  <c r="BP65" i="27"/>
  <c r="BO94" i="27"/>
  <c r="P87" i="34" l="1"/>
  <c r="W87" i="34" s="1"/>
  <c r="W85" i="34"/>
  <c r="P26" i="34"/>
  <c r="W22" i="34"/>
  <c r="BP82" i="27"/>
  <c r="I124" i="26"/>
  <c r="I122" i="26" s="1"/>
  <c r="BP71" i="27"/>
  <c r="BP94" i="27"/>
  <c r="CC94" i="27"/>
  <c r="BO95" i="27"/>
  <c r="CC95" i="27" s="1"/>
  <c r="P33" i="20" s="1"/>
  <c r="P28" i="34" l="1"/>
  <c r="P35" i="25" s="1"/>
  <c r="W26" i="34"/>
  <c r="W136" i="20"/>
  <c r="C19" i="36" s="1"/>
  <c r="D20" i="41" s="1"/>
  <c r="W130" i="20"/>
  <c r="C13" i="36" s="1"/>
  <c r="D14" i="41" s="1"/>
  <c r="G38" i="36"/>
  <c r="I128" i="26"/>
  <c r="I129" i="26" s="1"/>
  <c r="L122" i="26"/>
  <c r="K122" i="26"/>
  <c r="BP96" i="27"/>
  <c r="BP97" i="27" s="1"/>
  <c r="BP95" i="27"/>
  <c r="W33" i="20"/>
  <c r="P124" i="20"/>
  <c r="W124" i="20" s="1"/>
  <c r="P8" i="25" l="1"/>
  <c r="P31" i="25"/>
  <c r="G40" i="36"/>
  <c r="H8" i="40"/>
  <c r="H11" i="40" s="1"/>
  <c r="H47" i="41" s="1"/>
  <c r="W28" i="34"/>
  <c r="Y42" i="20"/>
  <c r="Y114" i="20"/>
  <c r="Y109" i="20"/>
  <c r="Y39" i="20"/>
  <c r="Y22" i="20"/>
  <c r="Y102" i="20"/>
  <c r="Y55" i="20"/>
  <c r="Y94" i="20"/>
  <c r="Y45" i="20"/>
  <c r="Y36" i="20"/>
  <c r="Y119" i="20"/>
  <c r="Y97" i="20"/>
  <c r="Y63" i="20"/>
  <c r="Y52" i="20"/>
  <c r="Y83" i="20"/>
  <c r="Y87" i="20"/>
  <c r="Y76" i="20"/>
  <c r="Y69" i="20"/>
  <c r="Y30" i="20"/>
  <c r="Y33" i="20"/>
  <c r="W132" i="20" l="1"/>
  <c r="C15" i="36" s="1"/>
  <c r="D16" i="41" s="1"/>
  <c r="G44" i="36"/>
  <c r="W8" i="25"/>
  <c r="P21" i="25"/>
  <c r="W21" i="25" s="1"/>
  <c r="G53" i="36" s="1"/>
  <c r="G80" i="36" s="1"/>
  <c r="G101" i="36" s="1"/>
  <c r="W35" i="25"/>
  <c r="G60" i="36" s="1"/>
  <c r="G42" i="36"/>
  <c r="P33" i="25" l="1"/>
  <c r="P38" i="25" s="1"/>
  <c r="W31" i="25"/>
  <c r="W33" i="25" l="1"/>
  <c r="G58" i="36" s="1"/>
  <c r="G88" i="36" s="1"/>
  <c r="G107" i="36" s="1"/>
  <c r="W38" i="25"/>
  <c r="G62" i="3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77017188781</author>
  </authors>
  <commentList>
    <comment ref="C23" authorId="0" shapeId="0" xr:uid="{00000000-0006-0000-1400-000001000000}">
      <text>
        <r>
          <rPr>
            <b/>
            <sz val="9"/>
            <color indexed="81"/>
            <rFont val="Tahoma"/>
            <family val="2"/>
            <charset val="204"/>
          </rPr>
          <t>расходы на 1 сотруд в месяц, тенге</t>
        </r>
      </text>
    </comment>
    <comment ref="C24" authorId="0" shapeId="0" xr:uid="{00000000-0006-0000-1400-000002000000}">
      <text>
        <r>
          <rPr>
            <b/>
            <sz val="9"/>
            <color indexed="81"/>
            <rFont val="Tahoma"/>
            <family val="2"/>
            <charset val="204"/>
          </rPr>
          <t>стоимость 1 кв м + расходы на помещение, тенге</t>
        </r>
      </text>
    </comment>
    <comment ref="C38" authorId="0" shapeId="0" xr:uid="{00000000-0006-0000-1400-000003000000}">
      <text>
        <r>
          <rPr>
            <b/>
            <sz val="9"/>
            <color indexed="81"/>
            <rFont val="Tahoma"/>
            <family val="2"/>
            <charset val="204"/>
          </rPr>
          <t>средний срок амортизации, мес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A139" authorId="0" shapeId="0" xr:uid="{00000000-0006-0000-1B00-000001000000}">
      <text>
        <r>
          <rPr>
            <sz val="9"/>
            <color indexed="81"/>
            <rFont val="Tahoma"/>
            <family val="2"/>
            <charset val="204"/>
          </rPr>
          <t>Казахстанский фонд гарантирования депозитов</t>
        </r>
      </text>
    </comment>
    <comment ref="A178" authorId="0" shapeId="0" xr:uid="{00000000-0006-0000-1B00-000002000000}">
      <text>
        <r>
          <rPr>
            <sz val="9"/>
            <color indexed="81"/>
            <rFont val="Tahoma"/>
            <family val="2"/>
            <charset val="204"/>
          </rPr>
          <t>себестоимость карты (пластик + персонализация + пин-конверт и пр.)</t>
        </r>
      </text>
    </comment>
    <comment ref="A180" authorId="0" shapeId="0" xr:uid="{00000000-0006-0000-1B00-000003000000}">
      <text>
        <r>
          <rPr>
            <sz val="9"/>
            <color indexed="81"/>
            <rFont val="Tahoma"/>
            <family val="2"/>
            <charset val="204"/>
          </rPr>
          <t>Поддержка банка процессинга и обслудивания карточного бизнеса
Карточная команда
Диспуты
и пр.</t>
        </r>
      </text>
    </comment>
  </commentList>
</comments>
</file>

<file path=xl/sharedStrings.xml><?xml version="1.0" encoding="utf-8"?>
<sst xmlns="http://schemas.openxmlformats.org/spreadsheetml/2006/main" count="7567" uniqueCount="1443">
  <si>
    <t>Билайн</t>
  </si>
  <si>
    <t>неБилайн</t>
  </si>
  <si>
    <t>идентифицированные</t>
  </si>
  <si>
    <t>неидентифицированные</t>
  </si>
  <si>
    <t>Кол-во клиентов Билайн</t>
  </si>
  <si>
    <t>конверсия в кол-во клиентов Билайн</t>
  </si>
  <si>
    <t>конверсия в кол-ве эл кошельков</t>
  </si>
  <si>
    <t>Кол-во активных карт</t>
  </si>
  <si>
    <t>доля активных карт</t>
  </si>
  <si>
    <t>Nano-Lending MAU</t>
  </si>
  <si>
    <t>курс</t>
  </si>
  <si>
    <t>Сред чек, тенге</t>
  </si>
  <si>
    <t>Кол-во платежей на 1 клиента</t>
  </si>
  <si>
    <t>AR, %</t>
  </si>
  <si>
    <t>Кол-во одобренных клиентов</t>
  </si>
  <si>
    <t>Take up, %</t>
  </si>
  <si>
    <t>Кол-во клиентов, согласившихся на кредит</t>
  </si>
  <si>
    <t>Средний чек займа, тенге</t>
  </si>
  <si>
    <t>Nano-Lending</t>
  </si>
  <si>
    <t>База клиентов для внутренних проверок</t>
  </si>
  <si>
    <t>внутренние проверки (конверсия их базы для внутренних проверок)</t>
  </si>
  <si>
    <t>% клиентов, которым будет предоставлен оффер</t>
  </si>
  <si>
    <t>Клиенты, которым отправлен оффер</t>
  </si>
  <si>
    <t>% отклика</t>
  </si>
  <si>
    <t>Оформленные заявки</t>
  </si>
  <si>
    <t>Debit Card</t>
  </si>
  <si>
    <t>4.1.</t>
  </si>
  <si>
    <t>4.2.</t>
  </si>
  <si>
    <t>сред чек, долл</t>
  </si>
  <si>
    <t>Сумма выдачи, тенге</t>
  </si>
  <si>
    <t>Кошельки симпли</t>
  </si>
  <si>
    <t>2.2.1</t>
  </si>
  <si>
    <t>БНПЛ 150</t>
  </si>
  <si>
    <t>БНПЛ 1000</t>
  </si>
  <si>
    <t>Доверительный платеж</t>
  </si>
  <si>
    <t>2</t>
  </si>
  <si>
    <t>Симпли</t>
  </si>
  <si>
    <t>Досссым</t>
  </si>
  <si>
    <t>Симпли? Доссым?</t>
  </si>
  <si>
    <t>симпли</t>
  </si>
  <si>
    <t>1</t>
  </si>
  <si>
    <t>кеш 2000</t>
  </si>
  <si>
    <t>Доссым</t>
  </si>
  <si>
    <t xml:space="preserve">БНПЛ 150 ( только рассрочка, любого мерчанта через QR Каспия) </t>
  </si>
  <si>
    <t xml:space="preserve">БНПЛ 1000 (( только рассрочка, любого мерчанта через QR Каспия) </t>
  </si>
  <si>
    <t xml:space="preserve">лимит кредитной транзакции 30 дол ( включая снятие нал) </t>
  </si>
  <si>
    <t>Кошельки симпли обороты до 330 дол</t>
  </si>
  <si>
    <t>юр лицо</t>
  </si>
  <si>
    <t>механика</t>
  </si>
  <si>
    <t>пределожение- ответ</t>
  </si>
  <si>
    <t>ограничение по обороту и типу транзакции</t>
  </si>
  <si>
    <t xml:space="preserve">отсечения? </t>
  </si>
  <si>
    <t>погашение нанолендинга</t>
  </si>
  <si>
    <t>Механика</t>
  </si>
  <si>
    <t>наличие семейного пакета Билайна с использованием более чем 2 мес</t>
  </si>
  <si>
    <t>установлен лимит 30 дол</t>
  </si>
  <si>
    <t>сколько их?</t>
  </si>
  <si>
    <t>DPD 2-3%</t>
  </si>
  <si>
    <t>DPD на кеше  3%</t>
  </si>
  <si>
    <t xml:space="preserve">снятие кеша как опция через  90 дней ( только транзакции) </t>
  </si>
  <si>
    <t>по внутренним проверкам Билайна ( бесплатные), корпо пакеты, анлимитед, семейный, аванс платеж</t>
  </si>
  <si>
    <t xml:space="preserve">лимит кредитной транзакции 30 дол  в месяц (с обязат закрытием в месяц) </t>
  </si>
  <si>
    <t xml:space="preserve">загрузка  </t>
  </si>
  <si>
    <t>1.1</t>
  </si>
  <si>
    <t>1.2</t>
  </si>
  <si>
    <t xml:space="preserve"> от Доверительный платежа  и от Кошелька</t>
  </si>
  <si>
    <t>от 5 млн</t>
  </si>
  <si>
    <t>от 1.3 млн</t>
  </si>
  <si>
    <t>1.2.1</t>
  </si>
  <si>
    <t>из 30 дол</t>
  </si>
  <si>
    <t>просрочка на 30  дол</t>
  </si>
  <si>
    <t>устанановленный лимит на  6 мес</t>
  </si>
  <si>
    <t>проверки в КБ +все необх запросы</t>
  </si>
  <si>
    <t>согласие клиента</t>
  </si>
  <si>
    <t>установленный лимит</t>
  </si>
  <si>
    <t>отсечение</t>
  </si>
  <si>
    <t>хочешь перейти на следующий стадию дай согласие</t>
  </si>
  <si>
    <t xml:space="preserve">БНПЛ 150   и 1000 ( только рассрочка, любого мерчанта через QR Каспия) </t>
  </si>
  <si>
    <t>от 5000000 клиентов</t>
  </si>
  <si>
    <t xml:space="preserve"> на 150 долл на 3 и 6 мес</t>
  </si>
  <si>
    <t>на 1000 долларов на 3 и 6мес</t>
  </si>
  <si>
    <t xml:space="preserve">37% осталось для двух продуктов </t>
  </si>
  <si>
    <t>увеличение лимита до 2000</t>
  </si>
  <si>
    <t>для 20%</t>
  </si>
  <si>
    <t xml:space="preserve">для30% </t>
  </si>
  <si>
    <t>увеличение лимита   до 1000 дол</t>
  </si>
  <si>
    <t>Пакет 1</t>
  </si>
  <si>
    <t>Пакет 2</t>
  </si>
  <si>
    <t>30 дол</t>
  </si>
  <si>
    <t>Пакет 3</t>
  </si>
  <si>
    <t>из 5 000 000</t>
  </si>
  <si>
    <t>симпли кошелек</t>
  </si>
  <si>
    <t>кошелек  и доверительный плтеж</t>
  </si>
  <si>
    <t>от лица Доссыма</t>
  </si>
  <si>
    <t>кеш 30  и БНПЛ 150 или 1000</t>
  </si>
  <si>
    <t>&gt;</t>
  </si>
  <si>
    <t>клиент</t>
  </si>
  <si>
    <t>курсы</t>
  </si>
  <si>
    <t>чп иванов</t>
  </si>
  <si>
    <t>досым</t>
  </si>
  <si>
    <t>оплата 450 дол</t>
  </si>
  <si>
    <t>курсы 500 дол</t>
  </si>
  <si>
    <t>10 % комисия</t>
  </si>
  <si>
    <t xml:space="preserve">фандиг </t>
  </si>
  <si>
    <t>камиссия и пакеты</t>
  </si>
  <si>
    <t>передает в Доссым ежедневно через инструемнт факторинга и собранные деньги по пакетам и кредитную задолженность</t>
  </si>
  <si>
    <t>стоимость пакета</t>
  </si>
  <si>
    <t>1 мес</t>
  </si>
  <si>
    <t>Выдачи, млн тенге</t>
  </si>
  <si>
    <t>Кредитный портфель, млн тенге</t>
  </si>
  <si>
    <t>% клиентов, которые откликнулись</t>
  </si>
  <si>
    <t>Сумма установленного кредитного лимита, тенге</t>
  </si>
  <si>
    <t>Кол-во клиентов, согласившихся на пакет</t>
  </si>
  <si>
    <t>% клиентов, которые пользуются пакетом</t>
  </si>
  <si>
    <t>Средний чек загрузки лимита, тенге</t>
  </si>
  <si>
    <t>Кол-во клиентов, согласившихся на карту рассрочки</t>
  </si>
  <si>
    <t>Кол-во клиентов, использующих карту (с загрузкой лимита)</t>
  </si>
  <si>
    <t>% клиентов, которые используют карту</t>
  </si>
  <si>
    <t>сред чек лимита на пакет, долл</t>
  </si>
  <si>
    <t>сред чек загрузки лимита, долл</t>
  </si>
  <si>
    <t>2025-2029 г.</t>
  </si>
  <si>
    <r>
      <t xml:space="preserve">Сумма загруженного кредитного лимита, тенге </t>
    </r>
    <r>
      <rPr>
        <sz val="10"/>
        <color rgb="FFFF0000"/>
        <rFont val="Calibri"/>
        <family val="2"/>
        <charset val="204"/>
        <scheme val="minor"/>
      </rPr>
      <t>(это кредитный портфель на дату - по годам не складывать)</t>
    </r>
  </si>
  <si>
    <r>
      <t xml:space="preserve">% загрузки лимита у клиентов, которые используют пакет </t>
    </r>
    <r>
      <rPr>
        <i/>
        <sz val="10"/>
        <color rgb="FFFF0000"/>
        <rFont val="Calibri"/>
        <family val="2"/>
        <charset val="204"/>
        <scheme val="minor"/>
      </rPr>
      <t>(важна в связи с резервами)</t>
    </r>
  </si>
  <si>
    <r>
      <t xml:space="preserve">% загрузки лимита у клиентов, которые используют карту </t>
    </r>
    <r>
      <rPr>
        <i/>
        <sz val="10"/>
        <color rgb="FFFF0000"/>
        <rFont val="Calibri"/>
        <family val="2"/>
        <charset val="204"/>
        <scheme val="minor"/>
      </rPr>
      <t>(важна я связи с резервами)</t>
    </r>
  </si>
  <si>
    <t>Средний чек лимита для пакета, тенге</t>
  </si>
  <si>
    <t>Средний чек лимита для карты, тенге</t>
  </si>
  <si>
    <t>Средний чек лимита для карты, долл</t>
  </si>
  <si>
    <t>Оборот по выдаче, тенге - нужно будет рассчитать</t>
  </si>
  <si>
    <t>Кол-во клиентов, использующих пакет (с загрузкой лимита и оплачивающих пакет)</t>
  </si>
  <si>
    <t>Кредитный портфель, тенге - нужно будет рассчитать</t>
  </si>
  <si>
    <t>тенге</t>
  </si>
  <si>
    <t>USD</t>
  </si>
  <si>
    <t>будет зависеть от среднего срока рассрочки и кэшовой части</t>
  </si>
  <si>
    <t>с учетом среднего срока займа 1 мес (взяла 5% как просрочники и переходящие займы)</t>
  </si>
  <si>
    <t>Количество клиентов с кредитом (от нововведений)</t>
  </si>
  <si>
    <t>2 мес</t>
  </si>
  <si>
    <t>3 мес</t>
  </si>
  <si>
    <t>4 мес</t>
  </si>
  <si>
    <t>5 мес</t>
  </si>
  <si>
    <t>6 мес</t>
  </si>
  <si>
    <t>7 мес</t>
  </si>
  <si>
    <t>8 мес</t>
  </si>
  <si>
    <t>9 мес</t>
  </si>
  <si>
    <t>10 мес</t>
  </si>
  <si>
    <t>11 мес</t>
  </si>
  <si>
    <t>12 мес</t>
  </si>
  <si>
    <t>1 год</t>
  </si>
  <si>
    <t>Погашения</t>
  </si>
  <si>
    <t>Списания</t>
  </si>
  <si>
    <t>Кредитный порфтель</t>
  </si>
  <si>
    <t>Коэффициент погашения</t>
  </si>
  <si>
    <t>2 год</t>
  </si>
  <si>
    <t>3 год</t>
  </si>
  <si>
    <t>4 год</t>
  </si>
  <si>
    <t>5 год</t>
  </si>
  <si>
    <t>сезонность</t>
  </si>
  <si>
    <t>Уровень PD</t>
  </si>
  <si>
    <t>CoR</t>
  </si>
  <si>
    <t>Стоимость ресурсов</t>
  </si>
  <si>
    <t>Процентная ставка</t>
  </si>
  <si>
    <t>млн долл</t>
  </si>
  <si>
    <t>% загрузки лимита у клиентов, которые используют пакет (важна в связи с резервами)</t>
  </si>
  <si>
    <t>Сумма установленного кредитного лимита, млн.тенге</t>
  </si>
  <si>
    <t>Обороты использования лимитов за период, млн тенге</t>
  </si>
  <si>
    <t>Погашение лимита за период, млн тенге</t>
  </si>
  <si>
    <t>Сумма загруженного кредитного лимита, млн тенге (это кредитный портфель на дату - по годам не складывать)</t>
  </si>
  <si>
    <t>Прирост клиентов</t>
  </si>
  <si>
    <t>Сумма установленного Кред лимита (Микрозайм + Карта рассрочки), млн тенге</t>
  </si>
  <si>
    <t>этим цветом выделены ячейки, которые требуют уточнений</t>
  </si>
  <si>
    <t xml:space="preserve"> BNPL 1000 дол Fortebank:Выращиваем клиентов  до 1000 дол</t>
  </si>
  <si>
    <t>Кол-во эл кошельков Simply</t>
  </si>
  <si>
    <t>Выдачи, млн тенге - предварительно, Без Рассрочки</t>
  </si>
  <si>
    <t>Кол-во активных кошельков</t>
  </si>
  <si>
    <t xml:space="preserve">% клиентов после внутренних проверок и отсечений внутри Билайна ( бесплатно) </t>
  </si>
  <si>
    <t>% клиентов,прошедших комплайнес в Банке</t>
  </si>
  <si>
    <t>Клиенты с продуктом</t>
  </si>
  <si>
    <t>Клиенты , которым сделаи оффер в приложении после всех проверок</t>
  </si>
  <si>
    <t xml:space="preserve">Микро Займ по подписке ( 30 дол c возможностью снятия кеша)  </t>
  </si>
  <si>
    <r>
      <t xml:space="preserve">База после внешних , платных проверок ( КБ, доходы, налоги, аресты)   - </t>
    </r>
    <r>
      <rPr>
        <sz val="10"/>
        <color rgb="FFFF0000"/>
        <rFont val="Calibri (Основной текст)"/>
        <charset val="204"/>
      </rPr>
      <t>действует 30 дней</t>
    </r>
  </si>
  <si>
    <t>процесс онбординга???</t>
  </si>
  <si>
    <t>уточнить данные по клеинтам Билайна</t>
  </si>
  <si>
    <t>настаивают , что это все клеиенты</t>
  </si>
  <si>
    <t>База после комплайнеса  в банке</t>
  </si>
  <si>
    <t>% клиентов,после платных проверок</t>
  </si>
  <si>
    <t>Клиенты, прошедшие внут проверки</t>
  </si>
  <si>
    <t>AR, % ( внешнние полатные проверки)</t>
  </si>
  <si>
    <t>Cash Credit Dossym ( от 300 до 2000  дол, от 6 до  60 мес)  - новая клиентская база</t>
  </si>
  <si>
    <t xml:space="preserve">ДОДЕЛАТЬ: </t>
  </si>
  <si>
    <t>1. затраты на идентификацию и онбординг - Оксана</t>
  </si>
  <si>
    <t>2. портфель _ Александр</t>
  </si>
  <si>
    <t xml:space="preserve">3. затраты на коллекш - сколько и в какой момент списываем, стоимость возвращенного доллара ( уточнить у Оксана)  софт и хард, </t>
  </si>
  <si>
    <t>4. резервы - Диана</t>
  </si>
  <si>
    <t>5. стоимость сервиса - предположить</t>
  </si>
  <si>
    <t>6. Пакеты подписки - Марина и Ко</t>
  </si>
  <si>
    <t xml:space="preserve">не будет статитсти Билайна, Нужно выводить в отдельную ветку ( деделасть с Дианой воронку) </t>
  </si>
  <si>
    <t>проверить, это уникальный клиент или это выдача?</t>
  </si>
  <si>
    <t>Карта рассрочки ( BNPL. 150 дол)  новая клиентская база из кошельков Simply</t>
  </si>
  <si>
    <t>Модель Simply</t>
  </si>
  <si>
    <t>Forte</t>
  </si>
  <si>
    <t>Finco</t>
  </si>
  <si>
    <t>Обновление кредитной истории</t>
  </si>
  <si>
    <t>Current Accounts</t>
  </si>
  <si>
    <t>доля клиентов со смартфонами (конверсия в кол-во клиентов Билайн), %</t>
  </si>
  <si>
    <t>доля идентифицированных, %</t>
  </si>
  <si>
    <t>Доля активных кошельков Simply, %</t>
  </si>
  <si>
    <t>Количество активных кошельков Simply</t>
  </si>
  <si>
    <t>Доля активных карт от количество активных кошельков Simply,%</t>
  </si>
  <si>
    <t>Количество активных карт</t>
  </si>
  <si>
    <t>Средний остаток на карте, KZT</t>
  </si>
  <si>
    <t>Ср.остатки на картах, KZT</t>
  </si>
  <si>
    <t>трансф.ставка, % (дв)</t>
  </si>
  <si>
    <t>ср.ставка, %</t>
  </si>
  <si>
    <t>комиссии:</t>
  </si>
  <si>
    <t>снятие наличных</t>
  </si>
  <si>
    <t>переводы (внутри KZ, заграничные)</t>
  </si>
  <si>
    <t>конверсионные</t>
  </si>
  <si>
    <t>добавить UE</t>
  </si>
  <si>
    <t>количество выдач</t>
  </si>
  <si>
    <t>доля кошельков, участвующих в продукте, %</t>
  </si>
  <si>
    <t>количество кошельков, участвующих в продукте, шт</t>
  </si>
  <si>
    <t>Сумма погашений (1 неделя)</t>
  </si>
  <si>
    <t>Cost of risk</t>
  </si>
  <si>
    <t>Резервы</t>
  </si>
  <si>
    <t>Комиссионный доход 1 долл за 1 неделю</t>
  </si>
  <si>
    <t>трансф.ставка, % (1 неделя)</t>
  </si>
  <si>
    <t>аналогично Nano</t>
  </si>
  <si>
    <t>30 долларов за месяц</t>
  </si>
  <si>
    <t>трансф.ставка, % (месяц)</t>
  </si>
  <si>
    <t>ЕИ</t>
  </si>
  <si>
    <t>Отв.исп.</t>
  </si>
  <si>
    <t>шт</t>
  </si>
  <si>
    <t>%</t>
  </si>
  <si>
    <t>Net interest Income</t>
  </si>
  <si>
    <t>Net interest Margin</t>
  </si>
  <si>
    <t>Управленческая прибыль (MTD)</t>
  </si>
  <si>
    <t>Управленческая прибыль (YTD)</t>
  </si>
  <si>
    <t>Net Profit Margin</t>
  </si>
  <si>
    <t>Net Income</t>
  </si>
  <si>
    <t>Дебетовые карты</t>
  </si>
  <si>
    <t>Продукты ForteBank</t>
  </si>
  <si>
    <t>Продукты Finco</t>
  </si>
  <si>
    <t>BNPL 1000 дол Fortebank:Выращиваем клиентов  до 1000 дол</t>
  </si>
  <si>
    <t xml:space="preserve">Микро Займ по подписке </t>
  </si>
  <si>
    <t>Инфляция</t>
  </si>
  <si>
    <t>Параметры</t>
  </si>
  <si>
    <t>чел</t>
  </si>
  <si>
    <t>Остатки на конец периода</t>
  </si>
  <si>
    <t>Ср.остатки на 1 активной карте</t>
  </si>
  <si>
    <t>тыс.тенге</t>
  </si>
  <si>
    <t>Обороты по картам</t>
  </si>
  <si>
    <t>Выдача наличных</t>
  </si>
  <si>
    <t>наша сеть</t>
  </si>
  <si>
    <t>чужая сеть</t>
  </si>
  <si>
    <t>Оплата товаров и услуг</t>
  </si>
  <si>
    <t>Переводы по картам</t>
  </si>
  <si>
    <t>P2P переводы</t>
  </si>
  <si>
    <t>Другие переводы с комиссией (через МПС)</t>
  </si>
  <si>
    <t>Переводы (бесплатные) вне МПС (напр., по номеру телефона, по номеру счета и тд)</t>
  </si>
  <si>
    <t>Платежи</t>
  </si>
  <si>
    <t>Прочие обороты</t>
  </si>
  <si>
    <t>Оборот по всем активным картам</t>
  </si>
  <si>
    <t>Обороты по картам (структура)</t>
  </si>
  <si>
    <t>Комиссионные доходы за обороты (ставки)</t>
  </si>
  <si>
    <t>Остатки</t>
  </si>
  <si>
    <t>Комиссионные доходы за обороты</t>
  </si>
  <si>
    <t>Комиссионные расходы за обороты (ставки)</t>
  </si>
  <si>
    <t>Комиссионные расходы за обороты</t>
  </si>
  <si>
    <t xml:space="preserve">PL </t>
  </si>
  <si>
    <t>валюта</t>
  </si>
  <si>
    <t>Ставка КФГД</t>
  </si>
  <si>
    <t>cashback</t>
  </si>
  <si>
    <t>Курс USD/KZT</t>
  </si>
  <si>
    <t>% ставка на остатки на картах</t>
  </si>
  <si>
    <t>Расходы КФГД</t>
  </si>
  <si>
    <t>Трансфертные доходы</t>
  </si>
  <si>
    <t>Процентные расходы</t>
  </si>
  <si>
    <t>Пакеты</t>
  </si>
  <si>
    <t>Доля пакета "Пакет 1"</t>
  </si>
  <si>
    <t>Доля пакета "Пакет 2"</t>
  </si>
  <si>
    <t>Дебетовые карты (клиенты пакета "Пакет 1")</t>
  </si>
  <si>
    <t>Дебетовые карты (клиенты пакета "Пакет 2")</t>
  </si>
  <si>
    <t>Дебетовые карты (Итого)</t>
  </si>
  <si>
    <t>DC</t>
  </si>
  <si>
    <t>BNPL 1000</t>
  </si>
  <si>
    <t>BNPL 150</t>
  </si>
  <si>
    <t>ML 30</t>
  </si>
  <si>
    <t>NL</t>
  </si>
  <si>
    <t>CCD</t>
  </si>
  <si>
    <t>RCH</t>
  </si>
  <si>
    <t>Recovery credit history</t>
  </si>
  <si>
    <t>Стоимость ежемесячной подписки на "Пакет 1"</t>
  </si>
  <si>
    <t>Стоимость ежемесячной подписки на "Пакет 2"</t>
  </si>
  <si>
    <t>тыс тенге</t>
  </si>
  <si>
    <t>тыс USD</t>
  </si>
  <si>
    <t>Y0</t>
  </si>
  <si>
    <t>Y1Q1</t>
  </si>
  <si>
    <t>Y1Q2</t>
  </si>
  <si>
    <t>Y1Q3</t>
  </si>
  <si>
    <t>Y1Q4</t>
  </si>
  <si>
    <t>H1Y2</t>
  </si>
  <si>
    <t>H2Y2</t>
  </si>
  <si>
    <t>H1Y3</t>
  </si>
  <si>
    <t>H2Y3</t>
  </si>
  <si>
    <t>H1Y4</t>
  </si>
  <si>
    <t>H2Y4</t>
  </si>
  <si>
    <t>H1Y5</t>
  </si>
  <si>
    <t>H2Y5</t>
  </si>
  <si>
    <t>OPEX</t>
  </si>
  <si>
    <t>Y1</t>
  </si>
  <si>
    <t>Y2</t>
  </si>
  <si>
    <t>Y4</t>
  </si>
  <si>
    <t>Y3</t>
  </si>
  <si>
    <t>Y5</t>
  </si>
  <si>
    <t>Комиссия за подписку на "Пакет 1"</t>
  </si>
  <si>
    <t>Комиссия за подписку на "Пакет 2"</t>
  </si>
  <si>
    <t>Комиссия за подписку</t>
  </si>
  <si>
    <t>Микроинвестиции (StarGaze)</t>
  </si>
  <si>
    <t>MI</t>
  </si>
  <si>
    <t>Микроинвестиции</t>
  </si>
  <si>
    <t>SV</t>
  </si>
  <si>
    <t>Депозиты и сбережения</t>
  </si>
  <si>
    <t>Трансфертная ставка по остаткам на картах</t>
  </si>
  <si>
    <t>Форте</t>
  </si>
  <si>
    <t>Simply</t>
  </si>
  <si>
    <t>Обороты с QR - бесплатно (доходов не будет)</t>
  </si>
  <si>
    <t>Interchange с оборотов (оплата товаров и услуг в чужой сети)</t>
  </si>
  <si>
    <t>Прочие комиссии по карте</t>
  </si>
  <si>
    <t>Расходы на привлечение клиента - обсудить !</t>
  </si>
  <si>
    <t>Количество клиентов заказавших пластик</t>
  </si>
  <si>
    <t>Количество клиентов заказавших доставку</t>
  </si>
  <si>
    <t>Количество клиентов экосистемы</t>
  </si>
  <si>
    <t>Количество клиентов экосистемы - пакет "Пакет 1"</t>
  </si>
  <si>
    <t>Количество клиентов экосистемы - пакет "Пакет 2"</t>
  </si>
  <si>
    <t>Доля заказавших доставку пластика</t>
  </si>
  <si>
    <t>Ср.количество карт в 1 заказе</t>
  </si>
  <si>
    <t>Доля клиентов, заказавших пластик (выпуск+перевыпуск)</t>
  </si>
  <si>
    <t>Доля активных карт (пластик + цифра)</t>
  </si>
  <si>
    <t>Эмиссия новых карт (выпуск + перевыпуск)</t>
  </si>
  <si>
    <t>Доля клиентов, имеющих карты (пластик + цифра)</t>
  </si>
  <si>
    <t>Ср.количество карт на 1 клиента (пластик + цифра)</t>
  </si>
  <si>
    <t>Общее количество карт (пластик + цифра)</t>
  </si>
  <si>
    <t>Количество активных карт (пластик + цифра) на конец периода</t>
  </si>
  <si>
    <t>Общее количество клиентов, имеющих карты (пластик + цифра)</t>
  </si>
  <si>
    <t>Эмиссия и доставка пластиковых карт</t>
  </si>
  <si>
    <t>Ср. оборот по 1 активной карте (за месяц)</t>
  </si>
  <si>
    <t>Комиссионные доходы, полученные от МПС</t>
  </si>
  <si>
    <t>Ср.месячный комиссионный доход за обслуживание 1 карты</t>
  </si>
  <si>
    <t>Комиссионные доходы за обслуживание карты</t>
  </si>
  <si>
    <t>Операционные расходы на выпуск и доставку (пластик)</t>
  </si>
  <si>
    <t>Ср.расходы на выпуск 1 карты</t>
  </si>
  <si>
    <t>Ср.расходы на доставку 1 карты</t>
  </si>
  <si>
    <t>Доля пластиковых карт</t>
  </si>
  <si>
    <t>Количество активных виртуальных карт</t>
  </si>
  <si>
    <t>Количество активных пластиковых карт</t>
  </si>
  <si>
    <t>Комиссионный доход за обслуживание 1 карты</t>
  </si>
  <si>
    <t>Расходы на эмиссию</t>
  </si>
  <si>
    <t>Расходы на доставку</t>
  </si>
  <si>
    <t>Ср.OPEX / 1 активную карту</t>
  </si>
  <si>
    <t>Доход за FX</t>
  </si>
  <si>
    <t>Прибыль на 1 активную карту (в год)</t>
  </si>
  <si>
    <t>Прочие ср. месячные комиссии по 1 карте</t>
  </si>
  <si>
    <t>Комиссионные доходы за обслуживание 1 карты</t>
  </si>
  <si>
    <t>Доходы FX ан 1 карту</t>
  </si>
  <si>
    <t>Ср.доход на 1 активную карту</t>
  </si>
  <si>
    <t>Комиссионные доходы от МПС</t>
  </si>
  <si>
    <t>линейка депозитов Forte (тенг и $)</t>
  </si>
  <si>
    <t>Количество карт на конец периода</t>
  </si>
  <si>
    <t>000 USD</t>
  </si>
  <si>
    <t>Подписка на пакеты услуг</t>
  </si>
  <si>
    <t>Finmodel SIMPLY</t>
  </si>
  <si>
    <t>PL продуктов 2024 Act</t>
  </si>
  <si>
    <t>Вклады и сбережения</t>
  </si>
  <si>
    <t>мес</t>
  </si>
  <si>
    <t>Доходы и расходы</t>
  </si>
  <si>
    <t>Cost:Income Ratio (CIR)</t>
  </si>
  <si>
    <t>Количество клиентов</t>
  </si>
  <si>
    <t>Портфель (средние остатки)</t>
  </si>
  <si>
    <t>Количество счетов</t>
  </si>
  <si>
    <t>Количество выданных займов</t>
  </si>
  <si>
    <t>Количество активных клиентов</t>
  </si>
  <si>
    <t>EBITDA Margin</t>
  </si>
  <si>
    <t>Цель</t>
  </si>
  <si>
    <t>Платные подписки на пакеты услуг</t>
  </si>
  <si>
    <t>% от кол-ва клиентов экосистемы</t>
  </si>
  <si>
    <t>Stargaze Finmodel</t>
  </si>
  <si>
    <t>Доля пакета "Freemium"</t>
  </si>
  <si>
    <t>Количество клиентов экосистемы - пакет "Freemium"</t>
  </si>
  <si>
    <t>Дебетовые карты (клиенты пакета "Freemium")</t>
  </si>
  <si>
    <t xml:space="preserve"> из них: доля клиентов Freemium</t>
  </si>
  <si>
    <t xml:space="preserve"> из них: кол-во клиентов Freemium</t>
  </si>
  <si>
    <t>% годовых</t>
  </si>
  <si>
    <t>Остатки (на конец периода)</t>
  </si>
  <si>
    <t>Управленческая прибыль (за период)</t>
  </si>
  <si>
    <t>Количество клиентов экосистемы (на конец периода)</t>
  </si>
  <si>
    <t>unit</t>
  </si>
  <si>
    <t>Количество выдач</t>
  </si>
  <si>
    <t>Ср. сумма выдачи</t>
  </si>
  <si>
    <t>Объем выдач</t>
  </si>
  <si>
    <t>% ставка</t>
  </si>
  <si>
    <t>Cр. срок</t>
  </si>
  <si>
    <t>Портфель</t>
  </si>
  <si>
    <t>% Погашения</t>
  </si>
  <si>
    <t>Погашение</t>
  </si>
  <si>
    <t>Уровень [NPL 90+] в портфеле</t>
  </si>
  <si>
    <t>Средние % ставки портфеля</t>
  </si>
  <si>
    <t>ср. % ставка работающего портфеля на начало месяца</t>
  </si>
  <si>
    <t>ср. % ставка работающего портфеля на конец месяца</t>
  </si>
  <si>
    <t>ср. % ставка фондирования</t>
  </si>
  <si>
    <t>ср. % ставка за кредитный риск (PD)</t>
  </si>
  <si>
    <t>% резервирования</t>
  </si>
  <si>
    <t>% доход</t>
  </si>
  <si>
    <t>Трансфертный расход</t>
  </si>
  <si>
    <t>Провизии  ("-" - создание, "+" - восстановление)</t>
  </si>
  <si>
    <t>COR</t>
  </si>
  <si>
    <t>Risk Adjusted Margin</t>
  </si>
  <si>
    <t>Комиссионный доход</t>
  </si>
  <si>
    <t>Прямые затраты на 1 выдачу</t>
  </si>
  <si>
    <t>Cost of Sales</t>
  </si>
  <si>
    <t>Ср.количество договоров</t>
  </si>
  <si>
    <t>Ср.OPEX / договор</t>
  </si>
  <si>
    <t>Cost Allocation</t>
  </si>
  <si>
    <t>Доля [NPL 0+] в портфеле</t>
  </si>
  <si>
    <t>в т.ч. [NPL 0+] на конец периода</t>
  </si>
  <si>
    <t>Портфель на конец периода</t>
  </si>
  <si>
    <t>Портфель на начало периода</t>
  </si>
  <si>
    <t>в т.ч. [NPL 90+] на конец периода</t>
  </si>
  <si>
    <t>РВПС на начало месяца</t>
  </si>
  <si>
    <t>РВПС на конец месяца</t>
  </si>
  <si>
    <t>РВПС / NPL 0+</t>
  </si>
  <si>
    <t>Средние остатки</t>
  </si>
  <si>
    <t>% комиссионного дохода от выдач</t>
  </si>
  <si>
    <t>Q1</t>
  </si>
  <si>
    <t>Q2</t>
  </si>
  <si>
    <t>Q3</t>
  </si>
  <si>
    <t>Q4</t>
  </si>
  <si>
    <t>H1</t>
  </si>
  <si>
    <t>H2</t>
  </si>
  <si>
    <t>Портфель на конец периода (за вычетом NPL 90+)</t>
  </si>
  <si>
    <r>
      <t>Бизнес кредит для ИП и ТОО (</t>
    </r>
    <r>
      <rPr>
        <b/>
        <sz val="12"/>
        <color rgb="FFFF0000"/>
        <rFont val="Calibri (Основной текст)"/>
        <charset val="204"/>
      </rPr>
      <t xml:space="preserve"> 30% от оборота по маркетплейсу</t>
    </r>
    <r>
      <rPr>
        <b/>
        <sz val="12"/>
        <color theme="1"/>
        <rFont val="Calibri"/>
        <family val="2"/>
        <charset val="204"/>
        <scheme val="minor"/>
      </rPr>
      <t>, от 3 до  48 мес) - расчет по сле 6 мес работы на маркетплейсе</t>
    </r>
  </si>
  <si>
    <r>
      <t>Кредит на развитие бизнеса ТОО (</t>
    </r>
    <r>
      <rPr>
        <b/>
        <sz val="12"/>
        <color rgb="FFFF0000"/>
        <rFont val="Calibri (Основной текст)"/>
        <charset val="204"/>
      </rPr>
      <t xml:space="preserve"> от 1000 до 50 000  </t>
    </r>
    <r>
      <rPr>
        <b/>
        <sz val="12"/>
        <color theme="1"/>
        <rFont val="Calibri"/>
        <family val="2"/>
        <charset val="204"/>
        <scheme val="minor"/>
      </rPr>
      <t>дол, от 3 до  48 мес)</t>
    </r>
  </si>
  <si>
    <t>Кредит ИП ( от 100 до 5000  дол, от 3 до  48 мес)</t>
  </si>
  <si>
    <t>% отклика на оффер</t>
  </si>
  <si>
    <t>Количество откликнувшихся</t>
  </si>
  <si>
    <t>% одобрения после проверок</t>
  </si>
  <si>
    <t>Количество согласованных</t>
  </si>
  <si>
    <t>% выданных</t>
  </si>
  <si>
    <t>Количество выданных</t>
  </si>
  <si>
    <t>Ср. сумма лимита</t>
  </si>
  <si>
    <t>Объем лимитов</t>
  </si>
  <si>
    <t>Портфель на конец периода (за вычетом NPL 0+)</t>
  </si>
  <si>
    <t>% загрузки лимитов</t>
  </si>
  <si>
    <t>Количество ЮЛ-партнеров</t>
  </si>
  <si>
    <t>Количество ФЛ-блогеров (на конец периода)</t>
  </si>
  <si>
    <t>Количество ЮЛ-партнеров на 1 ФЛ-блогера</t>
  </si>
  <si>
    <t>Доля [NPL 90+] в портфеле</t>
  </si>
  <si>
    <t>Ежемесячный оборот 1 ЮЛ-партнера</t>
  </si>
  <si>
    <t>Управленческая прибыль (за период) - КРЕДИТЫ</t>
  </si>
  <si>
    <t>% комиссионного дохода при расчетах ЮЛ (РАСЧЕТЫ)</t>
  </si>
  <si>
    <t>Комиссионный доход (РАСЧЕТЫ)</t>
  </si>
  <si>
    <t>Кредит мерчантам через криейтеров</t>
  </si>
  <si>
    <t>Расчеты мерчантов с криейтерами</t>
  </si>
  <si>
    <t>Остатки мерчантов</t>
  </si>
  <si>
    <t>BNPL комиссии</t>
  </si>
  <si>
    <t>FX</t>
  </si>
  <si>
    <t>Оборот ЮЛ-партнеров</t>
  </si>
  <si>
    <t>Cash Loans Dossym</t>
  </si>
  <si>
    <t>Процентные доходы</t>
  </si>
  <si>
    <t>Микро-лендинг 30</t>
  </si>
  <si>
    <t>Нано-лендинг 5</t>
  </si>
  <si>
    <t>Кредит на восстановление кред.истории</t>
  </si>
  <si>
    <t>Бизнес-кредит (мерчанту)</t>
  </si>
  <si>
    <t>Комиссионные доходы</t>
  </si>
  <si>
    <t>Комиссионные расходы</t>
  </si>
  <si>
    <t>Текущие счета (мерчанты)</t>
  </si>
  <si>
    <t>Привлеченное фондирование</t>
  </si>
  <si>
    <t>Операционные расходы</t>
  </si>
  <si>
    <t>Денежные средства</t>
  </si>
  <si>
    <t>Итого Активы</t>
  </si>
  <si>
    <t>Итого Обязательства</t>
  </si>
  <si>
    <t>Итого Капитал</t>
  </si>
  <si>
    <t>Основные средства и НМА</t>
  </si>
  <si>
    <t>Привлеченный капитал</t>
  </si>
  <si>
    <t>Прибыль</t>
  </si>
  <si>
    <t>РКО</t>
  </si>
  <si>
    <t>Бизнес-карта</t>
  </si>
  <si>
    <t>Бизнес-кредит мерчантам ( от 100 до 50'000  дол, оборачиваемость 12 мес) - БЕЗЗАЛОГОВЫЙ</t>
  </si>
  <si>
    <t>Залоговый бизнес-кредит (до 100 000 USD) - до 48 мес</t>
  </si>
  <si>
    <t>тыс. USD</t>
  </si>
  <si>
    <t>Интернет-эквайринг</t>
  </si>
  <si>
    <t>Количество клиентов (на конец периода)</t>
  </si>
  <si>
    <t>Среднемесячная прибыль на 1 карту</t>
  </si>
  <si>
    <t>Прибыль с 1 займа</t>
  </si>
  <si>
    <t>Прибыль с 1 клиента (месяц)</t>
  </si>
  <si>
    <t>Прибыль с 1 клиента</t>
  </si>
  <si>
    <t>Маржинальность</t>
  </si>
  <si>
    <t>Прибыль (до уплаты налогов)</t>
  </si>
  <si>
    <t>штук</t>
  </si>
  <si>
    <t>Портфель карт</t>
  </si>
  <si>
    <t>Портфель активных карт</t>
  </si>
  <si>
    <t>Остаток на 1 Активную карту</t>
  </si>
  <si>
    <t>доля тенге</t>
  </si>
  <si>
    <t>Остатки на карт-счетах</t>
  </si>
  <si>
    <t>млн тенге</t>
  </si>
  <si>
    <t>сеть банка</t>
  </si>
  <si>
    <t>QR</t>
  </si>
  <si>
    <t>P2P переводы и др переводы через МПС</t>
  </si>
  <si>
    <t>переводы вне систем МПС (по номеру счета, СМП и тд)</t>
  </si>
  <si>
    <t>Платежи и прочее</t>
  </si>
  <si>
    <t>проверка</t>
  </si>
  <si>
    <t>Структура оборота</t>
  </si>
  <si>
    <t>Ставка интерчендж+OIF (доходная)</t>
  </si>
  <si>
    <t>Ставка кэш-бэк</t>
  </si>
  <si>
    <t>Ставка расходов МПС</t>
  </si>
  <si>
    <t>Маржа размещения</t>
  </si>
  <si>
    <t>Маржа привлечения</t>
  </si>
  <si>
    <t>Расходы по КФГД</t>
  </si>
  <si>
    <t>Чистая прицентная маржа</t>
  </si>
  <si>
    <t>Расходы на провизии</t>
  </si>
  <si>
    <t>Чистая процентная маржа с учетом провизий</t>
  </si>
  <si>
    <t>комиссия от суммы выдачи</t>
  </si>
  <si>
    <t>доходы по интерчендж от МПС</t>
  </si>
  <si>
    <t>комиссия за пользование кредитом</t>
  </si>
  <si>
    <t>расходы по МПС</t>
  </si>
  <si>
    <t>расходы на кэш-бэк</t>
  </si>
  <si>
    <t>прочие комиссионные расходы</t>
  </si>
  <si>
    <t>Доходы по операциям с инвалютой</t>
  </si>
  <si>
    <t>Прочие операционные доходы (включая расходы на погашение кредитов)</t>
  </si>
  <si>
    <t>Чистый операционный доход</t>
  </si>
  <si>
    <t>Расходы на ФОТ</t>
  </si>
  <si>
    <t>Расходы АХР</t>
  </si>
  <si>
    <t>расходы на проверку заемщиков</t>
  </si>
  <si>
    <t>расходы на смс (для выдачи займа)</t>
  </si>
  <si>
    <t>расходы на смс (для погашения займа)</t>
  </si>
  <si>
    <t>расходы на биометрию</t>
  </si>
  <si>
    <t>расходы на пластик</t>
  </si>
  <si>
    <t>расходы на доставку карты</t>
  </si>
  <si>
    <t>расходы на рекламу и маркетинг</t>
  </si>
  <si>
    <t>Расходы по амортизации</t>
  </si>
  <si>
    <t>Расходы по налогам (кроме налога на прибыль)</t>
  </si>
  <si>
    <t>Прибыль до налогообложения</t>
  </si>
  <si>
    <t>Расходы на КПН</t>
  </si>
  <si>
    <t>Доходы с юр лиц по комиссиям от рассрочки по карте рассрочки</t>
  </si>
  <si>
    <t xml:space="preserve">в т.ч. Микро Займ по подписке ( 30 дол c возможностью снятия кеша)  </t>
  </si>
  <si>
    <t>в т.ч. Карта рассрочки ( BNPL 150 дол)  новая клиентская база из кошельков Simply - 4 мес</t>
  </si>
  <si>
    <t>в т.ч. Карта рассрочки ( BNPL 1000 дол) - 12 мес</t>
  </si>
  <si>
    <t>в т.ч. Дебетовые карты (план)</t>
  </si>
  <si>
    <t>Finmodel expectations in 2029:</t>
  </si>
  <si>
    <t>CIR &lt; 50%</t>
  </si>
  <si>
    <t>LDR &lt;100% (Deposits fully cover loans)</t>
  </si>
  <si>
    <t>Non-interest income (fees &amp; comms) fully cover OPEX</t>
  </si>
  <si>
    <t>Депозиты</t>
  </si>
  <si>
    <t>РКО и Бизнес-карта</t>
  </si>
  <si>
    <t>Finco?</t>
  </si>
  <si>
    <t>Кол-во продуктов на 1 активного клиента с кредитом</t>
  </si>
  <si>
    <t>итого кол-во клиентов по всем продуктм</t>
  </si>
  <si>
    <t>кол-во клиентов с кэшом в Досым</t>
  </si>
  <si>
    <t>кол-во клиентов с картой рассрочки 1000</t>
  </si>
  <si>
    <t>кол-во клиентов с картой рассрочки 150</t>
  </si>
  <si>
    <t>кол-во клиентов с микрозаймом</t>
  </si>
  <si>
    <t>кол-во клиентов с дебетной картой</t>
  </si>
  <si>
    <t>по Cash Credit Dossym</t>
  </si>
  <si>
    <t>по пакетам</t>
  </si>
  <si>
    <t>Среднее кол-во клиентов</t>
  </si>
  <si>
    <t>Прибыль на 1 активного клиента, долл</t>
  </si>
  <si>
    <t>Прибыль продуктов, млн долл</t>
  </si>
  <si>
    <t>Прибыль по продукту Cash Credit Dossym</t>
  </si>
  <si>
    <t>Операционные расходы по пакетам</t>
  </si>
  <si>
    <t>Пакет "black" (микрозайм + карта рассрочки 150 + дебетная карта) - ЧОД</t>
  </si>
  <si>
    <t>Пакет "white" (микрозайм + карта рассрочки 150 + дебетная карта) - ЧОД</t>
  </si>
  <si>
    <t>Пакет - "freemeum" (микрозайм + дебетная карта) - ЧОД</t>
  </si>
  <si>
    <t>Прибыль продуктов, млн тенге</t>
  </si>
  <si>
    <t>Кол-во активных клиентов с кредитом (Банк + Dossym)</t>
  </si>
  <si>
    <t>Кол-во клиентов с установленным КЛ (Банк)</t>
  </si>
  <si>
    <t>Кредитный портфель, тенге</t>
  </si>
  <si>
    <t>Клиенты, прошедшие внутренние проверки</t>
  </si>
  <si>
    <t>Оборот по выдаче, тенге</t>
  </si>
  <si>
    <t>% загрузки лимита у клиентов, которые используют карту</t>
  </si>
  <si>
    <t>Кол-во клиентов, по которым установлен КЛ</t>
  </si>
  <si>
    <t>% активации</t>
  </si>
  <si>
    <t>Клиенты, согласившиеся на карту - эмиссия за период</t>
  </si>
  <si>
    <t>Take up</t>
  </si>
  <si>
    <t>AR</t>
  </si>
  <si>
    <t>База после комплайнеса в банке</t>
  </si>
  <si>
    <t>База после внутренних проверок</t>
  </si>
  <si>
    <t xml:space="preserve">% загрузки лимита у клиентов, которые используют карту </t>
  </si>
  <si>
    <t xml:space="preserve">% загрузки лимита у клиентов, которые используют пакет </t>
  </si>
  <si>
    <t>% клиентов, которые пользуются займом</t>
  </si>
  <si>
    <t>Клиенты, согласившиеся на карту с лимитом 30 долл - эмиссия за период</t>
  </si>
  <si>
    <t>База клиентов после комплайенса</t>
  </si>
  <si>
    <t>база после внутренних проверок Билайна</t>
  </si>
  <si>
    <t>Кол-во выпущенных карт</t>
  </si>
  <si>
    <t>доля активных эл кошельков Simply</t>
  </si>
  <si>
    <t>Кол-во эл кошельков</t>
  </si>
  <si>
    <t>Расходы на коллекшен (от суммы погашения)</t>
  </si>
  <si>
    <t>Расходы за сервис (от суммы займа)</t>
  </si>
  <si>
    <t>Расходы на погашение - через отделения и кошельки</t>
  </si>
  <si>
    <t>кол-во</t>
  </si>
  <si>
    <t>стоимость</t>
  </si>
  <si>
    <t>СМС о напоминании о погашении + транзакции</t>
  </si>
  <si>
    <t>Стоимость выпуска карты (консультирование, онбординг) - на каждого клиента</t>
  </si>
  <si>
    <t xml:space="preserve">кол-во доставок </t>
  </si>
  <si>
    <t>Стоимость доставки</t>
  </si>
  <si>
    <t>кол-во пластика</t>
  </si>
  <si>
    <t>какая стоимость пластика?</t>
  </si>
  <si>
    <t>Стоимость пластика, эмбосирование</t>
  </si>
  <si>
    <t>цена за выдачу</t>
  </si>
  <si>
    <t>будет ли своя биометрия, чтобы оптимизировать расходы?</t>
  </si>
  <si>
    <t>цена за заявку</t>
  </si>
  <si>
    <t>для выдачи</t>
  </si>
  <si>
    <t>для рассмотрения заявки</t>
  </si>
  <si>
    <t>СМС для установления 1 кред лимита от заявок</t>
  </si>
  <si>
    <t>Расходы на проверку заявок</t>
  </si>
  <si>
    <t>Расходы на маркетинг за заявку</t>
  </si>
  <si>
    <t>Доля покупок в рассрочку через QR</t>
  </si>
  <si>
    <t>формировать провизии на весь лимит или только на сумму займа? - сейчас посчитано только на сумму загруженного КЛ</t>
  </si>
  <si>
    <t>CoR для расчета резервов - карта рассрочки 1000</t>
  </si>
  <si>
    <t>CoR для расчета резервов - карта рассрочки 150</t>
  </si>
  <si>
    <t>CoR для расчета резервов - микрозайм</t>
  </si>
  <si>
    <t>будут ли кэш-бэки???</t>
  </si>
  <si>
    <t>Ставка кэш-бэк для дебетных карт</t>
  </si>
  <si>
    <t>24 мес</t>
  </si>
  <si>
    <t>доля клиентов с рассрочкой</t>
  </si>
  <si>
    <t>доля клиентов с кэш-кредитом</t>
  </si>
  <si>
    <t>% доставки карт от эмиссии с пластиком</t>
  </si>
  <si>
    <t>% эмиссии с пластиком</t>
  </si>
  <si>
    <t>Параметры для моделирования</t>
  </si>
  <si>
    <t>долл</t>
  </si>
  <si>
    <t>Чистый доход на 1 активного клиента за год</t>
  </si>
  <si>
    <t>тыс долл</t>
  </si>
  <si>
    <t>расходы на коллекшен</t>
  </si>
  <si>
    <t>расходы за сервис</t>
  </si>
  <si>
    <t>расходы на погашение займов</t>
  </si>
  <si>
    <t>расходы на смс (для погашения займа и транзакций)</t>
  </si>
  <si>
    <t>Операционные расходы прямые</t>
  </si>
  <si>
    <t>проверка ЧОД</t>
  </si>
  <si>
    <t>Доходы по пакету 2- ой категории</t>
  </si>
  <si>
    <t>Стоимость пакета в месяц</t>
  </si>
  <si>
    <t>ЧОД на 1 клиента по пакету (трансферты, риск, кэш-бэк и тд)</t>
  </si>
  <si>
    <t>ЧОД карта рассрочки 1000</t>
  </si>
  <si>
    <t>ЧОД карта рассрочки 150</t>
  </si>
  <si>
    <t>ЧОД микрозайм 30</t>
  </si>
  <si>
    <t>ЧОД дебетная карта</t>
  </si>
  <si>
    <t>Доходы по пакету 1-ой категории</t>
  </si>
  <si>
    <t>Доходы по пакету - бесплатный</t>
  </si>
  <si>
    <t>Итого ЧОД по всем продуктам</t>
  </si>
  <si>
    <t>карта рассрочки 1000</t>
  </si>
  <si>
    <t>карта рассрочки 150</t>
  </si>
  <si>
    <t>микрозайм 30</t>
  </si>
  <si>
    <t>Кредитный портфель</t>
  </si>
  <si>
    <t>Погашения по займам</t>
  </si>
  <si>
    <t>Выдачи по займам</t>
  </si>
  <si>
    <t>пакет 2й категории (микрозайм + карта рассрочки 1000 + дебетная карта)</t>
  </si>
  <si>
    <t>пакет 1й категории (микрозайм + карта рассрочки 150 + дебетная карта)</t>
  </si>
  <si>
    <t>пакет - бесплатный (микрозайм + дебетная карта)</t>
  </si>
  <si>
    <t>Структура пакетов</t>
  </si>
  <si>
    <t>Кол-во активных пакетов = кол-во карт, которые используют карту</t>
  </si>
  <si>
    <t>Кол-во пакетов = кол-во карт, с установленным КЛ (по микрозайму 30)</t>
  </si>
  <si>
    <t>Закрыто карт (отмирание)</t>
  </si>
  <si>
    <t>% отмирания активированных карт</t>
  </si>
  <si>
    <t>Активировано карт за период</t>
  </si>
  <si>
    <t>Кол-во карт к доставке</t>
  </si>
  <si>
    <t>% доставки карт</t>
  </si>
  <si>
    <t>Эмиссия пластика</t>
  </si>
  <si>
    <t>Клиенты, согласившиеся на карту с лимитом 30 долл - эмиссия</t>
  </si>
  <si>
    <t>База для платных проверок (база после комплаенса)</t>
  </si>
  <si>
    <t>ед изм</t>
  </si>
  <si>
    <t>это ФОТ команды Коллекшен + расходы на АХР?</t>
  </si>
  <si>
    <t>это ФОТ менеджеров по обслуживанию?</t>
  </si>
  <si>
    <t>как клиенты погашают кредиты?</t>
  </si>
  <si>
    <t>СМС о напоминании о погашении</t>
  </si>
  <si>
    <t>при переводе кредитных средств на счета в др.банках - возникает комиссия?</t>
  </si>
  <si>
    <t>комиссия за перевод</t>
  </si>
  <si>
    <t>Деньги переводят на любой счет в любом Банке</t>
  </si>
  <si>
    <t>Расходы на биометрию</t>
  </si>
  <si>
    <t>СМС для выдачи</t>
  </si>
  <si>
    <t>Средняя прибыль на 1 клиента</t>
  </si>
  <si>
    <t>Чистая прибыль</t>
  </si>
  <si>
    <t>Операционные расходы прямые на продукт</t>
  </si>
  <si>
    <t>прочие доходы по займам</t>
  </si>
  <si>
    <t>по страховке (???)</t>
  </si>
  <si>
    <t>Стоимость ресурсов, %</t>
  </si>
  <si>
    <t>сделать постепенное снижение</t>
  </si>
  <si>
    <t>CoR (для расчета резервов)</t>
  </si>
  <si>
    <t>какой уровень PD предполагается?</t>
  </si>
  <si>
    <t>Ставка комиссии, % (от суммы выдачи)</t>
  </si>
  <si>
    <t>Кол-во кредитов</t>
  </si>
  <si>
    <t>Средний КП</t>
  </si>
  <si>
    <t>Кол-во выданных кредитов</t>
  </si>
  <si>
    <t>Кол-во одобренных заявок</t>
  </si>
  <si>
    <t>Стоимость пакета 1 клиента, тенге</t>
  </si>
  <si>
    <t>вывести отдельно средний чек пользования займа</t>
  </si>
  <si>
    <t>Средний чек загрузки лимита к концу месяца, тенге</t>
  </si>
  <si>
    <t>Сумма загруженного кредитного лимита на конец месяца, млн тенге (это кредитный портфель на дату - по годам не складывать)</t>
  </si>
  <si>
    <t>% загрузки лимита у клиентов, которые используют пакет к концу месяца (просрочка + переходящие лимиты)</t>
  </si>
  <si>
    <t>Кол-во клиентов, которые используют карту</t>
  </si>
  <si>
    <t>Портфель карт, по которым установлен КЛ</t>
  </si>
  <si>
    <t>% доставки карт - выставляется на листе Пакет (строка 91)</t>
  </si>
  <si>
    <t>% эмиссии с пластиком - выставляется на листе Пакет (строка 90)</t>
  </si>
  <si>
    <t>по рассрочке</t>
  </si>
  <si>
    <t>по кэш-кредиту</t>
  </si>
  <si>
    <t>Комиссия за пользование кредитом</t>
  </si>
  <si>
    <t>Ставка интерчендж</t>
  </si>
  <si>
    <t>CoR для расчета резервов</t>
  </si>
  <si>
    <t>Трансфертная ставка</t>
  </si>
  <si>
    <t>Комиссия за вывод денежных средств</t>
  </si>
  <si>
    <t>Процентная ставка для кэш-портфеля</t>
  </si>
  <si>
    <t>рассрочка</t>
  </si>
  <si>
    <t>кэш-портфель (на 12 мес)</t>
  </si>
  <si>
    <t>% амортизации портфеля</t>
  </si>
  <si>
    <t>погашения рассрочки</t>
  </si>
  <si>
    <t>погашения по кэш-портфелю</t>
  </si>
  <si>
    <r>
      <t xml:space="preserve">выдачи в рассрочку </t>
    </r>
    <r>
      <rPr>
        <sz val="10"/>
        <color rgb="FFFF0000"/>
        <rFont val="Calibri"/>
        <family val="2"/>
        <charset val="204"/>
        <scheme val="minor"/>
      </rPr>
      <t>- это покупки через POS-терминалы или ecomm (будут доходы интерчендж)???</t>
    </r>
  </si>
  <si>
    <t>выдачи по кэш-портфелю</t>
  </si>
  <si>
    <t>Выдачи:</t>
  </si>
  <si>
    <t>Объем портфеля рассрочки</t>
  </si>
  <si>
    <t>Объем кэш-портфеля</t>
  </si>
  <si>
    <t>Доля портфеля рассрочки</t>
  </si>
  <si>
    <t>Доля кэш-портфеля</t>
  </si>
  <si>
    <t>доля чека загрузки к чеку КЛ</t>
  </si>
  <si>
    <t>Средний чек порфель на активную карту в месяц</t>
  </si>
  <si>
    <t>Объем портфеля на дату</t>
  </si>
  <si>
    <t>% загрузки КЛ</t>
  </si>
  <si>
    <t>кол-во клиентов с рассрочкой</t>
  </si>
  <si>
    <t>кол-во клиентов с кэш-кредитом</t>
  </si>
  <si>
    <t>Доля использованных карт</t>
  </si>
  <si>
    <t>Объем установленного КЛ</t>
  </si>
  <si>
    <t>средний установленный КЛ</t>
  </si>
  <si>
    <t>Эмиссия карт за период</t>
  </si>
  <si>
    <t>кэш-портфель  (на 12 мес)</t>
  </si>
  <si>
    <t>Транфертна ставка по остаткам на картах</t>
  </si>
  <si>
    <t>средний чек оборота на активную карту</t>
  </si>
  <si>
    <t>% активации карт в активные</t>
  </si>
  <si>
    <t>в т.ч. Перевыпуск</t>
  </si>
  <si>
    <t>Эмиссия</t>
  </si>
  <si>
    <t>Доходы с юр лиц по комиссиям от рассрочки по карте рассрочки 150</t>
  </si>
  <si>
    <t>выдачи в рассрочку</t>
  </si>
  <si>
    <t>Обороты по рассрочке по карте рассрочки 1000</t>
  </si>
  <si>
    <t>Доля карт рассрочки 1000 на маркет-плейсе</t>
  </si>
  <si>
    <t>Обороты по рассрочке по карте рассрочки 150</t>
  </si>
  <si>
    <t>Доля карт рассрочки 150 на маркет-плейсе</t>
  </si>
  <si>
    <t>Украшения</t>
  </si>
  <si>
    <t>корм</t>
  </si>
  <si>
    <t>грумминг,вет аптека,аксессуары</t>
  </si>
  <si>
    <t>Товары для животных</t>
  </si>
  <si>
    <t>прочее</t>
  </si>
  <si>
    <t>посуда</t>
  </si>
  <si>
    <t>освещение,сади огород,текстиль</t>
  </si>
  <si>
    <t>Товары для дома и дачи</t>
  </si>
  <si>
    <t>акссесуары</t>
  </si>
  <si>
    <t>телфоны и лр</t>
  </si>
  <si>
    <t>Телефоны и гаджеты</t>
  </si>
  <si>
    <t>аудио</t>
  </si>
  <si>
    <t>Дроны и квадрокоптеры</t>
  </si>
  <si>
    <t>чехлы на аппаратуру</t>
  </si>
  <si>
    <t>ТВ, Аудио, Видео</t>
  </si>
  <si>
    <t>инвентарь</t>
  </si>
  <si>
    <t>баня, сауна</t>
  </si>
  <si>
    <t>Строительство, ремонт</t>
  </si>
  <si>
    <t>Спорт, туризм</t>
  </si>
  <si>
    <t>Продукты питания</t>
  </si>
  <si>
    <t>Подарки, товары для праздников</t>
  </si>
  <si>
    <t>Одежда</t>
  </si>
  <si>
    <t>Обувь</t>
  </si>
  <si>
    <t>Мебель</t>
  </si>
  <si>
    <t>оборудование</t>
  </si>
  <si>
    <t>все услуги косметические</t>
  </si>
  <si>
    <t>Красота и здоровье</t>
  </si>
  <si>
    <t>Аксессуары для ноутбуков</t>
  </si>
  <si>
    <t>комплектующие,оргтехника,планшеты,программное обеспечение,ноутбуки</t>
  </si>
  <si>
    <t>Компьютеры</t>
  </si>
  <si>
    <t>Канцелярские товары</t>
  </si>
  <si>
    <t>музыка,творчество</t>
  </si>
  <si>
    <t>атракционы,игры,книги</t>
  </si>
  <si>
    <t>Досуг, книги</t>
  </si>
  <si>
    <t>игрушки</t>
  </si>
  <si>
    <t>питание</t>
  </si>
  <si>
    <t>Детские товары</t>
  </si>
  <si>
    <t>Бытовая техника</t>
  </si>
  <si>
    <t>оптика</t>
  </si>
  <si>
    <t>лекарства</t>
  </si>
  <si>
    <t>витамины</t>
  </si>
  <si>
    <t>Аптека</t>
  </si>
  <si>
    <t>сумки,чемоданы,часы</t>
  </si>
  <si>
    <t>шапки,очки,свадебные аксессуары,зонты</t>
  </si>
  <si>
    <t>Аксессуары</t>
  </si>
  <si>
    <t>автохимия,аккумуляторы,шины</t>
  </si>
  <si>
    <t>инструменты, освещаение,ГБО</t>
  </si>
  <si>
    <t>Автотовары</t>
  </si>
  <si>
    <t>Доля</t>
  </si>
  <si>
    <t>Комиссия по рассрочке 24</t>
  </si>
  <si>
    <t>Комиссия по рассрочке 12</t>
  </si>
  <si>
    <t>Комиссия по рассрочке 9</t>
  </si>
  <si>
    <t>Комиссия по рассрочке 5</t>
  </si>
  <si>
    <t>Ставки и комиссии по разделам</t>
  </si>
  <si>
    <t>Продукты через криейтеров</t>
  </si>
  <si>
    <t>Восстановление кредитной истории</t>
  </si>
  <si>
    <t>PL (Forte)</t>
  </si>
  <si>
    <t>PL (Finco)</t>
  </si>
  <si>
    <t>PL (Ecosystem)</t>
  </si>
  <si>
    <t>Вклады</t>
  </si>
  <si>
    <t>BS (Ecosystem)</t>
  </si>
  <si>
    <t>BS (Forte)</t>
  </si>
  <si>
    <t>BS (Finco)</t>
  </si>
  <si>
    <t>USD 000</t>
  </si>
  <si>
    <t>usd 000</t>
  </si>
  <si>
    <t>Беззалоговый бизнес-кредит мерчантам</t>
  </si>
  <si>
    <t xml:space="preserve">Залоговый бизнес-кредит </t>
  </si>
  <si>
    <t>Залоговый Бизнес-кредит</t>
  </si>
  <si>
    <t>Чистая процентная маржа</t>
  </si>
  <si>
    <t>тыс usd</t>
  </si>
  <si>
    <t>Пакет (Микро 30 + BNPL 150 + BNPL 1000)</t>
  </si>
  <si>
    <t>Пакет (Деб карта)</t>
  </si>
  <si>
    <t>Пакет (Микро 30 + BNPL 150 + BNPL 1000 + Деб карта)</t>
  </si>
  <si>
    <t>Пакет (Freemeum + White + Black)</t>
  </si>
  <si>
    <t>Факторный анализ для FPA</t>
  </si>
  <si>
    <t>Дебетовые карты Simply</t>
  </si>
  <si>
    <t>Дебетовые карты (Simply)</t>
  </si>
  <si>
    <t>Дебетовые карты (пакеты)</t>
  </si>
  <si>
    <t>ИТОГО OPEX</t>
  </si>
  <si>
    <t>ФОТ по командам</t>
  </si>
  <si>
    <t>Consumer Finance Tribe</t>
  </si>
  <si>
    <t>SME/Business Tribe</t>
  </si>
  <si>
    <t>Core Platform Tribe</t>
  </si>
  <si>
    <t>Processing Center Tribe</t>
  </si>
  <si>
    <t>Risk &amp; Compliance Tribe</t>
  </si>
  <si>
    <t>Marketing Platform</t>
  </si>
  <si>
    <t>BI/Data Engineering</t>
  </si>
  <si>
    <t>Application Support</t>
  </si>
  <si>
    <t>IT Governance &amp; Finance</t>
  </si>
  <si>
    <t xml:space="preserve">IT Risk/Security </t>
  </si>
  <si>
    <t>R&amp;D</t>
  </si>
  <si>
    <t>FINANCE</t>
  </si>
  <si>
    <t>Marketing&amp;produts&amp;CRM</t>
  </si>
  <si>
    <t>Call-center</t>
  </si>
  <si>
    <t>Support staff</t>
  </si>
  <si>
    <t>Management</t>
  </si>
  <si>
    <t>Премии и бонусы</t>
  </si>
  <si>
    <t>Расходы на 1 сотрудника (обучение, канц.товары, бумага, транспорт, связь и тд)</t>
  </si>
  <si>
    <t>Аренда помещения</t>
  </si>
  <si>
    <t>Opex на IT</t>
  </si>
  <si>
    <t>Расходы на лицензии</t>
  </si>
  <si>
    <t>Амортизация капекс</t>
  </si>
  <si>
    <t>Расходы CashCredit_dossym</t>
  </si>
  <si>
    <t>Расходы по пакетам</t>
  </si>
  <si>
    <t>CAPEX</t>
  </si>
  <si>
    <t>Computer for staff</t>
  </si>
  <si>
    <t>строка для расчета амортизации</t>
  </si>
  <si>
    <t>Кол-во сотрудников</t>
  </si>
  <si>
    <t>% сотрудников на удаленке</t>
  </si>
  <si>
    <t>Необходимое кол-во кв метров на чел</t>
  </si>
  <si>
    <t>кв м</t>
  </si>
  <si>
    <t>(без OPEX)</t>
  </si>
  <si>
    <t>Итого прибыль по продуктам</t>
  </si>
  <si>
    <t>Cash Loans Dossym ( от 300 до 10000  дол, от 6 до  60 мес) - ср.срок погашения - 24 мес</t>
  </si>
  <si>
    <t>BNPL через криейтеров</t>
  </si>
  <si>
    <t>Customer base expectations in 2029:</t>
  </si>
  <si>
    <t>Депозит</t>
  </si>
  <si>
    <t>Income tax</t>
  </si>
  <si>
    <t>Net income before tax</t>
  </si>
  <si>
    <t>Operating expenses</t>
  </si>
  <si>
    <t>Net Operating income</t>
  </si>
  <si>
    <t>Interest income</t>
  </si>
  <si>
    <t>Interest expense</t>
  </si>
  <si>
    <t>Fee and comission income</t>
  </si>
  <si>
    <t>Fee and comission expenses</t>
  </si>
  <si>
    <t>Net gains from foreign currenses</t>
  </si>
  <si>
    <t>Other income</t>
  </si>
  <si>
    <t>Transfer expenses</t>
  </si>
  <si>
    <t>Net interest margin</t>
  </si>
  <si>
    <t>contributions to the Kazakhstan Deposit Guarantee Fund</t>
  </si>
  <si>
    <t>interest margin on borrowed funds</t>
  </si>
  <si>
    <t>interest margin on invested funds</t>
  </si>
  <si>
    <t>Net interest margin with credit loss expenses</t>
  </si>
  <si>
    <t>Credit loss expenses</t>
  </si>
  <si>
    <t>Transfer income</t>
  </si>
  <si>
    <t>Active clients with credit</t>
  </si>
  <si>
    <t xml:space="preserve">Client of ecosystem with el.wallet Simply </t>
  </si>
  <si>
    <t>Active clients with credit limit</t>
  </si>
  <si>
    <t>Number of merchants (legal entities and individual entrepreneurs)</t>
  </si>
  <si>
    <t>GAP funding</t>
  </si>
  <si>
    <t>Loans to customers</t>
  </si>
  <si>
    <t>Corporate clients</t>
  </si>
  <si>
    <t>Individuals</t>
  </si>
  <si>
    <t>Current accounts</t>
  </si>
  <si>
    <t>Current accounts and deposites from customers</t>
  </si>
  <si>
    <t>Total assets</t>
  </si>
  <si>
    <t>Total liabilities</t>
  </si>
  <si>
    <t>Loans to individuals</t>
  </si>
  <si>
    <t>Nanolendinf (5)</t>
  </si>
  <si>
    <t>Microlending (30)</t>
  </si>
  <si>
    <t>Cash Loans (Dossym)</t>
  </si>
  <si>
    <t>Retail customers</t>
  </si>
  <si>
    <t>Deposites</t>
  </si>
  <si>
    <t>Debit cards (Simply)</t>
  </si>
  <si>
    <t>Debit Cards (packages)</t>
  </si>
  <si>
    <t>Corporate customers</t>
  </si>
  <si>
    <t>Secure business loan</t>
  </si>
  <si>
    <t xml:space="preserve"> Business loan</t>
  </si>
  <si>
    <t>person</t>
  </si>
  <si>
    <t>Пакет "black" (микрозайм + карта рассрочки 1000 + дебетная карта) - ЧОД</t>
  </si>
  <si>
    <t xml:space="preserve">Кол-во эл кошельков Simply </t>
  </si>
  <si>
    <r>
      <t xml:space="preserve">База после внешних , платных проверок ( КБ, доходы, налоги, аресты)  </t>
    </r>
    <r>
      <rPr>
        <sz val="10"/>
        <rFont val="Calibri"/>
        <family val="2"/>
        <charset val="204"/>
        <scheme val="minor"/>
      </rPr>
      <t xml:space="preserve"> - </t>
    </r>
    <r>
      <rPr>
        <sz val="10"/>
        <rFont val="Calibri (Основной текст)"/>
        <charset val="204"/>
      </rPr>
      <t>действует 30 дней</t>
    </r>
  </si>
  <si>
    <t xml:space="preserve">Сумма загруженного кредитного лимита, тенге </t>
  </si>
  <si>
    <r>
      <t xml:space="preserve">База после внешних , платных проверок ( КБ, доходы, налоги, аресты)   - </t>
    </r>
    <r>
      <rPr>
        <sz val="10"/>
        <rFont val="Calibri (Основной текст)"/>
        <charset val="204"/>
      </rPr>
      <t>действует 30 дней</t>
    </r>
  </si>
  <si>
    <r>
      <t xml:space="preserve">База после внешних , платных проверок ( КБ, доходы, налоги, аресты)   </t>
    </r>
    <r>
      <rPr>
        <sz val="10"/>
        <rFont val="Calibri"/>
        <family val="2"/>
        <charset val="204"/>
        <scheme val="minor"/>
      </rPr>
      <t xml:space="preserve">- </t>
    </r>
    <r>
      <rPr>
        <sz val="10"/>
        <rFont val="Calibri (Основной текст)"/>
        <charset val="204"/>
      </rPr>
      <t>действует 30 дней</t>
    </r>
  </si>
  <si>
    <t>Сумма загруженного кредитного лимита, тенге</t>
  </si>
  <si>
    <t>этим цветом выделены ячейки для ввода</t>
  </si>
  <si>
    <t xml:space="preserve">Расходы на биометрию для 1 кред лимита </t>
  </si>
  <si>
    <t>выдачи в рассрочку - это покупки через POS-терминалы или ecomm</t>
  </si>
  <si>
    <t>Расходы на погашение</t>
  </si>
  <si>
    <t>ИТОГО (комиссии Каспи 2024)</t>
  </si>
  <si>
    <t>ИТОГО на 10% меньше Каспи</t>
  </si>
  <si>
    <t>PROFIT &gt; $100 M</t>
  </si>
  <si>
    <t>check</t>
  </si>
  <si>
    <t>HR Costs</t>
  </si>
  <si>
    <t>Revenue</t>
  </si>
  <si>
    <t>Direct Cost</t>
  </si>
  <si>
    <t>PL KEM</t>
  </si>
  <si>
    <t>DA</t>
  </si>
  <si>
    <t>Profit (Ecosystem + KEM)</t>
  </si>
  <si>
    <t>Net profit (Ecosystem)</t>
  </si>
  <si>
    <t>PL (Ecosystem + KEM)</t>
  </si>
  <si>
    <t xml:space="preserve"> </t>
  </si>
  <si>
    <t>Business clients (merchants)</t>
  </si>
  <si>
    <t>Unsecured Business loan</t>
  </si>
  <si>
    <t>Secured Business loan</t>
  </si>
  <si>
    <t>Active merchants</t>
  </si>
  <si>
    <t>Merchants (legal entities and individual entrepreneurs)</t>
  </si>
  <si>
    <t>Merchants</t>
  </si>
  <si>
    <t>Subscribtion Packages</t>
  </si>
  <si>
    <t>Debit Cards</t>
  </si>
  <si>
    <t>Individuals (consumers)</t>
  </si>
  <si>
    <t>Cash Loans (up to $10,000)</t>
  </si>
  <si>
    <t>BNPL (up to $1,000)</t>
  </si>
  <si>
    <t>BNPL (up to $150)</t>
  </si>
  <si>
    <t>Family Microlending (up to $30)</t>
  </si>
  <si>
    <t>Consumers with active credit</t>
  </si>
  <si>
    <t>Consumers with credit limit</t>
  </si>
  <si>
    <t>Consumers</t>
  </si>
  <si>
    <r>
      <t>Net profit (</t>
    </r>
    <r>
      <rPr>
        <b/>
        <sz val="12"/>
        <color rgb="FF000000"/>
        <rFont val="Outfit"/>
      </rPr>
      <t xml:space="preserve">accumulated result </t>
    </r>
    <r>
      <rPr>
        <sz val="12"/>
        <color rgb="FF000000"/>
        <rFont val="Outfit"/>
      </rPr>
      <t>including previouse periods)</t>
    </r>
  </si>
  <si>
    <t>Net profit</t>
  </si>
  <si>
    <t>interest margin on granted funds</t>
  </si>
  <si>
    <t>Active consumers with credit</t>
  </si>
  <si>
    <t>Active consumers with credit limit</t>
  </si>
  <si>
    <t>Client of ecosystem with e-wallet Simply (after KYC, 80%)</t>
  </si>
  <si>
    <t>E-wallet Simply</t>
  </si>
  <si>
    <t>Net Profit with KEM Impact</t>
  </si>
  <si>
    <t>KEM impact (current P&amp;L + cost saving 20%)</t>
  </si>
  <si>
    <t>Paid Base (Post-Compliance Base)</t>
  </si>
  <si>
    <t>Approved clients</t>
  </si>
  <si>
    <t>Clients who agreed to a card with a limit of $30 - issue cards</t>
  </si>
  <si>
    <t>% emissions with plastic</t>
  </si>
  <si>
    <t>% of responded clients</t>
  </si>
  <si>
    <t>Issuance of plastic cards</t>
  </si>
  <si>
    <t>% of card delivery</t>
  </si>
  <si>
    <t>Cards to be delivered</t>
  </si>
  <si>
    <t>% activation</t>
  </si>
  <si>
    <t>Cards activated during the period</t>
  </si>
  <si>
    <t>% of activated cards closed</t>
  </si>
  <si>
    <t>Сlosed cards</t>
  </si>
  <si>
    <t>Number of packages = number of cards with established CL (for microloan 30)</t>
  </si>
  <si>
    <t>Package - "freemeum" (microloan + debit card)</t>
  </si>
  <si>
    <t>"White" package (microloan + 150 installment card + debit card)</t>
  </si>
  <si>
    <t>"Black" package (microloan + 1000 installment card + debit card)</t>
  </si>
  <si>
    <t>Package structure</t>
  </si>
  <si>
    <t>mln tenge</t>
  </si>
  <si>
    <t>tenge</t>
  </si>
  <si>
    <t>thnd USD</t>
  </si>
  <si>
    <t>Number of active packages = number of cards that use the card</t>
  </si>
  <si>
    <t>Active Packages structure</t>
  </si>
  <si>
    <t>microloan 30</t>
  </si>
  <si>
    <t>Installment card 150</t>
  </si>
  <si>
    <t>Installment card 1000</t>
  </si>
  <si>
    <t>Volume of loans issued</t>
  </si>
  <si>
    <t>Volume of loan repayments</t>
  </si>
  <si>
    <t>Loan portfolio</t>
  </si>
  <si>
    <t>Total Net Operating Income for all products</t>
  </si>
  <si>
    <t>NOI from debit cards</t>
  </si>
  <si>
    <t>NOI from microloan 30</t>
  </si>
  <si>
    <t>NOI from Installment card 150</t>
  </si>
  <si>
    <t>NOI from Installment card 1000</t>
  </si>
  <si>
    <t>Package cost per month</t>
  </si>
  <si>
    <t>NOI per 1 client per package (transfers, risk, cash-back, etc.)</t>
  </si>
  <si>
    <t>Income per package - "freemeum"</t>
  </si>
  <si>
    <t>Income per package - "White"</t>
  </si>
  <si>
    <t>Package - "freemeum" (microloan + debit card) - Net Operating Income</t>
  </si>
  <si>
    <t>"Black" package (microloan + 1000 installment card + debit card) - Net Operating Income</t>
  </si>
  <si>
    <t>Income per package - "Black"</t>
  </si>
  <si>
    <t>Net income per 1 active client per year</t>
  </si>
  <si>
    <t>costs of checking borrowers</t>
  </si>
  <si>
    <t>SMS expenses (for loan issuance)</t>
  </si>
  <si>
    <t>biometrics costs</t>
  </si>
  <si>
    <t>SMS expenses (for loan repayment and transactions)</t>
  </si>
  <si>
    <t>loan repayment expenses</t>
  </si>
  <si>
    <t>service costs</t>
  </si>
  <si>
    <t>collection expenses</t>
  </si>
  <si>
    <t>advertising and marketing expenses</t>
  </si>
  <si>
    <t>plastic costs</t>
  </si>
  <si>
    <t>Card delivery costs</t>
  </si>
  <si>
    <t>Parameters for modeling</t>
  </si>
  <si>
    <t>share of clients with cash loans</t>
  </si>
  <si>
    <t>share of customers with installment payments</t>
  </si>
  <si>
    <t>5 month</t>
  </si>
  <si>
    <t>9 month</t>
  </si>
  <si>
    <t>12 month</t>
  </si>
  <si>
    <t>24 month</t>
  </si>
  <si>
    <t>Cashback rate for debit cards</t>
  </si>
  <si>
    <t>CoR for calculating reserves - microloan</t>
  </si>
  <si>
    <t>CoR for calculating reserves - Installment card 150</t>
  </si>
  <si>
    <t>CoR for calculating reserves - Installment card 1000</t>
  </si>
  <si>
    <t>Share of purchases in installments via QR</t>
  </si>
  <si>
    <t>Marketing Costs Per Application</t>
  </si>
  <si>
    <t>Costs of checking applications</t>
  </si>
  <si>
    <t>SMS to set 1 credit limit from applications</t>
  </si>
  <si>
    <t>price</t>
  </si>
  <si>
    <t>number of sms for application review</t>
  </si>
  <si>
    <t>number of sms to issue</t>
  </si>
  <si>
    <t>Biometrics costs for 1 credit limit</t>
  </si>
  <si>
    <t>price per application</t>
  </si>
  <si>
    <t>price for issue</t>
  </si>
  <si>
    <t>Cost of plastic, embossing</t>
  </si>
  <si>
    <t>amount of plastic</t>
  </si>
  <si>
    <t>Delivery cost</t>
  </si>
  <si>
    <t>number of deliveries</t>
  </si>
  <si>
    <t>Cost of card issuance (consulting, onboarding) - per client</t>
  </si>
  <si>
    <t>SMS about payment reminder + transactions</t>
  </si>
  <si>
    <t>quantity</t>
  </si>
  <si>
    <t>Expenses for repayment - through branches and wallets</t>
  </si>
  <si>
    <t>Service costs (from loan amount)</t>
  </si>
  <si>
    <t>Collection expenses (from the repayment amount)</t>
  </si>
  <si>
    <t>seasonality</t>
  </si>
  <si>
    <t>commission from the amount issued</t>
  </si>
  <si>
    <t>commission for using a loan</t>
  </si>
  <si>
    <t>Interchange income from IPS</t>
  </si>
  <si>
    <t>expenses for international payment systems</t>
  </si>
  <si>
    <t>cashback expenses</t>
  </si>
  <si>
    <t>other commission expenses</t>
  </si>
  <si>
    <t>Payroll expenses</t>
  </si>
  <si>
    <t>administrative and business expenses</t>
  </si>
  <si>
    <t>Depreciation expenses</t>
  </si>
  <si>
    <t>Tax expenses (except income tax)</t>
  </si>
  <si>
    <t>Amount of established credit limit</t>
  </si>
  <si>
    <t>% of customers who use the package</t>
  </si>
  <si>
    <t>% of limit utilisation for clients who use the package by the end of the month (overdue + rolling over limits)</t>
  </si>
  <si>
    <t>Amount of loaded credit limit at the end of the month</t>
  </si>
  <si>
    <t>Average check for loading the limit by the end of the month</t>
  </si>
  <si>
    <t>Turnover of using limits for the period</t>
  </si>
  <si>
    <t>Limit repayment for the period</t>
  </si>
  <si>
    <t>Interest rate</t>
  </si>
  <si>
    <t>Cost of package for 1 client</t>
  </si>
  <si>
    <t>PD level</t>
  </si>
  <si>
    <t>CoR (for calculating reserves)</t>
  </si>
  <si>
    <t>average check of the established credit limit</t>
  </si>
  <si>
    <t>Share of used cards</t>
  </si>
  <si>
    <t>% of credit limit utilization</t>
  </si>
  <si>
    <t>Volume of loan portfolio at the end of the month</t>
  </si>
  <si>
    <t>Average monthly portfolio check for an active card</t>
  </si>
  <si>
    <t>Cash portfolio share</t>
  </si>
  <si>
    <t>Share of installment portfolio</t>
  </si>
  <si>
    <t>ratio of loading check to CL check</t>
  </si>
  <si>
    <t>Volume of Cash loan portfolio</t>
  </si>
  <si>
    <t>Volume of installment portfolio</t>
  </si>
  <si>
    <t>Volume of issues</t>
  </si>
  <si>
    <t>Volume of repayments</t>
  </si>
  <si>
    <t>issuance of loans in installments</t>
  </si>
  <si>
    <t>cash loan issuances</t>
  </si>
  <si>
    <t>cash portfolio repayments</t>
  </si>
  <si>
    <t>installment repayments</t>
  </si>
  <si>
    <t>% portfolio repayment</t>
  </si>
  <si>
    <t>cash portfolio (for 12 months)</t>
  </si>
  <si>
    <t>installment</t>
  </si>
  <si>
    <t>Interest rate for cash portfolio</t>
  </si>
  <si>
    <t>Commission for withdrawal and transfer of credit funds</t>
  </si>
  <si>
    <t>by cash loan</t>
  </si>
  <si>
    <t>by installment</t>
  </si>
  <si>
    <t>CoR for calculating reserves</t>
  </si>
  <si>
    <t>Interchange rate for income</t>
  </si>
  <si>
    <t>Rate of expenses for international payment systems</t>
  </si>
  <si>
    <t>Cashback rate</t>
  </si>
  <si>
    <t>Commission for using credit</t>
  </si>
  <si>
    <t>thnd tenge</t>
  </si>
  <si>
    <t>incl. Reissue</t>
  </si>
  <si>
    <t>Plastic emission</t>
  </si>
  <si>
    <t>Portfolio of cards</t>
  </si>
  <si>
    <t>Portfolio of active cards</t>
  </si>
  <si>
    <t>Balance check for 1 Active card</t>
  </si>
  <si>
    <t>share of tenge</t>
  </si>
  <si>
    <t>Balances on card accounts</t>
  </si>
  <si>
    <t>foreign currency</t>
  </si>
  <si>
    <t>average turnover check on an active card</t>
  </si>
  <si>
    <t>Card turnover</t>
  </si>
  <si>
    <t>Cash withdrawal</t>
  </si>
  <si>
    <t>bank network</t>
  </si>
  <si>
    <t>other's network</t>
  </si>
  <si>
    <t>Payment for goods and services</t>
  </si>
  <si>
    <t>Transfers by cards</t>
  </si>
  <si>
    <t xml:space="preserve">P2P </t>
  </si>
  <si>
    <t>transfers outside the international payment systems (by account number, SMP, etc.)</t>
  </si>
  <si>
    <t>Payments and other</t>
  </si>
  <si>
    <t>Turnover structure</t>
  </si>
  <si>
    <t>Contribution rate to the Kazakhstan Deposit Guarantee Fund</t>
  </si>
  <si>
    <t>Interchange rate + OIF (income)</t>
  </si>
  <si>
    <t>Completed applications</t>
  </si>
  <si>
    <t>Average loan amount check</t>
  </si>
  <si>
    <t>Loans to customers average</t>
  </si>
  <si>
    <t>Number of credits</t>
  </si>
  <si>
    <t>Commission rate, % (of the amount issued)</t>
  </si>
  <si>
    <t>Transfer expenses rate</t>
  </si>
  <si>
    <t>Transfer income rate</t>
  </si>
  <si>
    <t>under insurance (???)</t>
  </si>
  <si>
    <t>other income from loans</t>
  </si>
  <si>
    <t>Average profit per client</t>
  </si>
  <si>
    <t>SMS for issuing loans</t>
  </si>
  <si>
    <t>Money is transferred to any account in any Bank</t>
  </si>
  <si>
    <t>transfer fee</t>
  </si>
  <si>
    <t>SMS about payment reminder</t>
  </si>
  <si>
    <t>Expenses for repayment</t>
  </si>
  <si>
    <t>TOTAL (Kaspi commission 2024)</t>
  </si>
  <si>
    <t>TOTAL 10% less than Kaspi</t>
  </si>
  <si>
    <t>Automotive products</t>
  </si>
  <si>
    <t>tools, lighting, LPG</t>
  </si>
  <si>
    <t>automotive chemicals, batteries, tires</t>
  </si>
  <si>
    <t>Accessories</t>
  </si>
  <si>
    <t>hats, glasses, wedding accessories, umbrellas</t>
  </si>
  <si>
    <t>bags, suitcases, watches</t>
  </si>
  <si>
    <t>Drugstore</t>
  </si>
  <si>
    <t>vitamins</t>
  </si>
  <si>
    <t>medicines</t>
  </si>
  <si>
    <t>optics</t>
  </si>
  <si>
    <t>Household appliances</t>
  </si>
  <si>
    <t>Children's products</t>
  </si>
  <si>
    <t>food</t>
  </si>
  <si>
    <t>toys</t>
  </si>
  <si>
    <t>Leisure, books</t>
  </si>
  <si>
    <t>attractions, games, books</t>
  </si>
  <si>
    <t>music, creativity</t>
  </si>
  <si>
    <t>Office supplies</t>
  </si>
  <si>
    <t>Computers</t>
  </si>
  <si>
    <t>components, office equipment, tablets, software, laptops</t>
  </si>
  <si>
    <t>Accessories for laptops</t>
  </si>
  <si>
    <t>Beauty and health</t>
  </si>
  <si>
    <t>all cosmetic services</t>
  </si>
  <si>
    <t>equipment</t>
  </si>
  <si>
    <t>Furniture</t>
  </si>
  <si>
    <t>Footwear</t>
  </si>
  <si>
    <t>Clothing</t>
  </si>
  <si>
    <t>Gifts, holiday products</t>
  </si>
  <si>
    <t>Food</t>
  </si>
  <si>
    <t>Sports, tourism</t>
  </si>
  <si>
    <t>Construction, repair</t>
  </si>
  <si>
    <t>bath, sauna</t>
  </si>
  <si>
    <t>TV, Audio, Video</t>
  </si>
  <si>
    <t>equipment covers</t>
  </si>
  <si>
    <t>Drones and quadcopters</t>
  </si>
  <si>
    <t>audio</t>
  </si>
  <si>
    <t>Phones and gadgets</t>
  </si>
  <si>
    <t>phones and lr</t>
  </si>
  <si>
    <t>accessories</t>
  </si>
  <si>
    <t>Goods for home and garden</t>
  </si>
  <si>
    <t>lighting, gardening, textiles</t>
  </si>
  <si>
    <t>dishes</t>
  </si>
  <si>
    <t>other</t>
  </si>
  <si>
    <t>Goods for animals</t>
  </si>
  <si>
    <t>grooming, vet pharmacy, accessories</t>
  </si>
  <si>
    <t>Jewelry</t>
  </si>
  <si>
    <t>Share of installment cards 150 on the marketplace</t>
  </si>
  <si>
    <t>Income from legal entities on commissions from installment card 150</t>
  </si>
  <si>
    <t>TOTAL Income from legal entities on commissions from installment cards</t>
  </si>
  <si>
    <t>Income from legal entities on commissions from installment card 1000</t>
  </si>
  <si>
    <t>Share of installment cards 1000 on the marketplace</t>
  </si>
  <si>
    <t>Beeline clients</t>
  </si>
  <si>
    <t>e-Wallet Simply</t>
  </si>
  <si>
    <t>identified</t>
  </si>
  <si>
    <t>unidentified</t>
  </si>
  <si>
    <t>conversion in Beeline clients</t>
  </si>
  <si>
    <t>not Beeline</t>
  </si>
  <si>
    <t>e-Wallet</t>
  </si>
  <si>
    <t>Сards with established Credit Limit</t>
  </si>
  <si>
    <t>Сlients using the card</t>
  </si>
  <si>
    <t>Microloan 30 USD</t>
  </si>
  <si>
    <t>% of clients after internal checks and cuts within Beeline (free)</t>
  </si>
  <si>
    <t>base after internal checks of Beeline</t>
  </si>
  <si>
    <t>% of clients who have passed compliance at the Bank</t>
  </si>
  <si>
    <t>Сlients using the card (with limit loading and paying for the package)</t>
  </si>
  <si>
    <t>Average check for loading the limit by the end of the month, USD</t>
  </si>
  <si>
    <t>Average check for loading the limit by the end of the month, tenge</t>
  </si>
  <si>
    <t>Amount of established credit limit, tenge</t>
  </si>
  <si>
    <t>Amount of loaded credit limit at the end of the month, tenge</t>
  </si>
  <si>
    <t>Turnover of using limits for the period, tenge</t>
  </si>
  <si>
    <t xml:space="preserve">Карта рассрочки </t>
  </si>
  <si>
    <t xml:space="preserve">Карта рассрочки ( BNPL. 150 дол) </t>
  </si>
  <si>
    <t>Installment card</t>
  </si>
  <si>
    <t xml:space="preserve">Installment card ( BNPL. 150 дол)  </t>
  </si>
  <si>
    <t xml:space="preserve">Карта рассрочки (BNPL 1000 дол) </t>
  </si>
  <si>
    <t xml:space="preserve">Installment card ( BNPL. 1000 дол)  </t>
  </si>
  <si>
    <t>Cash Credit Dossym (from 300 to 2000 USD, from 6 to 60 months) - new client base</t>
  </si>
  <si>
    <t>Cards with established Credit Limit</t>
  </si>
  <si>
    <t>Clients using the card</t>
  </si>
  <si>
    <t>Volume of installed Credit limit</t>
  </si>
  <si>
    <t>average check of the established credit limit, tenge</t>
  </si>
  <si>
    <t>average check of the established credit limit, USD</t>
  </si>
  <si>
    <t>Clients with established Credit Limit (Bank)</t>
  </si>
  <si>
    <t>Amount of the established Credit limit (Microloan + Installment Card), mln tenge</t>
  </si>
  <si>
    <t>Active clients with credit (Bank + Dossym)</t>
  </si>
  <si>
    <t>Loans to customers, mln tenge</t>
  </si>
  <si>
    <t>Issues, mln tenge</t>
  </si>
  <si>
    <t>Approved applications</t>
  </si>
  <si>
    <t>Issued loans</t>
  </si>
  <si>
    <t>Write-offs</t>
  </si>
  <si>
    <t>Clients for internal audits</t>
  </si>
  <si>
    <t>% of clients who will be provided with an offer</t>
  </si>
  <si>
    <t>% response</t>
  </si>
  <si>
    <t>Clients who received an offer</t>
  </si>
  <si>
    <t>Average loan amount check, tenge</t>
  </si>
  <si>
    <t>Average loan amount check, usd</t>
  </si>
  <si>
    <t>Volume of issues, tenge</t>
  </si>
  <si>
    <t>Loans to customers, tenge</t>
  </si>
  <si>
    <t>Profit of products, mln tenge</t>
  </si>
  <si>
    <t>"White" package (microloan + 1000 installment card + debit card) - Net Operating Income</t>
  </si>
  <si>
    <t>Direct operating costs for packages</t>
  </si>
  <si>
    <t>Profit of Cash Credit Dossym</t>
  </si>
  <si>
    <t>Profit of products, mln USD</t>
  </si>
  <si>
    <t>Profit per 1 active client, USD</t>
  </si>
  <si>
    <t>Active clients with credit (Bank + Dossym) - average</t>
  </si>
  <si>
    <t>by packages</t>
  </si>
  <si>
    <t>by Cash Credit Dossym</t>
  </si>
  <si>
    <t>indiv</t>
  </si>
  <si>
    <t>sq m</t>
  </si>
  <si>
    <t>Payroll expenses by teams</t>
  </si>
  <si>
    <t>Expenses per employee (training, office supplies, paper, transport, communications, etc.)</t>
  </si>
  <si>
    <t>Rental of premises</t>
  </si>
  <si>
    <t>License costs</t>
  </si>
  <si>
    <t>CashCredit_dossym operating expenses</t>
  </si>
  <si>
    <t>line for calculating depreciation</t>
  </si>
  <si>
    <t>Number of employees</t>
  </si>
  <si>
    <t>% of employees working remotely</t>
  </si>
  <si>
    <t>Required number of square meters per person</t>
  </si>
  <si>
    <t>Awards and bonuses</t>
  </si>
  <si>
    <t>TOTAL Operating expenses</t>
  </si>
  <si>
    <t>IT expenses</t>
  </si>
  <si>
    <t>clients with cash loans</t>
  </si>
  <si>
    <t>customers with installment payments</t>
  </si>
  <si>
    <t>Cards issue</t>
  </si>
  <si>
    <t>Goals</t>
  </si>
  <si>
    <t xml:space="preserve">
The clients of Beeline</t>
  </si>
  <si>
    <t>El. Wallet Simply</t>
  </si>
  <si>
    <t>Funnel</t>
  </si>
  <si>
    <t>Customers and Simply wallets</t>
  </si>
  <si>
    <t>The growth rate of Beeline's customer base (year-on-year, YoY)</t>
  </si>
  <si>
    <t>The share of customers with smartphones (conversion to the number of Beeline customers), %</t>
  </si>
  <si>
    <t>The number of Simply e-wallets</t>
  </si>
  <si>
    <t>Beeline</t>
  </si>
  <si>
    <t>The share of identified customers</t>
  </si>
  <si>
    <t>Identified</t>
  </si>
  <si>
    <t>Non-Identified</t>
  </si>
  <si>
    <t>Non-Beeline</t>
  </si>
  <si>
    <t>Customer base growth rate (year-on-year, YoY)</t>
  </si>
  <si>
    <t>The share of active Simply wallets</t>
  </si>
  <si>
    <t>Active Simply wallets</t>
  </si>
  <si>
    <t xml:space="preserve">
The share of Auto AML passed (from active Simply wallets)</t>
  </si>
  <si>
    <t>Individual entrepreneurs (IE)</t>
  </si>
  <si>
    <t>Legal entities (LE)</t>
  </si>
  <si>
    <t>Deposits</t>
  </si>
  <si>
    <t>Deposits (Total)</t>
  </si>
  <si>
    <t>The share of ecosystem clients with accounts (at the end of the period)</t>
  </si>
  <si>
    <t>The total number of accounts (at the end of the period)</t>
  </si>
  <si>
    <t>Balances (at the end of the period)</t>
  </si>
  <si>
    <t>KZT 000</t>
  </si>
  <si>
    <t>Average balances</t>
  </si>
  <si>
    <t xml:space="preserve">
Interest expense</t>
  </si>
  <si>
    <t xml:space="preserve">
Transfer income</t>
  </si>
  <si>
    <t>Contributions (KFDG)</t>
  </si>
  <si>
    <t>Profit (for the period)</t>
  </si>
  <si>
    <t>Profit margin</t>
  </si>
  <si>
    <t>Deposits and savings (clients of the "Freemium" package)</t>
  </si>
  <si>
    <t>The share of clients with accounts</t>
  </si>
  <si>
    <t>The average number of accounts per client</t>
  </si>
  <si>
    <t>KZT</t>
  </si>
  <si>
    <t>Foreign currency</t>
  </si>
  <si>
    <t xml:space="preserve">
The total number of accounts (at the end of the period)</t>
  </si>
  <si>
    <t>Balances per account (at the end of the period)</t>
  </si>
  <si>
    <t xml:space="preserve">
Balances (at the end of the period)</t>
  </si>
  <si>
    <t>Average balances for the period</t>
  </si>
  <si>
    <t>Average term</t>
  </si>
  <si>
    <t>Months</t>
  </si>
  <si>
    <t>KFDG rate</t>
  </si>
  <si>
    <t xml:space="preserve">
Average interest rate</t>
  </si>
  <si>
    <t>Average transfer rate</t>
  </si>
  <si>
    <t>PL</t>
  </si>
  <si>
    <t>Contributions to KFGD</t>
  </si>
  <si>
    <t>Avg.OPEX / 1 счет</t>
  </si>
  <si>
    <t>Profit (YTD)</t>
  </si>
  <si>
    <t>Deposits and savings (clients of the "Package 1" plan)</t>
  </si>
  <si>
    <t>Deposits and savings (clients of the "Package 2" plan)</t>
  </si>
  <si>
    <t>Business loan to merchants (from $100 to $50,000, 12-month turnover) - UNSECURED</t>
  </si>
  <si>
    <t>Ecosystem clients (at the end of the period)</t>
  </si>
  <si>
    <t>Ecosystem clients with accounts (at the end of the period)</t>
  </si>
  <si>
    <t>Ecosystem clients (individuals)</t>
  </si>
  <si>
    <t>Merchants, including:</t>
  </si>
  <si>
    <t>Offer response rate (%)</t>
  </si>
  <si>
    <t>Respondents</t>
  </si>
  <si>
    <t>Approved  clients</t>
  </si>
  <si>
    <t>Loans issued</t>
  </si>
  <si>
    <t>Average limit amount</t>
  </si>
  <si>
    <t xml:space="preserve">
Total limit volume</t>
  </si>
  <si>
    <t>Limit utilization rate</t>
  </si>
  <si>
    <t xml:space="preserve">
Average term</t>
  </si>
  <si>
    <t>Ecosystem clients - "Freemium" package</t>
  </si>
  <si>
    <t>Clients</t>
  </si>
  <si>
    <t>Ecosystem clients - "Package 1" plan</t>
  </si>
  <si>
    <t>Ecosystem clients - "Package 2" plan</t>
  </si>
  <si>
    <t>Portfolio</t>
  </si>
  <si>
    <t>NPL 0+ EoP</t>
  </si>
  <si>
    <t>The share of NPL 0+</t>
  </si>
  <si>
    <t>Loan portfolio EoP</t>
  </si>
  <si>
    <t>Loan portfolio BoP</t>
  </si>
  <si>
    <t>Loan portfolio EoP (excluding NPL 0+)</t>
  </si>
  <si>
    <t>Avg Loan portfolio</t>
  </si>
  <si>
    <t>Avg IR BoP</t>
  </si>
  <si>
    <t>Avg IR EoP</t>
  </si>
  <si>
    <t>Transfer Rate</t>
  </si>
  <si>
    <t>LLP BoP</t>
  </si>
  <si>
    <t>Rates</t>
  </si>
  <si>
    <t>LLP</t>
  </si>
  <si>
    <t>LLP EoP</t>
  </si>
  <si>
    <t>Cover NPL 0+</t>
  </si>
  <si>
    <t>Provision rate</t>
  </si>
  <si>
    <t>Direct costs of issuance</t>
  </si>
  <si>
    <t>Active loans</t>
  </si>
  <si>
    <t>Profit</t>
  </si>
  <si>
    <t>Profit Margin</t>
  </si>
  <si>
    <t>Average loan amount</t>
  </si>
  <si>
    <t>Repayments</t>
  </si>
  <si>
    <t>% Repayments</t>
  </si>
  <si>
    <t>The share of NPL 90+</t>
  </si>
  <si>
    <t>NPL 90+ EoP</t>
  </si>
  <si>
    <t>Loan portfolio EoP (excluding NPL 90+)</t>
  </si>
  <si>
    <t>Secured business loan (up to 100,000 USD) - up to 48 months</t>
  </si>
  <si>
    <t>Currency</t>
  </si>
  <si>
    <t>Account balances</t>
  </si>
  <si>
    <t>Avg balances / 1 account EoP</t>
  </si>
  <si>
    <t>Account balances EoP</t>
  </si>
  <si>
    <t>Avg Account balances EoP</t>
  </si>
  <si>
    <t>KFGD Rates</t>
  </si>
  <si>
    <t>IR</t>
  </si>
  <si>
    <t>Transfer rate</t>
  </si>
  <si>
    <t>contributions to KFGD</t>
  </si>
  <si>
    <t>Avg OPEX / contract</t>
  </si>
  <si>
    <t>Avg OPEX / account</t>
  </si>
  <si>
    <t>Business accounts</t>
  </si>
  <si>
    <t>Active clients</t>
  </si>
  <si>
    <t>Avg monthly fee</t>
  </si>
  <si>
    <t>Turnover</t>
  </si>
  <si>
    <t>Acquiring commission fee</t>
  </si>
  <si>
    <t>Commission to the provider</t>
  </si>
  <si>
    <t>Сlients with a foreign currency account</t>
  </si>
  <si>
    <t>Avg monthly foreign currency purchase turnover / client</t>
  </si>
  <si>
    <t>Avg turnover for foreign currency purchases</t>
  </si>
  <si>
    <t>Commission for currency purchase (% of turnover)</t>
  </si>
  <si>
    <t>Commission for sending transfers (% of turnover)</t>
  </si>
  <si>
    <t>Commission income</t>
  </si>
  <si>
    <t>BNPL Commission income</t>
  </si>
  <si>
    <t>Business cards</t>
  </si>
  <si>
    <t>Clients with a business card</t>
  </si>
  <si>
    <t>clients using the package</t>
  </si>
  <si>
    <t>Active cards</t>
  </si>
  <si>
    <t>tenge %</t>
  </si>
  <si>
    <t>Сlients with deposits</t>
  </si>
  <si>
    <t>Accounts (at the end of the period)</t>
  </si>
  <si>
    <t>Avg Balance per account (at the end of the period)</t>
  </si>
  <si>
    <t>Avg Balances EoP</t>
  </si>
  <si>
    <t>Avg deposits / 1 clients</t>
  </si>
  <si>
    <t>Avg Balance per deposits EOP</t>
  </si>
  <si>
    <t>Avg.OPEX / 1 deposits</t>
  </si>
  <si>
    <t>Internet acquiring</t>
  </si>
  <si>
    <t>Cash</t>
  </si>
  <si>
    <t>Fixed assets and intangible assets</t>
  </si>
  <si>
    <t>Balance sheet</t>
  </si>
  <si>
    <t>Funding</t>
  </si>
  <si>
    <t>Profit (loss)</t>
  </si>
  <si>
    <t>Profit and loss</t>
  </si>
  <si>
    <t>Net income before tax (Ecosystem)</t>
  </si>
  <si>
    <t>Net income before tax (Ecosystem + KEM)</t>
  </si>
  <si>
    <t>HR cost savings due to team consolidation (economies of scale)</t>
  </si>
  <si>
    <t>HR cost savings due to team consolidation</t>
  </si>
  <si>
    <t>OPEX  taking into account HR cost savings</t>
  </si>
  <si>
    <t>EBITDA  taking into account HR cost savings</t>
  </si>
  <si>
    <t>EBIT  taking into account HR cost savings</t>
  </si>
  <si>
    <t>EBIT  taking into account HR cost savings (KEM)</t>
  </si>
  <si>
    <t>Source: "факторный анализ для FPA.xls"</t>
  </si>
  <si>
    <t>Assessment of the impact of KEM on profit</t>
  </si>
  <si>
    <t>Translation and summary of the provided financial model details:</t>
  </si>
  <si>
    <r>
      <t>1. Profit Calculation</t>
    </r>
    <r>
      <rPr>
        <sz val="11"/>
        <color theme="1"/>
        <rFont val="Calibri"/>
        <family val="2"/>
        <charset val="204"/>
        <scheme val="minor"/>
      </rPr>
      <t>: Profit is calculated without Corporate Income Tax.</t>
    </r>
  </si>
  <si>
    <r>
      <t>2. Capital</t>
    </r>
    <r>
      <rPr>
        <sz val="11"/>
        <color theme="1"/>
        <rFont val="Calibri"/>
        <family val="2"/>
        <charset val="204"/>
        <scheme val="minor"/>
      </rPr>
      <t>: Capital needs to be clarified according to the bank's methodology.</t>
    </r>
  </si>
  <si>
    <r>
      <t>3. Ecosystem Model</t>
    </r>
    <r>
      <rPr>
        <sz val="11"/>
        <color theme="1"/>
        <rFont val="Calibri"/>
        <family val="2"/>
        <charset val="204"/>
        <scheme val="minor"/>
      </rPr>
      <t>: The Ecosystem model includes only new business. Nano-Lending products and Simply debit cards are excluded from the model.</t>
    </r>
  </si>
  <si>
    <r>
      <t>Included Products in the Model for Individuals</t>
    </r>
    <r>
      <rPr>
        <sz val="11"/>
        <color theme="1"/>
        <rFont val="Calibri"/>
        <family val="2"/>
        <charset val="204"/>
        <scheme val="minor"/>
      </rPr>
      <t>:</t>
    </r>
  </si>
  <si>
    <t>1. Debit Card</t>
  </si>
  <si>
    <t>2. Microloan (up to $30)</t>
  </si>
  <si>
    <t>3. Installment Card (from $150)</t>
  </si>
  <si>
    <t>4. Installment Card (from $1000)</t>
  </si>
  <si>
    <t>5. Cash Credit (from 1 million Tenge)</t>
  </si>
  <si>
    <r>
      <t>Separate Income Sources</t>
    </r>
    <r>
      <rPr>
        <sz val="11"/>
        <color theme="1"/>
        <rFont val="Calibri"/>
        <family val="2"/>
        <charset val="204"/>
        <scheme val="minor"/>
      </rPr>
      <t xml:space="preserve"> for individuals are currency exchange and micro-investing, which are based on P&amp;L of the partner. Products already existing on the Simply platform, such as the debit card and micro-lending, are excluded from the model.</t>
    </r>
  </si>
  <si>
    <r>
      <t>Products included in the individual packages</t>
    </r>
    <r>
      <rPr>
        <sz val="11"/>
        <color theme="1"/>
        <rFont val="Calibri"/>
        <family val="2"/>
        <charset val="204"/>
        <scheme val="minor"/>
      </rPr>
      <t>:</t>
    </r>
  </si>
  <si>
    <r>
      <t>1. Freemium Package</t>
    </r>
    <r>
      <rPr>
        <sz val="11"/>
        <color theme="1"/>
        <rFont val="Calibri"/>
        <family val="2"/>
        <charset val="204"/>
        <scheme val="minor"/>
      </rPr>
      <t>: Includes “microloan + debit card” with a package cost of 1000 Tenge per month (first year), with further increases in cost.</t>
    </r>
  </si>
  <si>
    <r>
      <t>2. White Package</t>
    </r>
    <r>
      <rPr>
        <sz val="11"/>
        <color theme="1"/>
        <rFont val="Calibri"/>
        <family val="2"/>
        <charset val="204"/>
        <scheme val="minor"/>
      </rPr>
      <t>: Includes “microloan + installment card $150 + debit card” with a package cost of 1500 Tenge per month (first year), with further increases in cost.</t>
    </r>
  </si>
  <si>
    <r>
      <t>3. Black Package</t>
    </r>
    <r>
      <rPr>
        <sz val="11"/>
        <color theme="1"/>
        <rFont val="Calibri"/>
        <family val="2"/>
        <charset val="204"/>
        <scheme val="minor"/>
      </rPr>
      <t>: Includes “microloan + installment card $1000 + debit card” with a package cost of 1950 Tenge per month (first year), with further increases in cost.</t>
    </r>
  </si>
  <si>
    <r>
      <t>Cash Credit Product</t>
    </r>
    <r>
      <rPr>
        <sz val="11"/>
        <color theme="1"/>
        <rFont val="Calibri"/>
        <family val="2"/>
        <charset val="204"/>
        <scheme val="minor"/>
      </rPr>
      <t>:</t>
    </r>
  </si>
  <si>
    <r>
      <t xml:space="preserve">Based on the microfinance organization </t>
    </r>
    <r>
      <rPr>
        <b/>
        <sz val="11"/>
        <color theme="1"/>
        <rFont val="Calibri"/>
        <family val="2"/>
        <charset val="204"/>
        <scheme val="minor"/>
      </rPr>
      <t>Dosym</t>
    </r>
    <r>
      <rPr>
        <sz val="11"/>
        <color theme="1"/>
        <rFont val="Calibri"/>
        <family val="2"/>
        <charset val="204"/>
        <scheme val="minor"/>
      </rPr>
      <t>, with parameters:</t>
    </r>
  </si>
  <si>
    <t>Average check starting at 1 million Tenge, increasing to 1.5 million Tenge over the years.</t>
  </si>
  <si>
    <t>Average loan repayment period: 25 months.</t>
  </si>
  <si>
    <t>Interest rate: 35%, with a resource cost rate of 21.5%, decreasing as resource costs decrease.</t>
  </si>
  <si>
    <t>CoR (Cost of Risk): 8%, decreasing to 5.5% as the loan portfolio matures.</t>
  </si>
  <si>
    <r>
      <t>Debit Card Product</t>
    </r>
    <r>
      <rPr>
        <sz val="11"/>
        <color theme="1"/>
        <rFont val="Calibri"/>
        <family val="2"/>
        <charset val="204"/>
        <scheme val="minor"/>
      </rPr>
      <t xml:space="preserve"> (based on a bank):</t>
    </r>
  </si>
  <si>
    <t>1. 70% of issued cards will be plastic and delivered to the client at the bank's expense.</t>
  </si>
  <si>
    <t>2. Average balance on a card ranges from 5,000 Tenge to 50,000 Tenge per active card.</t>
  </si>
  <si>
    <t>3. Average turnover per card: 90,000 Tenge per active card.</t>
  </si>
  <si>
    <t>4. 90% of card transactions are purchases.</t>
  </si>
  <si>
    <t>5. The model includes income and expenses from the international payment system (MPS).</t>
  </si>
  <si>
    <t>6. Cashback expenses are included, which decrease from 2.5% to 0.6% of purchases.</t>
  </si>
  <si>
    <r>
      <t>Microloan Product</t>
    </r>
    <r>
      <rPr>
        <sz val="11"/>
        <color theme="1"/>
        <rFont val="Calibri"/>
        <family val="2"/>
        <charset val="204"/>
        <scheme val="minor"/>
      </rPr>
      <t xml:space="preserve"> (based on a bank):</t>
    </r>
  </si>
  <si>
    <t>1. Product funnel based on e-wallet base, going through:</t>
  </si>
  <si>
    <t>Internal checks and exclusions within Beeline (free of charge).</t>
  </si>
  <si>
    <t>Compliance checks.</t>
  </si>
  <si>
    <t>Paid checks in credit bureaus and others.</t>
  </si>
  <si>
    <t>Client responses.</t>
  </si>
  <si>
    <t>2. 70% of issued cards will be plastic and delivered with a debit card at the bank’s expense.</t>
  </si>
  <si>
    <t>3. Average limit: $30.</t>
  </si>
  <si>
    <t>4. CoR (Cost of Risk): 4.5%, decreasing to 3.8% as the portfolio matures.</t>
  </si>
  <si>
    <r>
      <t>Installment Card Product (from $150)</t>
    </r>
    <r>
      <rPr>
        <sz val="11"/>
        <color theme="1"/>
        <rFont val="Calibri"/>
        <family val="2"/>
        <charset val="204"/>
        <scheme val="minor"/>
      </rPr>
      <t xml:space="preserve"> (based on a bank):</t>
    </r>
  </si>
  <si>
    <t>1. Product funnel is built from the e-wallet base, passing through similar stages as the microloan.</t>
  </si>
  <si>
    <t>2. Limit starts from $150 (first year), increasing to $220 by year 5.</t>
  </si>
  <si>
    <t>3. 70% limit utilization rate.</t>
  </si>
  <si>
    <t>4. Free use of funds in installments for up to 24 months, with distribution across terms: 5 months – 10%, 9 months – 20%, 12 months – 20%, 24 months – 50%.</t>
  </si>
  <si>
    <t>5. Credit funds can be withdrawn or transferred as cash credit with a 44% interest rate, with a growing percentage of clients using cash credit from 10% in year 1 to 22% by year 5.</t>
  </si>
  <si>
    <t>6. Income and expenses from MPS are included.</t>
  </si>
  <si>
    <t>7. CoR: 9.5%, decreasing to 6.0% over the years.</t>
  </si>
  <si>
    <r>
      <t>Installment Card Product (from $1000)</t>
    </r>
    <r>
      <rPr>
        <sz val="11"/>
        <color theme="1"/>
        <rFont val="Calibri"/>
        <family val="2"/>
        <charset val="204"/>
        <scheme val="minor"/>
      </rPr>
      <t xml:space="preserve"> (based on a bank):</t>
    </r>
  </si>
  <si>
    <t>1. Product funnel with similar stages as the $150 card.</t>
  </si>
  <si>
    <t>2. Limit starts at $1000 (first year), increasing to $1216 by year 5.</t>
  </si>
  <si>
    <t>3. 50% limit utilization rate.</t>
  </si>
  <si>
    <t>4. Free use of funds in installments for up to 24 months, with the same distribution across terms as the $150 card.</t>
  </si>
  <si>
    <t>5. Credit funds can be withdrawn or transferred as cash credit with a 40% interest rate, with growing cash credit clients from 10% to 22% over five years.</t>
  </si>
  <si>
    <t>7. CoR: 12.0%, decreasing to 8.0% over the years.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</si>
</sst>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_-* #,##0.00\ _₽_-;\-* #,##0.00\ _₽_-;_-* &quot;-&quot;??\ _₽_-;_-@_-"/>
    <numFmt numFmtId="167" formatCode="_-* #,##0\ _₽_-;\-* #,##0\ _₽_-;_-* &quot;-&quot;??\ _₽_-;_-@_-"/>
  </numFmts>
  <fonts count="147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theme="1" tint="0.499984740745262"/>
      <name val="Calibri"/>
      <family val="2"/>
      <charset val="204"/>
      <scheme val="minor"/>
    </font>
    <font>
      <i/>
      <sz val="10"/>
      <color rgb="FF0070C0"/>
      <name val="Calibri"/>
      <family val="2"/>
      <charset val="204"/>
      <scheme val="minor"/>
    </font>
    <font>
      <sz val="8"/>
      <color theme="1" tint="0.499984740745262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i/>
      <sz val="10"/>
      <color rgb="FFFF0000"/>
      <name val="Calibri"/>
      <family val="2"/>
      <charset val="204"/>
      <scheme val="minor"/>
    </font>
    <font>
      <b/>
      <sz val="10"/>
      <color rgb="FFFF0000"/>
      <name val="Calibri"/>
      <family val="2"/>
      <charset val="204"/>
      <scheme val="minor"/>
    </font>
    <font>
      <sz val="10"/>
      <color rgb="FF0070C0"/>
      <name val="Calibri"/>
      <family val="2"/>
      <charset val="204"/>
      <scheme val="minor"/>
    </font>
    <font>
      <b/>
      <sz val="10"/>
      <color rgb="FF0070C0"/>
      <name val="Calibri"/>
      <family val="2"/>
      <charset val="204"/>
      <scheme val="minor"/>
    </font>
    <font>
      <b/>
      <sz val="10"/>
      <color theme="1" tint="0.499984740745262"/>
      <name val="Calibri"/>
      <family val="2"/>
      <charset val="204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rgb="FFFF0000"/>
      <name val="Calibri (Основной текст)"/>
      <charset val="204"/>
    </font>
    <font>
      <sz val="11"/>
      <color theme="1" tint="0.499984740745262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Optima"/>
    </font>
    <font>
      <b/>
      <sz val="16"/>
      <color indexed="9"/>
      <name val="Verdana"/>
      <family val="2"/>
    </font>
    <font>
      <b/>
      <sz val="11"/>
      <color indexed="9"/>
      <name val="Verdana"/>
      <family val="2"/>
      <charset val="204"/>
    </font>
    <font>
      <b/>
      <sz val="11"/>
      <name val="Verdana"/>
      <family val="2"/>
    </font>
    <font>
      <sz val="11"/>
      <name val="Verdana"/>
      <family val="2"/>
    </font>
    <font>
      <sz val="11"/>
      <name val="Verdana"/>
      <family val="2"/>
      <charset val="204"/>
    </font>
    <font>
      <b/>
      <sz val="11"/>
      <name val="Verdana"/>
      <family val="2"/>
      <charset val="204"/>
    </font>
    <font>
      <sz val="10"/>
      <name val="Times New Roman"/>
      <family val="1"/>
      <charset val="204"/>
    </font>
    <font>
      <sz val="11"/>
      <color theme="0" tint="-0.34998626667073579"/>
      <name val="Verdana"/>
      <family val="2"/>
      <charset val="204"/>
    </font>
    <font>
      <sz val="11"/>
      <color theme="1"/>
      <name val="Calibri"/>
      <family val="2"/>
      <scheme val="minor"/>
    </font>
    <font>
      <b/>
      <sz val="11"/>
      <color theme="0" tint="-0.34998626667073579"/>
      <name val="Verdana"/>
      <family val="2"/>
      <charset val="204"/>
    </font>
    <font>
      <b/>
      <sz val="10"/>
      <color indexed="9"/>
      <name val="Verdana"/>
      <family val="2"/>
      <charset val="204"/>
    </font>
    <font>
      <b/>
      <sz val="10"/>
      <color theme="0"/>
      <name val="Verdana"/>
      <family val="2"/>
      <charset val="204"/>
    </font>
    <font>
      <sz val="10"/>
      <color indexed="12"/>
      <name val="Verdana"/>
      <family val="2"/>
      <charset val="204"/>
    </font>
    <font>
      <b/>
      <sz val="10"/>
      <name val="Verdana"/>
      <family val="2"/>
      <charset val="204"/>
    </font>
    <font>
      <sz val="10"/>
      <name val="Verdana"/>
      <family val="2"/>
      <charset val="204"/>
    </font>
    <font>
      <i/>
      <sz val="10"/>
      <name val="Verdana"/>
      <family val="2"/>
      <charset val="204"/>
    </font>
    <font>
      <i/>
      <sz val="10"/>
      <color theme="8"/>
      <name val="Verdana"/>
      <family val="2"/>
      <charset val="204"/>
    </font>
    <font>
      <i/>
      <sz val="10"/>
      <color theme="1"/>
      <name val="Verdana"/>
      <family val="2"/>
      <charset val="204"/>
    </font>
    <font>
      <sz val="10"/>
      <color theme="1"/>
      <name val="Verdana"/>
      <family val="2"/>
      <charset val="204"/>
    </font>
    <font>
      <sz val="10"/>
      <color theme="0"/>
      <name val="Verdana"/>
      <family val="2"/>
      <charset val="204"/>
    </font>
    <font>
      <sz val="11"/>
      <color theme="1"/>
      <name val="Verdana"/>
      <family val="2"/>
      <charset val="204"/>
    </font>
    <font>
      <sz val="9"/>
      <color indexed="81"/>
      <name val="Tahoma"/>
      <family val="2"/>
      <charset val="204"/>
    </font>
    <font>
      <sz val="18"/>
      <color theme="1"/>
      <name val="Calibri"/>
      <family val="2"/>
      <scheme val="minor"/>
    </font>
    <font>
      <sz val="11"/>
      <color theme="0"/>
      <name val="Verdana"/>
      <family val="2"/>
      <charset val="204"/>
    </font>
    <font>
      <sz val="11"/>
      <color rgb="FFFF0000"/>
      <name val="Calibri"/>
      <family val="2"/>
      <scheme val="minor"/>
    </font>
    <font>
      <sz val="10"/>
      <name val="Verdana"/>
      <family val="2"/>
    </font>
    <font>
      <b/>
      <sz val="10"/>
      <name val="Verdana"/>
      <family val="2"/>
    </font>
    <font>
      <i/>
      <sz val="10"/>
      <name val="Verdana"/>
      <family val="2"/>
    </font>
    <font>
      <sz val="9"/>
      <color theme="1"/>
      <name val="Calibri"/>
      <family val="2"/>
      <charset val="204"/>
      <scheme val="minor"/>
    </font>
    <font>
      <sz val="10"/>
      <color rgb="FFFF0000"/>
      <name val="Verdana"/>
      <family val="2"/>
    </font>
    <font>
      <b/>
      <sz val="11"/>
      <color theme="1"/>
      <name val="Verdana"/>
      <family val="2"/>
      <charset val="204"/>
    </font>
    <font>
      <sz val="10"/>
      <color rgb="FFFF0000"/>
      <name val="Verdana"/>
      <family val="2"/>
      <charset val="204"/>
    </font>
    <font>
      <sz val="11"/>
      <name val="Calibri"/>
      <family val="2"/>
      <scheme val="minor"/>
    </font>
    <font>
      <b/>
      <sz val="10"/>
      <color rgb="FFFF0000"/>
      <name val="Verdana"/>
      <family val="2"/>
    </font>
    <font>
      <sz val="10"/>
      <color theme="8"/>
      <name val="Verdana"/>
      <family val="2"/>
    </font>
    <font>
      <sz val="8"/>
      <name val="Verdana"/>
      <family val="2"/>
      <charset val="204"/>
    </font>
    <font>
      <b/>
      <sz val="12"/>
      <color rgb="FFFF0000"/>
      <name val="Calibri (Основной текст)"/>
      <charset val="204"/>
    </font>
    <font>
      <sz val="12"/>
      <color theme="1"/>
      <name val="Calibri"/>
      <family val="2"/>
      <charset val="238"/>
    </font>
    <font>
      <b/>
      <sz val="12"/>
      <color theme="1"/>
      <name val="Calibri"/>
      <family val="2"/>
      <charset val="238"/>
    </font>
    <font>
      <sz val="12"/>
      <color rgb="FF000000"/>
      <name val="Calibri"/>
      <family val="2"/>
      <charset val="238"/>
    </font>
    <font>
      <b/>
      <sz val="12"/>
      <color theme="1"/>
      <name val="Calibri"/>
      <family val="2"/>
      <charset val="204"/>
    </font>
    <font>
      <sz val="12"/>
      <color theme="1"/>
      <name val="Calibri"/>
      <family val="2"/>
      <charset val="204"/>
    </font>
    <font>
      <sz val="8"/>
      <color rgb="FFFF0000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9"/>
      <color theme="1" tint="0.499984740745262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b/>
      <sz val="12"/>
      <color theme="1" tint="0.499984740745262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2"/>
      <color rgb="FF0066FF"/>
      <name val="Calibri"/>
      <family val="2"/>
      <charset val="204"/>
      <scheme val="minor"/>
    </font>
    <font>
      <sz val="10"/>
      <color theme="4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2"/>
      <color theme="1" tint="0.499984740745262"/>
      <name val="Calibri"/>
      <family val="2"/>
      <charset val="204"/>
      <scheme val="minor"/>
    </font>
    <font>
      <b/>
      <sz val="8"/>
      <color theme="1" tint="0.499984740745262"/>
      <name val="Calibri"/>
      <family val="2"/>
      <charset val="204"/>
      <scheme val="minor"/>
    </font>
    <font>
      <b/>
      <sz val="8"/>
      <color rgb="FF0066FF"/>
      <name val="Calibri"/>
      <family val="2"/>
      <charset val="204"/>
      <scheme val="minor"/>
    </font>
    <font>
      <b/>
      <sz val="12"/>
      <color rgb="FFC00000"/>
      <name val="Calibri"/>
      <family val="2"/>
      <charset val="204"/>
      <scheme val="minor"/>
    </font>
    <font>
      <b/>
      <sz val="8"/>
      <color rgb="FFC00000"/>
      <name val="Calibri"/>
      <family val="2"/>
      <charset val="204"/>
      <scheme val="minor"/>
    </font>
    <font>
      <sz val="12"/>
      <color rgb="FF0070C0"/>
      <name val="Calibri"/>
      <family val="2"/>
      <charset val="204"/>
      <scheme val="minor"/>
    </font>
    <font>
      <sz val="10"/>
      <color rgb="FFC00000"/>
      <name val="Calibri"/>
      <family val="2"/>
      <charset val="204"/>
      <scheme val="minor"/>
    </font>
    <font>
      <sz val="10"/>
      <color rgb="FF0066FF"/>
      <name val="Calibri"/>
      <family val="2"/>
      <charset val="204"/>
      <scheme val="minor"/>
    </font>
    <font>
      <sz val="8"/>
      <color rgb="FF0066FF"/>
      <name val="Calibri"/>
      <family val="2"/>
      <charset val="204"/>
      <scheme val="minor"/>
    </font>
    <font>
      <sz val="8"/>
      <color theme="1" tint="0.34998626667073579"/>
      <name val="Calibri"/>
      <family val="2"/>
      <charset val="204"/>
      <scheme val="minor"/>
    </font>
    <font>
      <sz val="8"/>
      <color rgb="FF0070C0"/>
      <name val="Calibri"/>
      <family val="2"/>
      <charset val="204"/>
      <scheme val="minor"/>
    </font>
    <font>
      <b/>
      <sz val="8"/>
      <color rgb="FF0070C0"/>
      <name val="Calibri"/>
      <family val="2"/>
      <charset val="204"/>
      <scheme val="minor"/>
    </font>
    <font>
      <sz val="8"/>
      <color theme="4"/>
      <name val="Calibri"/>
      <family val="2"/>
      <charset val="204"/>
      <scheme val="minor"/>
    </font>
    <font>
      <b/>
      <sz val="9"/>
      <color theme="1" tint="0.499984740745262"/>
      <name val="Calibri"/>
      <family val="2"/>
      <charset val="204"/>
      <scheme val="minor"/>
    </font>
    <font>
      <b/>
      <i/>
      <sz val="10"/>
      <name val="Verdana"/>
      <family val="2"/>
      <charset val="204"/>
    </font>
    <font>
      <i/>
      <sz val="12"/>
      <name val="Verdana"/>
      <family val="2"/>
      <charset val="204"/>
    </font>
    <font>
      <b/>
      <i/>
      <sz val="12"/>
      <name val="Verdana"/>
      <family val="2"/>
      <charset val="204"/>
    </font>
    <font>
      <sz val="9"/>
      <name val="Calibri"/>
      <family val="2"/>
      <charset val="204"/>
      <scheme val="minor"/>
    </font>
    <font>
      <sz val="9"/>
      <name val="Verdana"/>
      <family val="2"/>
      <charset val="204"/>
    </font>
    <font>
      <sz val="9"/>
      <color theme="8"/>
      <name val="Calibri"/>
      <family val="2"/>
      <charset val="204"/>
      <scheme val="minor"/>
    </font>
    <font>
      <sz val="9"/>
      <color theme="8"/>
      <name val="Verdana"/>
      <family val="2"/>
      <charset val="204"/>
    </font>
    <font>
      <sz val="12"/>
      <name val="Verdana"/>
      <family val="2"/>
      <charset val="204"/>
    </font>
    <font>
      <b/>
      <sz val="12"/>
      <name val="Verdana"/>
      <family val="2"/>
      <charset val="204"/>
    </font>
    <font>
      <i/>
      <sz val="8"/>
      <color rgb="FFFF0000"/>
      <name val="Verdana"/>
      <family val="2"/>
      <charset val="204"/>
    </font>
    <font>
      <b/>
      <sz val="9"/>
      <color indexed="81"/>
      <name val="Tahoma"/>
      <family val="2"/>
      <charset val="204"/>
    </font>
    <font>
      <i/>
      <sz val="9"/>
      <color theme="8"/>
      <name val="Calibri"/>
      <family val="2"/>
      <charset val="204"/>
      <scheme val="minor"/>
    </font>
    <font>
      <i/>
      <sz val="11"/>
      <color theme="8"/>
      <name val="Verdana"/>
      <family val="2"/>
      <charset val="204"/>
    </font>
    <font>
      <b/>
      <i/>
      <sz val="10"/>
      <color rgb="FFFF0000"/>
      <name val="Verdana"/>
      <family val="2"/>
      <charset val="204"/>
    </font>
    <font>
      <b/>
      <sz val="12"/>
      <color rgb="FFFF0000"/>
      <name val="Verdana"/>
      <family val="2"/>
      <charset val="204"/>
    </font>
    <font>
      <sz val="10"/>
      <color rgb="FF00000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name val="Calibri (Основной текст)"/>
      <charset val="204"/>
    </font>
    <font>
      <sz val="8"/>
      <name val="Calibri"/>
      <family val="2"/>
      <charset val="204"/>
      <scheme val="minor"/>
    </font>
    <font>
      <b/>
      <i/>
      <sz val="12"/>
      <color rgb="FF000000"/>
      <name val="Calibri"/>
      <family val="2"/>
      <charset val="204"/>
    </font>
    <font>
      <i/>
      <sz val="11"/>
      <color theme="4"/>
      <name val="Calibri"/>
      <family val="2"/>
      <charset val="204"/>
      <scheme val="minor"/>
    </font>
    <font>
      <sz val="9"/>
      <color theme="4"/>
      <name val="Calibri"/>
      <family val="2"/>
      <charset val="204"/>
      <scheme val="minor"/>
    </font>
    <font>
      <sz val="11"/>
      <color theme="4"/>
      <name val="Calibri"/>
      <family val="2"/>
      <charset val="204"/>
      <scheme val="minor"/>
    </font>
    <font>
      <i/>
      <sz val="10"/>
      <color theme="4"/>
      <name val="Verdana"/>
      <family val="2"/>
      <charset val="204"/>
    </font>
    <font>
      <sz val="11"/>
      <color theme="1"/>
      <name val="Outfit"/>
    </font>
    <font>
      <b/>
      <sz val="11"/>
      <color theme="1"/>
      <name val="Outfit"/>
    </font>
    <font>
      <sz val="9"/>
      <color theme="1" tint="0.499984740745262"/>
      <name val="Outfit"/>
    </font>
    <font>
      <b/>
      <sz val="12"/>
      <color theme="1"/>
      <name val="Outfit"/>
    </font>
    <font>
      <sz val="10"/>
      <color theme="1" tint="0.499984740745262"/>
      <name val="Outfit"/>
    </font>
    <font>
      <i/>
      <sz val="11"/>
      <color theme="8"/>
      <name val="Outfit"/>
    </font>
    <font>
      <i/>
      <sz val="9"/>
      <color theme="8"/>
      <name val="Outfit"/>
    </font>
    <font>
      <sz val="12"/>
      <color theme="1"/>
      <name val="Outfit"/>
    </font>
    <font>
      <sz val="10"/>
      <name val="Outfit"/>
    </font>
    <font>
      <b/>
      <sz val="11"/>
      <color indexed="9"/>
      <name val="Outfit"/>
    </font>
    <font>
      <b/>
      <sz val="10"/>
      <color theme="0"/>
      <name val="Outfit"/>
    </font>
    <font>
      <sz val="11"/>
      <name val="Outfit"/>
    </font>
    <font>
      <b/>
      <i/>
      <sz val="12"/>
      <name val="Outfit"/>
    </font>
    <font>
      <i/>
      <sz val="8"/>
      <color rgb="FFFF0000"/>
      <name val="Outfit"/>
    </font>
    <font>
      <sz val="12"/>
      <color rgb="FF000000"/>
      <name val="Outfit"/>
    </font>
    <font>
      <b/>
      <sz val="12"/>
      <color rgb="FF000000"/>
      <name val="Outfit"/>
    </font>
    <font>
      <i/>
      <sz val="12"/>
      <name val="Outfit"/>
    </font>
    <font>
      <sz val="12"/>
      <name val="Outfit"/>
    </font>
    <font>
      <sz val="9"/>
      <name val="Outfit"/>
    </font>
    <font>
      <i/>
      <sz val="10"/>
      <name val="Outfit"/>
    </font>
    <font>
      <b/>
      <sz val="9"/>
      <color theme="1" tint="0.499984740745262"/>
      <name val="Outfit"/>
    </font>
    <font>
      <b/>
      <sz val="12"/>
      <name val="Outfit"/>
    </font>
    <font>
      <b/>
      <sz val="10"/>
      <name val="Outfit"/>
    </font>
    <font>
      <sz val="11"/>
      <color theme="0" tint="-0.34998626667073579"/>
      <name val="Outfit"/>
    </font>
    <font>
      <i/>
      <sz val="10"/>
      <name val="Calibri"/>
      <family val="2"/>
      <charset val="204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1" fillId="0" borderId="0"/>
    <xf numFmtId="0" fontId="38" fillId="0" borderId="0"/>
    <xf numFmtId="43" fontId="40" fillId="0" borderId="0" applyFont="0" applyFill="0" applyBorder="0" applyAlignment="0" applyProtection="0"/>
    <xf numFmtId="0" fontId="40" fillId="0" borderId="0"/>
    <xf numFmtId="9" fontId="40" fillId="0" borderId="0" applyFont="0" applyFill="0" applyBorder="0" applyAlignment="0" applyProtection="0"/>
    <xf numFmtId="0" fontId="113" fillId="0" borderId="0"/>
    <xf numFmtId="0" fontId="1" fillId="0" borderId="0"/>
  </cellStyleXfs>
  <cellXfs count="723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3" fontId="3" fillId="0" borderId="0" xfId="0" applyNumberFormat="1" applyFont="1"/>
    <xf numFmtId="0" fontId="3" fillId="0" borderId="0" xfId="0" applyFont="1"/>
    <xf numFmtId="3" fontId="4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left" indent="3"/>
    </xf>
    <xf numFmtId="9" fontId="5" fillId="0" borderId="0" xfId="1" applyFont="1"/>
    <xf numFmtId="9" fontId="5" fillId="2" borderId="0" xfId="1" applyFont="1" applyFill="1"/>
    <xf numFmtId="0" fontId="5" fillId="0" borderId="0" xfId="0" applyFont="1"/>
    <xf numFmtId="0" fontId="6" fillId="0" borderId="0" xfId="0" applyFont="1" applyAlignment="1">
      <alignment horizontal="left" indent="3"/>
    </xf>
    <xf numFmtId="3" fontId="6" fillId="0" borderId="0" xfId="0" applyNumberFormat="1" applyFont="1"/>
    <xf numFmtId="0" fontId="6" fillId="0" borderId="0" xfId="0" applyFont="1"/>
    <xf numFmtId="0" fontId="4" fillId="0" borderId="0" xfId="0" applyFont="1" applyAlignment="1">
      <alignment horizontal="left" indent="2"/>
    </xf>
    <xf numFmtId="4" fontId="3" fillId="0" borderId="0" xfId="0" applyNumberFormat="1" applyFont="1"/>
    <xf numFmtId="3" fontId="4" fillId="2" borderId="0" xfId="0" applyNumberFormat="1" applyFont="1" applyFill="1"/>
    <xf numFmtId="0" fontId="8" fillId="0" borderId="0" xfId="0" applyFont="1"/>
    <xf numFmtId="0" fontId="9" fillId="0" borderId="0" xfId="0" applyFont="1"/>
    <xf numFmtId="0" fontId="8" fillId="3" borderId="0" xfId="0" applyFont="1" applyFill="1"/>
    <xf numFmtId="3" fontId="8" fillId="3" borderId="0" xfId="0" applyNumberFormat="1" applyFont="1" applyFill="1"/>
    <xf numFmtId="164" fontId="3" fillId="0" borderId="0" xfId="0" applyNumberFormat="1" applyFont="1"/>
    <xf numFmtId="0" fontId="3" fillId="2" borderId="0" xfId="0" applyFont="1" applyFill="1"/>
    <xf numFmtId="0" fontId="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3" fontId="0" fillId="0" borderId="0" xfId="0" applyNumberFormat="1"/>
    <xf numFmtId="2" fontId="0" fillId="0" borderId="0" xfId="0" applyNumberFormat="1"/>
    <xf numFmtId="49" fontId="0" fillId="0" borderId="0" xfId="0" applyNumberFormat="1"/>
    <xf numFmtId="0" fontId="13" fillId="0" borderId="0" xfId="0" applyFont="1"/>
    <xf numFmtId="0" fontId="12" fillId="0" borderId="0" xfId="0" applyFont="1"/>
    <xf numFmtId="9" fontId="0" fillId="0" borderId="0" xfId="0" applyNumberFormat="1"/>
    <xf numFmtId="0" fontId="14" fillId="0" borderId="0" xfId="0" applyFont="1"/>
    <xf numFmtId="0" fontId="15" fillId="0" borderId="0" xfId="0" applyFont="1"/>
    <xf numFmtId="0" fontId="0" fillId="0" borderId="0" xfId="0" applyAlignment="1">
      <alignment horizontal="center"/>
    </xf>
    <xf numFmtId="0" fontId="7" fillId="0" borderId="0" xfId="0" applyFont="1"/>
    <xf numFmtId="0" fontId="16" fillId="0" borderId="0" xfId="0" applyFont="1"/>
    <xf numFmtId="3" fontId="16" fillId="0" borderId="0" xfId="0" applyNumberFormat="1" applyFont="1"/>
    <xf numFmtId="0" fontId="8" fillId="4" borderId="0" xfId="0" applyFont="1" applyFill="1"/>
    <xf numFmtId="3" fontId="8" fillId="4" borderId="0" xfId="0" applyNumberFormat="1" applyFont="1" applyFill="1"/>
    <xf numFmtId="165" fontId="5" fillId="2" borderId="0" xfId="1" applyNumberFormat="1" applyFont="1" applyFill="1"/>
    <xf numFmtId="165" fontId="4" fillId="0" borderId="0" xfId="1" applyNumberFormat="1" applyFont="1"/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3" fontId="17" fillId="0" borderId="0" xfId="0" applyNumberFormat="1" applyFont="1"/>
    <xf numFmtId="3" fontId="17" fillId="5" borderId="0" xfId="0" applyNumberFormat="1" applyFont="1" applyFill="1"/>
    <xf numFmtId="0" fontId="3" fillId="6" borderId="0" xfId="0" applyFont="1" applyFill="1"/>
    <xf numFmtId="3" fontId="3" fillId="6" borderId="0" xfId="0" applyNumberFormat="1" applyFont="1" applyFill="1"/>
    <xf numFmtId="0" fontId="3" fillId="0" borderId="0" xfId="0" applyFont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8" fillId="0" borderId="0" xfId="0" applyFont="1" applyAlignment="1">
      <alignment horizontal="right" vertic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3" fontId="17" fillId="0" borderId="0" xfId="0" applyNumberFormat="1" applyFont="1" applyAlignment="1">
      <alignment horizontal="right"/>
    </xf>
    <xf numFmtId="0" fontId="16" fillId="0" borderId="0" xfId="0" applyFont="1" applyAlignment="1">
      <alignment horizontal="right"/>
    </xf>
    <xf numFmtId="9" fontId="8" fillId="0" borderId="0" xfId="1" applyFont="1"/>
    <xf numFmtId="165" fontId="8" fillId="0" borderId="0" xfId="1" applyNumberFormat="1" applyFont="1"/>
    <xf numFmtId="3" fontId="8" fillId="0" borderId="0" xfId="0" applyNumberFormat="1" applyFont="1"/>
    <xf numFmtId="9" fontId="5" fillId="0" borderId="0" xfId="1" applyFont="1" applyFill="1"/>
    <xf numFmtId="0" fontId="7" fillId="0" borderId="0" xfId="0" applyFont="1" applyAlignment="1">
      <alignment horizontal="center" vertical="center"/>
    </xf>
    <xf numFmtId="3" fontId="7" fillId="0" borderId="0" xfId="0" applyNumberFormat="1" applyFont="1"/>
    <xf numFmtId="0" fontId="17" fillId="0" borderId="0" xfId="0" applyFont="1"/>
    <xf numFmtId="165" fontId="20" fillId="0" borderId="0" xfId="1" applyNumberFormat="1" applyFont="1"/>
    <xf numFmtId="3" fontId="7" fillId="2" borderId="0" xfId="0" applyNumberFormat="1" applyFont="1" applyFill="1"/>
    <xf numFmtId="165" fontId="21" fillId="2" borderId="0" xfId="1" applyNumberFormat="1" applyFont="1" applyFill="1"/>
    <xf numFmtId="10" fontId="4" fillId="0" borderId="0" xfId="1" applyNumberFormat="1" applyFont="1"/>
    <xf numFmtId="10" fontId="22" fillId="2" borderId="0" xfId="1" applyNumberFormat="1" applyFont="1" applyFill="1"/>
    <xf numFmtId="164" fontId="7" fillId="0" borderId="0" xfId="0" applyNumberFormat="1" applyFont="1"/>
    <xf numFmtId="0" fontId="9" fillId="0" borderId="1" xfId="0" applyFont="1" applyBorder="1" applyAlignment="1">
      <alignment horizontal="center" vertical="center" wrapText="1"/>
    </xf>
    <xf numFmtId="164" fontId="10" fillId="0" borderId="0" xfId="0" applyNumberFormat="1" applyFont="1"/>
    <xf numFmtId="164" fontId="19" fillId="0" borderId="0" xfId="0" applyNumberFormat="1" applyFont="1"/>
    <xf numFmtId="3" fontId="10" fillId="0" borderId="0" xfId="0" applyNumberFormat="1" applyFont="1"/>
    <xf numFmtId="3" fontId="19" fillId="0" borderId="0" xfId="0" applyNumberFormat="1" applyFont="1"/>
    <xf numFmtId="165" fontId="5" fillId="0" borderId="0" xfId="1" applyNumberFormat="1" applyFont="1" applyAlignment="1">
      <alignment horizontal="left" indent="1"/>
    </xf>
    <xf numFmtId="165" fontId="22" fillId="0" borderId="0" xfId="1" applyNumberFormat="1" applyFont="1"/>
    <xf numFmtId="3" fontId="20" fillId="0" borderId="0" xfId="0" applyNumberFormat="1" applyFont="1"/>
    <xf numFmtId="3" fontId="21" fillId="0" borderId="0" xfId="0" applyNumberFormat="1" applyFont="1"/>
    <xf numFmtId="3" fontId="21" fillId="2" borderId="0" xfId="0" applyNumberFormat="1" applyFont="1" applyFill="1"/>
    <xf numFmtId="0" fontId="8" fillId="7" borderId="0" xfId="0" applyFont="1" applyFill="1" applyAlignment="1">
      <alignment horizontal="right"/>
    </xf>
    <xf numFmtId="0" fontId="3" fillId="7" borderId="0" xfId="0" applyFont="1" applyFill="1" applyAlignment="1">
      <alignment horizontal="right"/>
    </xf>
    <xf numFmtId="0" fontId="5" fillId="7" borderId="0" xfId="0" applyFont="1" applyFill="1" applyAlignment="1">
      <alignment horizontal="right"/>
    </xf>
    <xf numFmtId="3" fontId="3" fillId="7" borderId="0" xfId="0" applyNumberFormat="1" applyFont="1" applyFill="1" applyAlignment="1">
      <alignment horizontal="right"/>
    </xf>
    <xf numFmtId="0" fontId="4" fillId="7" borderId="0" xfId="0" applyFont="1" applyFill="1" applyAlignment="1">
      <alignment horizontal="right"/>
    </xf>
    <xf numFmtId="3" fontId="4" fillId="8" borderId="0" xfId="0" applyNumberFormat="1" applyFont="1" applyFill="1"/>
    <xf numFmtId="9" fontId="18" fillId="2" borderId="0" xfId="1" applyFont="1" applyFill="1"/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left"/>
    </xf>
    <xf numFmtId="3" fontId="17" fillId="2" borderId="0" xfId="0" applyNumberFormat="1" applyFont="1" applyFill="1"/>
    <xf numFmtId="0" fontId="11" fillId="0" borderId="0" xfId="0" applyFont="1" applyAlignment="1">
      <alignment horizontal="left" indent="4"/>
    </xf>
    <xf numFmtId="0" fontId="29" fillId="0" borderId="0" xfId="0" applyFont="1"/>
    <xf numFmtId="0" fontId="29" fillId="0" borderId="2" xfId="0" applyFont="1" applyBorder="1"/>
    <xf numFmtId="3" fontId="17" fillId="6" borderId="0" xfId="0" applyNumberFormat="1" applyFont="1" applyFill="1"/>
    <xf numFmtId="0" fontId="17" fillId="0" borderId="0" xfId="0" applyFont="1" applyAlignment="1">
      <alignment horizontal="left" indent="2"/>
    </xf>
    <xf numFmtId="0" fontId="30" fillId="0" borderId="0" xfId="0" applyFont="1"/>
    <xf numFmtId="10" fontId="5" fillId="2" borderId="0" xfId="1" applyNumberFormat="1" applyFont="1" applyFill="1"/>
    <xf numFmtId="9" fontId="5" fillId="9" borderId="0" xfId="1" applyFont="1" applyFill="1"/>
    <xf numFmtId="3" fontId="6" fillId="2" borderId="0" xfId="0" applyNumberFormat="1" applyFont="1" applyFill="1"/>
    <xf numFmtId="0" fontId="3" fillId="0" borderId="0" xfId="0" applyFont="1" applyAlignment="1">
      <alignment horizontal="left" indent="2"/>
    </xf>
    <xf numFmtId="4" fontId="3" fillId="2" borderId="0" xfId="0" applyNumberFormat="1" applyFont="1" applyFill="1"/>
    <xf numFmtId="164" fontId="5" fillId="9" borderId="0" xfId="2" applyNumberFormat="1" applyFont="1" applyFill="1"/>
    <xf numFmtId="0" fontId="32" fillId="10" borderId="0" xfId="3" applyFont="1" applyFill="1"/>
    <xf numFmtId="0" fontId="32" fillId="10" borderId="0" xfId="3" applyFont="1" applyFill="1" applyAlignment="1">
      <alignment horizontal="center"/>
    </xf>
    <xf numFmtId="0" fontId="32" fillId="9" borderId="0" xfId="3" applyFont="1" applyFill="1"/>
    <xf numFmtId="0" fontId="34" fillId="9" borderId="0" xfId="3" applyFont="1" applyFill="1"/>
    <xf numFmtId="0" fontId="35" fillId="9" borderId="0" xfId="3" applyFont="1" applyFill="1"/>
    <xf numFmtId="0" fontId="36" fillId="9" borderId="0" xfId="3" applyFont="1" applyFill="1"/>
    <xf numFmtId="0" fontId="35" fillId="9" borderId="0" xfId="3" applyFont="1" applyFill="1" applyAlignment="1">
      <alignment horizontal="center"/>
    </xf>
    <xf numFmtId="0" fontId="37" fillId="9" borderId="0" xfId="3" applyFont="1" applyFill="1"/>
    <xf numFmtId="0" fontId="36" fillId="9" borderId="0" xfId="3" applyFont="1" applyFill="1" applyAlignment="1">
      <alignment horizontal="center"/>
    </xf>
    <xf numFmtId="0" fontId="37" fillId="9" borderId="0" xfId="4" applyFont="1" applyFill="1"/>
    <xf numFmtId="0" fontId="36" fillId="9" borderId="0" xfId="4" applyFont="1" applyFill="1"/>
    <xf numFmtId="0" fontId="39" fillId="9" borderId="0" xfId="4" applyFont="1" applyFill="1" applyAlignment="1">
      <alignment horizontal="center" vertical="center"/>
    </xf>
    <xf numFmtId="164" fontId="41" fillId="9" borderId="0" xfId="5" applyNumberFormat="1" applyFont="1" applyFill="1" applyAlignment="1">
      <alignment horizontal="center" vertical="center"/>
    </xf>
    <xf numFmtId="0" fontId="43" fillId="11" borderId="0" xfId="4" applyFont="1" applyFill="1" applyAlignment="1">
      <alignment horizontal="center"/>
    </xf>
    <xf numFmtId="0" fontId="42" fillId="11" borderId="0" xfId="4" applyFont="1" applyFill="1" applyAlignment="1">
      <alignment horizontal="center" vertical="center"/>
    </xf>
    <xf numFmtId="3" fontId="44" fillId="11" borderId="0" xfId="4" applyNumberFormat="1" applyFont="1" applyFill="1" applyAlignment="1">
      <alignment horizontal="center"/>
    </xf>
    <xf numFmtId="0" fontId="44" fillId="9" borderId="0" xfId="4" applyFont="1" applyFill="1"/>
    <xf numFmtId="0" fontId="46" fillId="9" borderId="0" xfId="6" applyFont="1" applyFill="1"/>
    <xf numFmtId="0" fontId="46" fillId="9" borderId="0" xfId="4" applyFont="1" applyFill="1" applyAlignment="1">
      <alignment horizontal="center"/>
    </xf>
    <xf numFmtId="0" fontId="46" fillId="9" borderId="0" xfId="4" applyFont="1" applyFill="1" applyAlignment="1">
      <alignment horizontal="left"/>
    </xf>
    <xf numFmtId="38" fontId="44" fillId="9" borderId="0" xfId="4" applyNumberFormat="1" applyFont="1" applyFill="1"/>
    <xf numFmtId="0" fontId="47" fillId="9" borderId="0" xfId="6" applyFont="1" applyFill="1" applyAlignment="1">
      <alignment horizontal="center" vertical="center"/>
    </xf>
    <xf numFmtId="10" fontId="46" fillId="9" borderId="0" xfId="7" applyNumberFormat="1" applyFont="1" applyFill="1" applyAlignment="1">
      <alignment horizontal="right"/>
    </xf>
    <xf numFmtId="0" fontId="47" fillId="9" borderId="0" xfId="6" applyFont="1" applyFill="1" applyAlignment="1">
      <alignment horizontal="right"/>
    </xf>
    <xf numFmtId="0" fontId="47" fillId="9" borderId="0" xfId="6" applyFont="1" applyFill="1"/>
    <xf numFmtId="10" fontId="47" fillId="9" borderId="0" xfId="7" applyNumberFormat="1" applyFont="1" applyFill="1" applyAlignment="1">
      <alignment horizontal="right"/>
    </xf>
    <xf numFmtId="0" fontId="50" fillId="9" borderId="0" xfId="6" applyFont="1" applyFill="1"/>
    <xf numFmtId="0" fontId="51" fillId="9" borderId="0" xfId="6" applyFont="1" applyFill="1"/>
    <xf numFmtId="38" fontId="50" fillId="9" borderId="0" xfId="6" applyNumberFormat="1" applyFont="1" applyFill="1" applyAlignment="1">
      <alignment horizontal="right"/>
    </xf>
    <xf numFmtId="0" fontId="43" fillId="11" borderId="0" xfId="4" applyFont="1" applyFill="1"/>
    <xf numFmtId="0" fontId="45" fillId="9" borderId="0" xfId="4" applyFont="1" applyFill="1" applyAlignment="1">
      <alignment horizontal="left"/>
    </xf>
    <xf numFmtId="38" fontId="46" fillId="9" borderId="0" xfId="4" applyNumberFormat="1" applyFont="1" applyFill="1" applyAlignment="1">
      <alignment horizontal="right"/>
    </xf>
    <xf numFmtId="0" fontId="46" fillId="9" borderId="0" xfId="4" applyFont="1" applyFill="1" applyAlignment="1">
      <alignment horizontal="left" indent="2"/>
    </xf>
    <xf numFmtId="38" fontId="46" fillId="2" borderId="0" xfId="4" applyNumberFormat="1" applyFont="1" applyFill="1" applyAlignment="1">
      <alignment horizontal="right"/>
    </xf>
    <xf numFmtId="10" fontId="46" fillId="2" borderId="0" xfId="7" applyNumberFormat="1" applyFont="1" applyFill="1" applyAlignment="1">
      <alignment horizontal="right"/>
    </xf>
    <xf numFmtId="0" fontId="46" fillId="9" borderId="0" xfId="4" applyFont="1" applyFill="1" applyAlignment="1">
      <alignment horizontal="center" vertical="center"/>
    </xf>
    <xf numFmtId="38" fontId="46" fillId="2" borderId="0" xfId="5" applyNumberFormat="1" applyFont="1" applyFill="1" applyAlignment="1">
      <alignment horizontal="right"/>
    </xf>
    <xf numFmtId="0" fontId="46" fillId="9" borderId="0" xfId="4" applyFont="1" applyFill="1" applyAlignment="1">
      <alignment horizontal="left" indent="4"/>
    </xf>
    <xf numFmtId="9" fontId="46" fillId="2" borderId="0" xfId="7" applyFont="1" applyFill="1" applyAlignment="1">
      <alignment horizontal="right"/>
    </xf>
    <xf numFmtId="9" fontId="46" fillId="9" borderId="0" xfId="7" applyFont="1" applyFill="1" applyAlignment="1">
      <alignment horizontal="right"/>
    </xf>
    <xf numFmtId="0" fontId="52" fillId="9" borderId="0" xfId="6" applyFont="1" applyFill="1"/>
    <xf numFmtId="0" fontId="54" fillId="9" borderId="0" xfId="6" applyFont="1" applyFill="1"/>
    <xf numFmtId="0" fontId="40" fillId="9" borderId="0" xfId="6" applyFill="1"/>
    <xf numFmtId="0" fontId="40" fillId="9" borderId="0" xfId="6" applyFill="1" applyAlignment="1">
      <alignment horizontal="left"/>
    </xf>
    <xf numFmtId="0" fontId="36" fillId="9" borderId="0" xfId="3" applyFont="1" applyFill="1" applyAlignment="1">
      <alignment horizontal="center" vertical="center"/>
    </xf>
    <xf numFmtId="0" fontId="36" fillId="9" borderId="0" xfId="2" applyNumberFormat="1" applyFont="1" applyFill="1" applyAlignment="1">
      <alignment horizontal="center" vertical="center"/>
    </xf>
    <xf numFmtId="0" fontId="36" fillId="9" borderId="0" xfId="4" applyFont="1" applyFill="1" applyAlignment="1">
      <alignment horizontal="center" vertical="center"/>
    </xf>
    <xf numFmtId="0" fontId="37" fillId="9" borderId="0" xfId="4" applyFont="1" applyFill="1" applyAlignment="1">
      <alignment horizontal="center" vertical="center"/>
    </xf>
    <xf numFmtId="17" fontId="33" fillId="11" borderId="0" xfId="4" applyNumberFormat="1" applyFont="1" applyFill="1" applyAlignment="1">
      <alignment horizontal="center" vertical="center"/>
    </xf>
    <xf numFmtId="0" fontId="32" fillId="10" borderId="0" xfId="3" applyFont="1" applyFill="1" applyAlignment="1">
      <alignment horizontal="center" vertical="center"/>
    </xf>
    <xf numFmtId="0" fontId="35" fillId="9" borderId="0" xfId="3" applyFont="1" applyFill="1" applyAlignment="1">
      <alignment horizontal="center" vertical="center"/>
    </xf>
    <xf numFmtId="0" fontId="43" fillId="11" borderId="0" xfId="4" applyFont="1" applyFill="1" applyAlignment="1">
      <alignment horizontal="center" vertical="center"/>
    </xf>
    <xf numFmtId="0" fontId="52" fillId="9" borderId="0" xfId="6" applyFont="1" applyFill="1" applyAlignment="1">
      <alignment horizontal="center" vertical="center"/>
    </xf>
    <xf numFmtId="0" fontId="32" fillId="12" borderId="0" xfId="3" applyFont="1" applyFill="1"/>
    <xf numFmtId="0" fontId="32" fillId="12" borderId="0" xfId="3" applyFont="1" applyFill="1" applyAlignment="1">
      <alignment horizontal="center"/>
    </xf>
    <xf numFmtId="1" fontId="41" fillId="9" borderId="0" xfId="2" applyNumberFormat="1" applyFont="1" applyFill="1" applyAlignment="1">
      <alignment horizontal="left" vertical="center" indent="8"/>
    </xf>
    <xf numFmtId="14" fontId="55" fillId="9" borderId="0" xfId="3" applyNumberFormat="1" applyFont="1" applyFill="1"/>
    <xf numFmtId="0" fontId="56" fillId="9" borderId="0" xfId="6" applyFont="1" applyFill="1"/>
    <xf numFmtId="38" fontId="50" fillId="9" borderId="0" xfId="0" applyNumberFormat="1" applyFont="1" applyFill="1" applyAlignment="1">
      <alignment horizontal="right"/>
    </xf>
    <xf numFmtId="0" fontId="0" fillId="9" borderId="0" xfId="0" applyFill="1"/>
    <xf numFmtId="0" fontId="57" fillId="9" borderId="0" xfId="4" applyFont="1" applyFill="1" applyAlignment="1">
      <alignment horizontal="center"/>
    </xf>
    <xf numFmtId="0" fontId="57" fillId="9" borderId="0" xfId="4" applyFont="1" applyFill="1" applyAlignment="1">
      <alignment horizontal="left"/>
    </xf>
    <xf numFmtId="38" fontId="57" fillId="9" borderId="0" xfId="4" applyNumberFormat="1" applyFont="1" applyFill="1" applyAlignment="1">
      <alignment horizontal="right"/>
    </xf>
    <xf numFmtId="0" fontId="57" fillId="9" borderId="0" xfId="4" applyFont="1" applyFill="1"/>
    <xf numFmtId="0" fontId="57" fillId="9" borderId="0" xfId="4" applyFont="1" applyFill="1" applyAlignment="1">
      <alignment horizontal="left" indent="2"/>
    </xf>
    <xf numFmtId="0" fontId="48" fillId="9" borderId="0" xfId="0" applyFont="1" applyFill="1"/>
    <xf numFmtId="0" fontId="58" fillId="9" borderId="0" xfId="4" applyFont="1" applyFill="1" applyAlignment="1">
      <alignment horizontal="left"/>
    </xf>
    <xf numFmtId="166" fontId="57" fillId="9" borderId="0" xfId="4" applyNumberFormat="1" applyFont="1" applyFill="1" applyAlignment="1">
      <alignment horizontal="left"/>
    </xf>
    <xf numFmtId="0" fontId="57" fillId="9" borderId="0" xfId="0" applyFont="1" applyFill="1"/>
    <xf numFmtId="38" fontId="57" fillId="9" borderId="0" xfId="0" applyNumberFormat="1" applyFont="1" applyFill="1" applyAlignment="1">
      <alignment horizontal="right"/>
    </xf>
    <xf numFmtId="0" fontId="50" fillId="9" borderId="0" xfId="0" applyFont="1" applyFill="1"/>
    <xf numFmtId="0" fontId="46" fillId="9" borderId="0" xfId="0" applyFont="1" applyFill="1"/>
    <xf numFmtId="38" fontId="49" fillId="9" borderId="0" xfId="0" applyNumberFormat="1" applyFont="1" applyFill="1" applyAlignment="1">
      <alignment horizontal="right"/>
    </xf>
    <xf numFmtId="0" fontId="59" fillId="9" borderId="0" xfId="0" applyFont="1" applyFill="1" applyAlignment="1">
      <alignment horizontal="right"/>
    </xf>
    <xf numFmtId="0" fontId="59" fillId="9" borderId="0" xfId="0" applyFont="1" applyFill="1"/>
    <xf numFmtId="38" fontId="59" fillId="9" borderId="0" xfId="5" applyNumberFormat="1" applyFont="1" applyFill="1" applyAlignment="1">
      <alignment horizontal="right"/>
    </xf>
    <xf numFmtId="0" fontId="59" fillId="9" borderId="0" xfId="0" applyFont="1" applyFill="1" applyAlignment="1">
      <alignment horizontal="center" vertical="center"/>
    </xf>
    <xf numFmtId="10" fontId="59" fillId="9" borderId="0" xfId="7" applyNumberFormat="1" applyFont="1" applyFill="1" applyAlignment="1">
      <alignment horizontal="right"/>
    </xf>
    <xf numFmtId="0" fontId="46" fillId="9" borderId="0" xfId="0" applyFont="1" applyFill="1" applyAlignment="1">
      <alignment horizontal="left" indent="2"/>
    </xf>
    <xf numFmtId="0" fontId="57" fillId="9" borderId="0" xfId="0" applyFont="1" applyFill="1" applyAlignment="1">
      <alignment horizontal="left" indent="2"/>
    </xf>
    <xf numFmtId="0" fontId="47" fillId="9" borderId="0" xfId="0" applyFont="1" applyFill="1" applyAlignment="1">
      <alignment horizontal="right"/>
    </xf>
    <xf numFmtId="9" fontId="57" fillId="9" borderId="0" xfId="1" applyFont="1" applyFill="1" applyAlignment="1">
      <alignment horizontal="right"/>
    </xf>
    <xf numFmtId="164" fontId="46" fillId="9" borderId="0" xfId="2" applyNumberFormat="1" applyFont="1" applyFill="1" applyAlignment="1">
      <alignment horizontal="right"/>
    </xf>
    <xf numFmtId="164" fontId="46" fillId="2" borderId="0" xfId="2" applyNumberFormat="1" applyFont="1" applyFill="1" applyAlignment="1">
      <alignment horizontal="right"/>
    </xf>
    <xf numFmtId="0" fontId="43" fillId="9" borderId="0" xfId="4" applyFont="1" applyFill="1"/>
    <xf numFmtId="0" fontId="43" fillId="9" borderId="0" xfId="4" applyFont="1" applyFill="1" applyAlignment="1">
      <alignment horizontal="center"/>
    </xf>
    <xf numFmtId="0" fontId="42" fillId="9" borderId="0" xfId="4" applyFont="1" applyFill="1" applyAlignment="1">
      <alignment horizontal="center" vertical="center"/>
    </xf>
    <xf numFmtId="3" fontId="44" fillId="9" borderId="0" xfId="4" applyNumberFormat="1" applyFont="1" applyFill="1" applyAlignment="1">
      <alignment horizontal="center"/>
    </xf>
    <xf numFmtId="0" fontId="58" fillId="13" borderId="0" xfId="4" applyFont="1" applyFill="1" applyAlignment="1">
      <alignment horizontal="left"/>
    </xf>
    <xf numFmtId="0" fontId="46" fillId="13" borderId="0" xfId="4" applyFont="1" applyFill="1" applyAlignment="1">
      <alignment horizontal="center"/>
    </xf>
    <xf numFmtId="0" fontId="46" fillId="13" borderId="0" xfId="4" applyFont="1" applyFill="1" applyAlignment="1">
      <alignment horizontal="center" vertical="center"/>
    </xf>
    <xf numFmtId="0" fontId="46" fillId="13" borderId="0" xfId="0" applyFont="1" applyFill="1"/>
    <xf numFmtId="9" fontId="46" fillId="13" borderId="0" xfId="7" applyFont="1" applyFill="1" applyAlignment="1">
      <alignment horizontal="right"/>
    </xf>
    <xf numFmtId="166" fontId="61" fillId="9" borderId="0" xfId="4" applyNumberFormat="1" applyFont="1" applyFill="1" applyAlignment="1">
      <alignment horizontal="left"/>
    </xf>
    <xf numFmtId="0" fontId="61" fillId="9" borderId="0" xfId="0" applyFont="1" applyFill="1"/>
    <xf numFmtId="164" fontId="61" fillId="9" borderId="0" xfId="2" applyNumberFormat="1" applyFont="1" applyFill="1" applyAlignment="1">
      <alignment horizontal="right"/>
    </xf>
    <xf numFmtId="0" fontId="61" fillId="9" borderId="0" xfId="4" applyFont="1" applyFill="1" applyAlignment="1">
      <alignment horizontal="center" vertical="center"/>
    </xf>
    <xf numFmtId="0" fontId="45" fillId="9" borderId="0" xfId="4" applyFont="1" applyFill="1" applyAlignment="1">
      <alignment horizontal="center" vertical="center"/>
    </xf>
    <xf numFmtId="0" fontId="62" fillId="9" borderId="0" xfId="6" applyFont="1" applyFill="1"/>
    <xf numFmtId="38" fontId="45" fillId="9" borderId="0" xfId="4" applyNumberFormat="1" applyFont="1" applyFill="1" applyAlignment="1">
      <alignment horizontal="right"/>
    </xf>
    <xf numFmtId="164" fontId="57" fillId="9" borderId="0" xfId="2" applyNumberFormat="1" applyFont="1" applyFill="1" applyAlignment="1">
      <alignment horizontal="right"/>
    </xf>
    <xf numFmtId="0" fontId="57" fillId="9" borderId="0" xfId="4" applyFont="1" applyFill="1" applyAlignment="1">
      <alignment horizontal="center" vertical="center"/>
    </xf>
    <xf numFmtId="9" fontId="46" fillId="9" borderId="0" xfId="1" applyFont="1" applyFill="1" applyAlignment="1">
      <alignment horizontal="right"/>
    </xf>
    <xf numFmtId="0" fontId="64" fillId="9" borderId="0" xfId="6" applyFont="1" applyFill="1"/>
    <xf numFmtId="0" fontId="65" fillId="9" borderId="0" xfId="4" applyFont="1" applyFill="1" applyAlignment="1">
      <alignment horizontal="left"/>
    </xf>
    <xf numFmtId="164" fontId="66" fillId="2" borderId="0" xfId="2" applyNumberFormat="1" applyFont="1" applyFill="1" applyAlignment="1">
      <alignment horizontal="right"/>
    </xf>
    <xf numFmtId="0" fontId="63" fillId="9" borderId="0" xfId="0" applyFont="1" applyFill="1"/>
    <xf numFmtId="40" fontId="46" fillId="2" borderId="0" xfId="5" applyNumberFormat="1" applyFont="1" applyFill="1" applyAlignment="1">
      <alignment horizontal="right"/>
    </xf>
    <xf numFmtId="164" fontId="57" fillId="9" borderId="0" xfId="1" applyNumberFormat="1" applyFont="1" applyFill="1" applyAlignment="1">
      <alignment horizontal="right"/>
    </xf>
    <xf numFmtId="40" fontId="57" fillId="9" borderId="0" xfId="0" applyNumberFormat="1" applyFont="1" applyFill="1" applyAlignment="1">
      <alignment horizontal="right"/>
    </xf>
    <xf numFmtId="164" fontId="57" fillId="2" borderId="0" xfId="2" applyNumberFormat="1" applyFont="1" applyFill="1" applyAlignment="1">
      <alignment horizontal="right"/>
    </xf>
    <xf numFmtId="9" fontId="57" fillId="2" borderId="0" xfId="7" applyFont="1" applyFill="1" applyAlignment="1">
      <alignment horizontal="right"/>
    </xf>
    <xf numFmtId="0" fontId="60" fillId="9" borderId="0" xfId="0" applyFont="1" applyFill="1"/>
    <xf numFmtId="165" fontId="60" fillId="9" borderId="0" xfId="0" applyNumberFormat="1" applyFont="1" applyFill="1"/>
    <xf numFmtId="0" fontId="63" fillId="9" borderId="0" xfId="4" applyFont="1" applyFill="1" applyAlignment="1">
      <alignment horizontal="left" indent="2"/>
    </xf>
    <xf numFmtId="0" fontId="61" fillId="9" borderId="0" xfId="4" applyFont="1" applyFill="1" applyAlignment="1">
      <alignment horizontal="center"/>
    </xf>
    <xf numFmtId="38" fontId="61" fillId="2" borderId="0" xfId="4" applyNumberFormat="1" applyFont="1" applyFill="1" applyAlignment="1">
      <alignment horizontal="right"/>
    </xf>
    <xf numFmtId="0" fontId="43" fillId="9" borderId="0" xfId="4" applyFont="1" applyFill="1" applyAlignment="1">
      <alignment horizontal="center" vertical="center"/>
    </xf>
    <xf numFmtId="40" fontId="46" fillId="2" borderId="0" xfId="4" applyNumberFormat="1" applyFont="1" applyFill="1" applyAlignment="1">
      <alignment horizontal="right"/>
    </xf>
    <xf numFmtId="0" fontId="67" fillId="9" borderId="0" xfId="4" applyFont="1" applyFill="1" applyAlignment="1">
      <alignment horizontal="center"/>
    </xf>
    <xf numFmtId="40" fontId="46" fillId="9" borderId="0" xfId="4" applyNumberFormat="1" applyFont="1" applyFill="1" applyAlignment="1">
      <alignment horizontal="right"/>
    </xf>
    <xf numFmtId="40" fontId="50" fillId="9" borderId="0" xfId="6" applyNumberFormat="1" applyFont="1" applyFill="1" applyAlignment="1">
      <alignment horizontal="right"/>
    </xf>
    <xf numFmtId="38" fontId="46" fillId="9" borderId="0" xfId="5" applyNumberFormat="1" applyFont="1" applyFill="1" applyAlignment="1">
      <alignment horizontal="right"/>
    </xf>
    <xf numFmtId="3" fontId="46" fillId="9" borderId="0" xfId="4" applyNumberFormat="1" applyFont="1" applyFill="1" applyAlignment="1">
      <alignment horizontal="right"/>
    </xf>
    <xf numFmtId="0" fontId="46" fillId="9" borderId="0" xfId="4" applyFont="1" applyFill="1"/>
    <xf numFmtId="38" fontId="46" fillId="9" borderId="0" xfId="0" applyNumberFormat="1" applyFont="1" applyFill="1" applyAlignment="1">
      <alignment horizontal="right"/>
    </xf>
    <xf numFmtId="0" fontId="46" fillId="9" borderId="0" xfId="0" applyFont="1" applyFill="1" applyAlignment="1">
      <alignment horizontal="center" vertical="center"/>
    </xf>
    <xf numFmtId="38" fontId="46" fillId="9" borderId="0" xfId="7" applyNumberFormat="1" applyFont="1" applyFill="1" applyAlignment="1">
      <alignment horizontal="right"/>
    </xf>
    <xf numFmtId="0" fontId="47" fillId="9" borderId="0" xfId="0" applyFont="1" applyFill="1"/>
    <xf numFmtId="38" fontId="47" fillId="9" borderId="0" xfId="5" applyNumberFormat="1" applyFont="1" applyFill="1" applyAlignment="1">
      <alignment horizontal="right"/>
    </xf>
    <xf numFmtId="0" fontId="48" fillId="9" borderId="0" xfId="0" applyFont="1" applyFill="1" applyAlignment="1">
      <alignment horizontal="center" vertical="center"/>
    </xf>
    <xf numFmtId="10" fontId="48" fillId="9" borderId="0" xfId="7" applyNumberFormat="1" applyFont="1" applyFill="1" applyAlignment="1">
      <alignment horizontal="right"/>
    </xf>
    <xf numFmtId="9" fontId="46" fillId="2" borderId="0" xfId="1" applyFont="1" applyFill="1" applyAlignment="1">
      <alignment horizontal="right"/>
    </xf>
    <xf numFmtId="40" fontId="47" fillId="9" borderId="0" xfId="5" applyNumberFormat="1" applyFont="1" applyFill="1" applyAlignment="1">
      <alignment horizontal="right"/>
    </xf>
    <xf numFmtId="10" fontId="46" fillId="2" borderId="0" xfId="1" applyNumberFormat="1" applyFont="1" applyFill="1" applyAlignment="1">
      <alignment horizontal="right"/>
    </xf>
    <xf numFmtId="10" fontId="46" fillId="9" borderId="0" xfId="1" applyNumberFormat="1" applyFont="1" applyFill="1" applyAlignment="1">
      <alignment horizontal="right"/>
    </xf>
    <xf numFmtId="0" fontId="30" fillId="9" borderId="0" xfId="0" applyFont="1" applyFill="1"/>
    <xf numFmtId="9" fontId="46" fillId="9" borderId="0" xfId="1" applyFont="1" applyFill="1" applyBorder="1" applyAlignment="1">
      <alignment horizontal="right"/>
    </xf>
    <xf numFmtId="0" fontId="45" fillId="9" borderId="1" xfId="4" applyFont="1" applyFill="1" applyBorder="1" applyAlignment="1">
      <alignment horizontal="left"/>
    </xf>
    <xf numFmtId="0" fontId="45" fillId="9" borderId="1" xfId="4" applyFont="1" applyFill="1" applyBorder="1" applyAlignment="1">
      <alignment horizontal="center" vertical="center"/>
    </xf>
    <xf numFmtId="0" fontId="30" fillId="9" borderId="1" xfId="0" applyFont="1" applyFill="1" applyBorder="1"/>
    <xf numFmtId="38" fontId="45" fillId="9" borderId="1" xfId="4" applyNumberFormat="1" applyFont="1" applyFill="1" applyBorder="1" applyAlignment="1">
      <alignment horizontal="right"/>
    </xf>
    <xf numFmtId="38" fontId="45" fillId="3" borderId="1" xfId="4" applyNumberFormat="1" applyFont="1" applyFill="1" applyBorder="1" applyAlignment="1">
      <alignment horizontal="right"/>
    </xf>
    <xf numFmtId="38" fontId="45" fillId="2" borderId="1" xfId="4" applyNumberFormat="1" applyFont="1" applyFill="1" applyBorder="1" applyAlignment="1">
      <alignment horizontal="right"/>
    </xf>
    <xf numFmtId="0" fontId="0" fillId="9" borderId="0" xfId="0" applyFill="1" applyAlignment="1">
      <alignment horizontal="center" vertical="center"/>
    </xf>
    <xf numFmtId="9" fontId="46" fillId="9" borderId="0" xfId="4" applyNumberFormat="1" applyFont="1" applyFill="1" applyAlignment="1">
      <alignment horizontal="right"/>
    </xf>
    <xf numFmtId="0" fontId="0" fillId="9" borderId="0" xfId="0" applyFill="1" applyAlignment="1">
      <alignment horizontal="left"/>
    </xf>
    <xf numFmtId="0" fontId="30" fillId="9" borderId="0" xfId="0" applyFont="1" applyFill="1" applyAlignment="1">
      <alignment horizontal="left"/>
    </xf>
    <xf numFmtId="0" fontId="36" fillId="9" borderId="0" xfId="6" applyFont="1" applyFill="1" applyAlignment="1">
      <alignment horizontal="center" vertical="center"/>
    </xf>
    <xf numFmtId="0" fontId="36" fillId="9" borderId="0" xfId="6" applyFont="1" applyFill="1"/>
    <xf numFmtId="0" fontId="47" fillId="9" borderId="0" xfId="0" applyFont="1" applyFill="1" applyAlignment="1">
      <alignment horizontal="center" vertical="center"/>
    </xf>
    <xf numFmtId="10" fontId="50" fillId="9" borderId="0" xfId="0" applyNumberFormat="1" applyFont="1" applyFill="1"/>
    <xf numFmtId="10" fontId="50" fillId="9" borderId="0" xfId="7" applyNumberFormat="1" applyFont="1" applyFill="1" applyAlignment="1">
      <alignment horizontal="right"/>
    </xf>
    <xf numFmtId="38" fontId="50" fillId="9" borderId="0" xfId="5" applyNumberFormat="1" applyFont="1" applyFill="1" applyAlignment="1">
      <alignment horizontal="right"/>
    </xf>
    <xf numFmtId="9" fontId="50" fillId="9" borderId="0" xfId="7" applyFont="1" applyFill="1" applyAlignment="1">
      <alignment horizontal="right"/>
    </xf>
    <xf numFmtId="38" fontId="50" fillId="9" borderId="0" xfId="7" applyNumberFormat="1" applyFont="1" applyFill="1" applyAlignment="1">
      <alignment horizontal="right"/>
    </xf>
    <xf numFmtId="38" fontId="49" fillId="9" borderId="0" xfId="5" applyNumberFormat="1" applyFont="1" applyFill="1" applyAlignment="1">
      <alignment horizontal="right"/>
    </xf>
    <xf numFmtId="3" fontId="3" fillId="14" borderId="0" xfId="0" applyNumberFormat="1" applyFont="1" applyFill="1"/>
    <xf numFmtId="0" fontId="3" fillId="14" borderId="0" xfId="0" applyFont="1" applyFill="1" applyAlignment="1">
      <alignment horizontal="right"/>
    </xf>
    <xf numFmtId="3" fontId="17" fillId="14" borderId="0" xfId="0" applyNumberFormat="1" applyFont="1" applyFill="1"/>
    <xf numFmtId="3" fontId="23" fillId="14" borderId="0" xfId="0" applyNumberFormat="1" applyFont="1" applyFill="1"/>
    <xf numFmtId="0" fontId="16" fillId="14" borderId="0" xfId="0" applyFont="1" applyFill="1" applyAlignment="1">
      <alignment horizontal="right"/>
    </xf>
    <xf numFmtId="0" fontId="3" fillId="14" borderId="0" xfId="0" applyFont="1" applyFill="1"/>
    <xf numFmtId="0" fontId="27" fillId="14" borderId="0" xfId="0" applyFont="1" applyFill="1"/>
    <xf numFmtId="164" fontId="26" fillId="14" borderId="0" xfId="0" applyNumberFormat="1" applyFont="1" applyFill="1"/>
    <xf numFmtId="3" fontId="26" fillId="14" borderId="0" xfId="0" applyNumberFormat="1" applyFont="1" applyFill="1"/>
    <xf numFmtId="0" fontId="17" fillId="14" borderId="0" xfId="0" applyFont="1" applyFill="1"/>
    <xf numFmtId="0" fontId="16" fillId="14" borderId="0" xfId="0" applyFont="1" applyFill="1"/>
    <xf numFmtId="0" fontId="25" fillId="14" borderId="0" xfId="0" applyFont="1" applyFill="1"/>
    <xf numFmtId="164" fontId="24" fillId="14" borderId="0" xfId="0" applyNumberFormat="1" applyFont="1" applyFill="1"/>
    <xf numFmtId="3" fontId="24" fillId="14" borderId="0" xfId="0" applyNumberFormat="1" applyFont="1" applyFill="1"/>
    <xf numFmtId="3" fontId="16" fillId="14" borderId="0" xfId="0" applyNumberFormat="1" applyFont="1" applyFill="1"/>
    <xf numFmtId="10" fontId="0" fillId="9" borderId="0" xfId="1" applyNumberFormat="1" applyFont="1" applyFill="1" applyAlignment="1">
      <alignment horizontal="left"/>
    </xf>
    <xf numFmtId="10" fontId="46" fillId="9" borderId="0" xfId="1" applyNumberFormat="1" applyFont="1" applyFill="1" applyAlignment="1">
      <alignment horizontal="left"/>
    </xf>
    <xf numFmtId="164" fontId="46" fillId="9" borderId="0" xfId="7" applyNumberFormat="1" applyFont="1" applyFill="1" applyAlignment="1">
      <alignment horizontal="right"/>
    </xf>
    <xf numFmtId="0" fontId="50" fillId="9" borderId="0" xfId="6" applyFont="1" applyFill="1" applyAlignment="1">
      <alignment horizontal="center" vertical="center"/>
    </xf>
    <xf numFmtId="0" fontId="46" fillId="9" borderId="0" xfId="6" applyFont="1" applyFill="1" applyAlignment="1">
      <alignment horizontal="left" indent="2"/>
    </xf>
    <xf numFmtId="38" fontId="50" fillId="9" borderId="0" xfId="6" applyNumberFormat="1" applyFont="1" applyFill="1"/>
    <xf numFmtId="1" fontId="50" fillId="9" borderId="0" xfId="6" applyNumberFormat="1" applyFont="1" applyFill="1"/>
    <xf numFmtId="164" fontId="50" fillId="9" borderId="0" xfId="2" applyNumberFormat="1" applyFont="1" applyFill="1"/>
    <xf numFmtId="167" fontId="50" fillId="9" borderId="0" xfId="6" applyNumberFormat="1" applyFont="1" applyFill="1"/>
    <xf numFmtId="0" fontId="6" fillId="0" borderId="0" xfId="0" applyFont="1" applyAlignment="1">
      <alignment horizontal="left"/>
    </xf>
    <xf numFmtId="165" fontId="6" fillId="0" borderId="0" xfId="1" applyNumberFormat="1" applyFont="1"/>
    <xf numFmtId="3" fontId="3" fillId="0" borderId="0" xfId="1" applyNumberFormat="1" applyFont="1" applyAlignment="1">
      <alignment horizontal="left" indent="1"/>
    </xf>
    <xf numFmtId="3" fontId="4" fillId="0" borderId="0" xfId="1" applyNumberFormat="1" applyFont="1" applyAlignment="1">
      <alignment horizontal="left" indent="2"/>
    </xf>
    <xf numFmtId="165" fontId="4" fillId="0" borderId="0" xfId="1" applyNumberFormat="1" applyFont="1" applyAlignment="1">
      <alignment horizontal="left" indent="2"/>
    </xf>
    <xf numFmtId="3" fontId="74" fillId="0" borderId="0" xfId="1" applyNumberFormat="1" applyFont="1" applyAlignment="1">
      <alignment horizontal="left" indent="1"/>
    </xf>
    <xf numFmtId="3" fontId="74" fillId="0" borderId="0" xfId="0" applyNumberFormat="1" applyFont="1"/>
    <xf numFmtId="165" fontId="3" fillId="0" borderId="0" xfId="1" applyNumberFormat="1" applyFont="1"/>
    <xf numFmtId="165" fontId="3" fillId="0" borderId="0" xfId="1" applyNumberFormat="1" applyFont="1" applyAlignment="1">
      <alignment horizontal="left" indent="1"/>
    </xf>
    <xf numFmtId="10" fontId="3" fillId="0" borderId="0" xfId="1" applyNumberFormat="1" applyFont="1"/>
    <xf numFmtId="0" fontId="75" fillId="0" borderId="0" xfId="0" applyFont="1" applyAlignment="1">
      <alignment wrapText="1"/>
    </xf>
    <xf numFmtId="10" fontId="6" fillId="0" borderId="0" xfId="1" applyNumberFormat="1" applyFont="1"/>
    <xf numFmtId="3" fontId="60" fillId="0" borderId="0" xfId="0" applyNumberFormat="1" applyFont="1"/>
    <xf numFmtId="3" fontId="76" fillId="0" borderId="0" xfId="0" applyNumberFormat="1" applyFont="1" applyAlignment="1">
      <alignment horizontal="left" indent="1"/>
    </xf>
    <xf numFmtId="3" fontId="77" fillId="0" borderId="0" xfId="0" applyNumberFormat="1" applyFont="1"/>
    <xf numFmtId="3" fontId="22" fillId="0" borderId="0" xfId="0" applyNumberFormat="1" applyFont="1"/>
    <xf numFmtId="3" fontId="75" fillId="0" borderId="0" xfId="0" applyNumberFormat="1" applyFont="1" applyAlignment="1">
      <alignment wrapText="1"/>
    </xf>
    <xf numFmtId="3" fontId="9" fillId="0" borderId="0" xfId="0" applyNumberFormat="1" applyFont="1"/>
    <xf numFmtId="3" fontId="78" fillId="0" borderId="0" xfId="0" applyNumberFormat="1" applyFont="1"/>
    <xf numFmtId="165" fontId="18" fillId="0" borderId="0" xfId="1" applyNumberFormat="1" applyFont="1" applyAlignment="1">
      <alignment horizontal="left" indent="1"/>
    </xf>
    <xf numFmtId="40" fontId="46" fillId="9" borderId="0" xfId="5" applyNumberFormat="1" applyFont="1" applyFill="1" applyAlignment="1">
      <alignment horizontal="right"/>
    </xf>
    <xf numFmtId="3" fontId="50" fillId="9" borderId="0" xfId="6" applyNumberFormat="1" applyFont="1" applyFill="1"/>
    <xf numFmtId="165" fontId="4" fillId="2" borderId="0" xfId="1" applyNumberFormat="1" applyFont="1" applyFill="1"/>
    <xf numFmtId="165" fontId="3" fillId="2" borderId="0" xfId="1" applyNumberFormat="1" applyFont="1" applyFill="1"/>
    <xf numFmtId="10" fontId="3" fillId="2" borderId="0" xfId="1" applyNumberFormat="1" applyFont="1" applyFill="1"/>
    <xf numFmtId="0" fontId="45" fillId="9" borderId="0" xfId="4" applyFont="1" applyFill="1" applyAlignment="1">
      <alignment horizontal="left" indent="3"/>
    </xf>
    <xf numFmtId="0" fontId="46" fillId="9" borderId="0" xfId="4" applyFont="1" applyFill="1" applyAlignment="1">
      <alignment horizontal="left" indent="5"/>
    </xf>
    <xf numFmtId="0" fontId="0" fillId="9" borderId="0" xfId="0" applyFill="1" applyAlignment="1">
      <alignment horizontal="left" indent="3"/>
    </xf>
    <xf numFmtId="10" fontId="46" fillId="3" borderId="0" xfId="1" applyNumberFormat="1" applyFont="1" applyFill="1" applyAlignment="1">
      <alignment horizontal="left"/>
    </xf>
    <xf numFmtId="38" fontId="46" fillId="3" borderId="0" xfId="4" applyNumberFormat="1" applyFont="1" applyFill="1" applyAlignment="1">
      <alignment horizontal="right"/>
    </xf>
    <xf numFmtId="0" fontId="0" fillId="15" borderId="0" xfId="0" applyFill="1"/>
    <xf numFmtId="38" fontId="46" fillId="15" borderId="0" xfId="4" applyNumberFormat="1" applyFont="1" applyFill="1" applyAlignment="1">
      <alignment horizontal="right"/>
    </xf>
    <xf numFmtId="10" fontId="0" fillId="15" borderId="0" xfId="1" applyNumberFormat="1" applyFont="1" applyFill="1" applyAlignment="1">
      <alignment horizontal="left"/>
    </xf>
    <xf numFmtId="0" fontId="9" fillId="15" borderId="0" xfId="0" applyFont="1" applyFill="1"/>
    <xf numFmtId="0" fontId="46" fillId="15" borderId="0" xfId="4" applyFont="1" applyFill="1" applyAlignment="1">
      <alignment horizontal="left" indent="2"/>
    </xf>
    <xf numFmtId="0" fontId="0" fillId="15" borderId="0" xfId="0" applyFill="1" applyAlignment="1">
      <alignment horizontal="center" vertical="center"/>
    </xf>
    <xf numFmtId="9" fontId="46" fillId="15" borderId="0" xfId="4" applyNumberFormat="1" applyFont="1" applyFill="1" applyAlignment="1">
      <alignment horizontal="right"/>
    </xf>
    <xf numFmtId="10" fontId="46" fillId="15" borderId="0" xfId="1" applyNumberFormat="1" applyFont="1" applyFill="1" applyAlignment="1">
      <alignment horizontal="right"/>
    </xf>
    <xf numFmtId="0" fontId="46" fillId="15" borderId="0" xfId="4" applyFont="1" applyFill="1" applyAlignment="1">
      <alignment horizontal="center" vertical="center"/>
    </xf>
    <xf numFmtId="164" fontId="46" fillId="15" borderId="0" xfId="2" applyNumberFormat="1" applyFont="1" applyFill="1" applyAlignment="1">
      <alignment horizontal="right"/>
    </xf>
    <xf numFmtId="10" fontId="46" fillId="15" borderId="0" xfId="1" applyNumberFormat="1" applyFont="1" applyFill="1" applyAlignment="1">
      <alignment horizontal="left"/>
    </xf>
    <xf numFmtId="0" fontId="79" fillId="15" borderId="0" xfId="0" applyFont="1" applyFill="1"/>
    <xf numFmtId="0" fontId="63" fillId="15" borderId="0" xfId="4" applyFont="1" applyFill="1" applyAlignment="1">
      <alignment horizontal="left" indent="2"/>
    </xf>
    <xf numFmtId="2" fontId="7" fillId="0" borderId="0" xfId="0" applyNumberFormat="1" applyFont="1"/>
    <xf numFmtId="164" fontId="80" fillId="0" borderId="0" xfId="0" applyNumberFormat="1" applyFont="1"/>
    <xf numFmtId="3" fontId="80" fillId="0" borderId="0" xfId="0" applyNumberFormat="1" applyFont="1"/>
    <xf numFmtId="3" fontId="3" fillId="0" borderId="0" xfId="0" applyNumberFormat="1" applyFont="1" applyAlignment="1">
      <alignment horizontal="left" indent="2"/>
    </xf>
    <xf numFmtId="0" fontId="9" fillId="3" borderId="0" xfId="0" applyFont="1" applyFill="1"/>
    <xf numFmtId="3" fontId="3" fillId="15" borderId="0" xfId="0" applyNumberFormat="1" applyFont="1" applyFill="1"/>
    <xf numFmtId="3" fontId="8" fillId="16" borderId="0" xfId="0" applyNumberFormat="1" applyFont="1" applyFill="1"/>
    <xf numFmtId="0" fontId="8" fillId="16" borderId="0" xfId="0" applyFont="1" applyFill="1"/>
    <xf numFmtId="3" fontId="8" fillId="15" borderId="0" xfId="0" applyNumberFormat="1" applyFont="1" applyFill="1"/>
    <xf numFmtId="0" fontId="8" fillId="15" borderId="0" xfId="0" applyFont="1" applyFill="1"/>
    <xf numFmtId="165" fontId="5" fillId="0" borderId="0" xfId="1" applyNumberFormat="1" applyFont="1"/>
    <xf numFmtId="3" fontId="3" fillId="2" borderId="0" xfId="0" applyNumberFormat="1" applyFont="1" applyFill="1"/>
    <xf numFmtId="10" fontId="4" fillId="2" borderId="3" xfId="1" applyNumberFormat="1" applyFont="1" applyFill="1" applyBorder="1"/>
    <xf numFmtId="10" fontId="6" fillId="2" borderId="0" xfId="1" applyNumberFormat="1" applyFont="1" applyFill="1"/>
    <xf numFmtId="3" fontId="4" fillId="2" borderId="3" xfId="0" applyNumberFormat="1" applyFont="1" applyFill="1" applyBorder="1"/>
    <xf numFmtId="3" fontId="4" fillId="0" borderId="0" xfId="0" applyNumberFormat="1" applyFont="1" applyAlignment="1">
      <alignment horizontal="left" indent="1"/>
    </xf>
    <xf numFmtId="0" fontId="4" fillId="0" borderId="3" xfId="0" applyFont="1" applyBorder="1"/>
    <xf numFmtId="3" fontId="17" fillId="2" borderId="3" xfId="0" applyNumberFormat="1" applyFont="1" applyFill="1" applyBorder="1"/>
    <xf numFmtId="3" fontId="74" fillId="2" borderId="0" xfId="0" applyNumberFormat="1" applyFont="1" applyFill="1"/>
    <xf numFmtId="3" fontId="17" fillId="0" borderId="0" xfId="0" applyNumberFormat="1" applyFont="1" applyAlignment="1">
      <alignment horizontal="left" indent="1"/>
    </xf>
    <xf numFmtId="0" fontId="17" fillId="0" borderId="3" xfId="0" applyFont="1" applyBorder="1"/>
    <xf numFmtId="0" fontId="74" fillId="0" borderId="0" xfId="0" applyFont="1"/>
    <xf numFmtId="0" fontId="3" fillId="0" borderId="3" xfId="0" applyFont="1" applyBorder="1"/>
    <xf numFmtId="10" fontId="3" fillId="2" borderId="3" xfId="1" applyNumberFormat="1" applyFont="1" applyFill="1" applyBorder="1"/>
    <xf numFmtId="165" fontId="17" fillId="2" borderId="3" xfId="1" applyNumberFormat="1" applyFont="1" applyFill="1" applyBorder="1"/>
    <xf numFmtId="165" fontId="17" fillId="0" borderId="0" xfId="1" applyNumberFormat="1" applyFont="1"/>
    <xf numFmtId="165" fontId="17" fillId="2" borderId="0" xfId="0" applyNumberFormat="1" applyFont="1" applyFill="1"/>
    <xf numFmtId="10" fontId="74" fillId="0" borderId="0" xfId="1" applyNumberFormat="1" applyFont="1"/>
    <xf numFmtId="10" fontId="17" fillId="0" borderId="0" xfId="1" applyNumberFormat="1" applyFont="1" applyAlignment="1">
      <alignment horizontal="left" indent="1"/>
    </xf>
    <xf numFmtId="165" fontId="17" fillId="0" borderId="0" xfId="1" applyNumberFormat="1" applyFont="1" applyAlignment="1">
      <alignment horizontal="left" indent="1"/>
    </xf>
    <xf numFmtId="165" fontId="20" fillId="0" borderId="0" xfId="1" applyNumberFormat="1" applyFont="1" applyFill="1"/>
    <xf numFmtId="165" fontId="20" fillId="0" borderId="3" xfId="1" applyNumberFormat="1" applyFont="1" applyFill="1" applyBorder="1"/>
    <xf numFmtId="165" fontId="6" fillId="0" borderId="0" xfId="1" applyNumberFormat="1" applyFont="1" applyFill="1"/>
    <xf numFmtId="165" fontId="5" fillId="0" borderId="0" xfId="1" applyNumberFormat="1" applyFont="1" applyFill="1" applyAlignment="1">
      <alignment horizontal="left" indent="1"/>
    </xf>
    <xf numFmtId="165" fontId="17" fillId="0" borderId="0" xfId="1" applyNumberFormat="1" applyFont="1" applyFill="1"/>
    <xf numFmtId="165" fontId="74" fillId="0" borderId="0" xfId="1" applyNumberFormat="1" applyFont="1"/>
    <xf numFmtId="3" fontId="81" fillId="0" borderId="0" xfId="0" applyNumberFormat="1" applyFont="1"/>
    <xf numFmtId="165" fontId="82" fillId="2" borderId="3" xfId="1" applyNumberFormat="1" applyFont="1" applyFill="1" applyBorder="1"/>
    <xf numFmtId="165" fontId="82" fillId="0" borderId="0" xfId="1" applyNumberFormat="1" applyFont="1"/>
    <xf numFmtId="165" fontId="82" fillId="2" borderId="0" xfId="1" applyNumberFormat="1" applyFont="1" applyFill="1"/>
    <xf numFmtId="165" fontId="82" fillId="0" borderId="0" xfId="1" applyNumberFormat="1" applyFont="1" applyAlignment="1">
      <alignment horizontal="left" indent="3"/>
    </xf>
    <xf numFmtId="165" fontId="82" fillId="0" borderId="3" xfId="1" applyNumberFormat="1" applyFont="1" applyFill="1" applyBorder="1"/>
    <xf numFmtId="165" fontId="82" fillId="0" borderId="0" xfId="1" applyNumberFormat="1" applyFont="1" applyFill="1"/>
    <xf numFmtId="165" fontId="82" fillId="0" borderId="0" xfId="1" applyNumberFormat="1" applyFont="1" applyAlignment="1">
      <alignment horizontal="left" indent="1"/>
    </xf>
    <xf numFmtId="165" fontId="20" fillId="2" borderId="3" xfId="1" applyNumberFormat="1" applyFont="1" applyFill="1" applyBorder="1"/>
    <xf numFmtId="3" fontId="8" fillId="0" borderId="3" xfId="0" applyNumberFormat="1" applyFont="1" applyBorder="1"/>
    <xf numFmtId="3" fontId="83" fillId="0" borderId="0" xfId="0" applyNumberFormat="1" applyFont="1"/>
    <xf numFmtId="3" fontId="84" fillId="0" borderId="0" xfId="0" applyNumberFormat="1" applyFont="1"/>
    <xf numFmtId="3" fontId="84" fillId="0" borderId="3" xfId="0" applyNumberFormat="1" applyFont="1" applyBorder="1"/>
    <xf numFmtId="3" fontId="8" fillId="17" borderId="3" xfId="0" applyNumberFormat="1" applyFont="1" applyFill="1" applyBorder="1"/>
    <xf numFmtId="3" fontId="8" fillId="17" borderId="0" xfId="0" applyNumberFormat="1" applyFont="1" applyFill="1"/>
    <xf numFmtId="3" fontId="83" fillId="17" borderId="0" xfId="0" applyNumberFormat="1" applyFont="1" applyFill="1"/>
    <xf numFmtId="3" fontId="6" fillId="17" borderId="0" xfId="0" applyNumberFormat="1" applyFont="1" applyFill="1"/>
    <xf numFmtId="3" fontId="85" fillId="0" borderId="0" xfId="0" applyNumberFormat="1" applyFont="1"/>
    <xf numFmtId="3" fontId="81" fillId="0" borderId="3" xfId="0" applyNumberFormat="1" applyFont="1" applyBorder="1"/>
    <xf numFmtId="3" fontId="86" fillId="0" borderId="0" xfId="0" applyNumberFormat="1" applyFont="1"/>
    <xf numFmtId="3" fontId="4" fillId="0" borderId="3" xfId="0" applyNumberFormat="1" applyFont="1" applyBorder="1"/>
    <xf numFmtId="3" fontId="87" fillId="0" borderId="0" xfId="0" applyNumberFormat="1" applyFont="1"/>
    <xf numFmtId="3" fontId="87" fillId="0" borderId="3" xfId="0" applyNumberFormat="1" applyFont="1" applyBorder="1"/>
    <xf numFmtId="3" fontId="88" fillId="0" borderId="0" xfId="0" applyNumberFormat="1" applyFont="1"/>
    <xf numFmtId="4" fontId="74" fillId="0" borderId="3" xfId="0" applyNumberFormat="1" applyFont="1" applyBorder="1"/>
    <xf numFmtId="4" fontId="74" fillId="0" borderId="0" xfId="0" applyNumberFormat="1" applyFont="1"/>
    <xf numFmtId="3" fontId="9" fillId="0" borderId="3" xfId="0" applyNumberFormat="1" applyFont="1" applyBorder="1"/>
    <xf numFmtId="3" fontId="89" fillId="0" borderId="0" xfId="0" applyNumberFormat="1" applyFont="1"/>
    <xf numFmtId="3" fontId="89" fillId="2" borderId="3" xfId="0" applyNumberFormat="1" applyFont="1" applyFill="1" applyBorder="1"/>
    <xf numFmtId="165" fontId="6" fillId="2" borderId="0" xfId="1" applyNumberFormat="1" applyFont="1" applyFill="1"/>
    <xf numFmtId="3" fontId="90" fillId="0" borderId="0" xfId="0" applyNumberFormat="1" applyFont="1"/>
    <xf numFmtId="3" fontId="90" fillId="0" borderId="3" xfId="0" applyNumberFormat="1" applyFont="1" applyBorder="1"/>
    <xf numFmtId="0" fontId="90" fillId="0" borderId="0" xfId="0" applyFont="1"/>
    <xf numFmtId="0" fontId="87" fillId="0" borderId="0" xfId="0" applyFont="1"/>
    <xf numFmtId="3" fontId="3" fillId="0" borderId="3" xfId="0" applyNumberFormat="1" applyFont="1" applyBorder="1"/>
    <xf numFmtId="3" fontId="3" fillId="0" borderId="0" xfId="0" applyNumberFormat="1" applyFont="1" applyAlignment="1">
      <alignment horizontal="left" indent="1"/>
    </xf>
    <xf numFmtId="3" fontId="8" fillId="0" borderId="0" xfId="1" applyNumberFormat="1" applyFont="1"/>
    <xf numFmtId="3" fontId="8" fillId="0" borderId="3" xfId="1" applyNumberFormat="1" applyFont="1" applyFill="1" applyBorder="1"/>
    <xf numFmtId="3" fontId="8" fillId="0" borderId="0" xfId="1" applyNumberFormat="1" applyFont="1" applyFill="1"/>
    <xf numFmtId="3" fontId="6" fillId="0" borderId="0" xfId="1" applyNumberFormat="1" applyFont="1"/>
    <xf numFmtId="3" fontId="8" fillId="0" borderId="0" xfId="0" applyNumberFormat="1" applyFont="1" applyAlignment="1">
      <alignment horizontal="left"/>
    </xf>
    <xf numFmtId="0" fontId="3" fillId="0" borderId="0" xfId="0" applyFont="1" applyAlignment="1">
      <alignment horizontal="left" indent="1"/>
    </xf>
    <xf numFmtId="9" fontId="3" fillId="0" borderId="0" xfId="1" applyFont="1"/>
    <xf numFmtId="9" fontId="3" fillId="0" borderId="3" xfId="1" applyFont="1" applyFill="1" applyBorder="1"/>
    <xf numFmtId="9" fontId="3" fillId="0" borderId="0" xfId="1" applyFont="1" applyFill="1"/>
    <xf numFmtId="9" fontId="6" fillId="0" borderId="0" xfId="1" applyFont="1"/>
    <xf numFmtId="9" fontId="3" fillId="0" borderId="0" xfId="1" applyFont="1" applyAlignment="1">
      <alignment horizontal="left" indent="1"/>
    </xf>
    <xf numFmtId="10" fontId="20" fillId="0" borderId="3" xfId="1" applyNumberFormat="1" applyFont="1" applyFill="1" applyBorder="1"/>
    <xf numFmtId="10" fontId="20" fillId="0" borderId="0" xfId="1" applyNumberFormat="1" applyFont="1" applyFill="1"/>
    <xf numFmtId="0" fontId="3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3" fontId="91" fillId="0" borderId="0" xfId="0" applyNumberFormat="1" applyFont="1"/>
    <xf numFmtId="3" fontId="92" fillId="0" borderId="0" xfId="0" applyNumberFormat="1" applyFont="1"/>
    <xf numFmtId="3" fontId="7" fillId="0" borderId="3" xfId="0" applyNumberFormat="1" applyFont="1" applyBorder="1"/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5" fontId="3" fillId="2" borderId="3" xfId="1" applyNumberFormat="1" applyFont="1" applyFill="1" applyBorder="1"/>
    <xf numFmtId="3" fontId="3" fillId="15" borderId="3" xfId="0" applyNumberFormat="1" applyFont="1" applyFill="1" applyBorder="1"/>
    <xf numFmtId="165" fontId="20" fillId="15" borderId="3" xfId="1" applyNumberFormat="1" applyFont="1" applyFill="1" applyBorder="1"/>
    <xf numFmtId="165" fontId="4" fillId="0" borderId="3" xfId="1" applyNumberFormat="1" applyFont="1" applyBorder="1"/>
    <xf numFmtId="0" fontId="4" fillId="0" borderId="2" xfId="0" applyFont="1" applyBorder="1" applyAlignment="1">
      <alignment horizontal="center" vertical="center"/>
    </xf>
    <xf numFmtId="0" fontId="6" fillId="0" borderId="3" xfId="0" applyFont="1" applyBorder="1"/>
    <xf numFmtId="0" fontId="20" fillId="0" borderId="0" xfId="0" applyFont="1"/>
    <xf numFmtId="165" fontId="3" fillId="0" borderId="3" xfId="1" applyNumberFormat="1" applyFont="1" applyFill="1" applyBorder="1"/>
    <xf numFmtId="165" fontId="3" fillId="0" borderId="0" xfId="1" applyNumberFormat="1" applyFont="1" applyFill="1"/>
    <xf numFmtId="10" fontId="3" fillId="0" borderId="0" xfId="1" applyNumberFormat="1" applyFont="1" applyFill="1"/>
    <xf numFmtId="3" fontId="3" fillId="2" borderId="3" xfId="1" applyNumberFormat="1" applyFont="1" applyFill="1" applyBorder="1"/>
    <xf numFmtId="3" fontId="3" fillId="0" borderId="0" xfId="1" applyNumberFormat="1" applyFont="1"/>
    <xf numFmtId="3" fontId="17" fillId="0" borderId="3" xfId="0" applyNumberFormat="1" applyFont="1" applyBorder="1"/>
    <xf numFmtId="3" fontId="20" fillId="15" borderId="3" xfId="0" applyNumberFormat="1" applyFont="1" applyFill="1" applyBorder="1"/>
    <xf numFmtId="10" fontId="17" fillId="0" borderId="3" xfId="1" applyNumberFormat="1" applyFont="1" applyFill="1" applyBorder="1"/>
    <xf numFmtId="10" fontId="20" fillId="0" borderId="0" xfId="1" applyNumberFormat="1" applyFont="1"/>
    <xf numFmtId="3" fontId="93" fillId="0" borderId="0" xfId="0" applyNumberFormat="1" applyFont="1"/>
    <xf numFmtId="3" fontId="93" fillId="2" borderId="3" xfId="0" applyNumberFormat="1" applyFont="1" applyFill="1" applyBorder="1"/>
    <xf numFmtId="3" fontId="93" fillId="0" borderId="0" xfId="0" applyNumberFormat="1" applyFont="1" applyAlignment="1">
      <alignment horizontal="left" indent="3"/>
    </xf>
    <xf numFmtId="3" fontId="3" fillId="2" borderId="3" xfId="0" applyNumberFormat="1" applyFont="1" applyFill="1" applyBorder="1"/>
    <xf numFmtId="10" fontId="3" fillId="0" borderId="3" xfId="1" applyNumberFormat="1" applyFont="1" applyFill="1" applyBorder="1"/>
    <xf numFmtId="10" fontId="6" fillId="0" borderId="0" xfId="1" applyNumberFormat="1" applyFont="1" applyFill="1"/>
    <xf numFmtId="10" fontId="94" fillId="0" borderId="0" xfId="1" applyNumberFormat="1" applyFont="1"/>
    <xf numFmtId="10" fontId="94" fillId="2" borderId="3" xfId="1" applyNumberFormat="1" applyFont="1" applyFill="1" applyBorder="1"/>
    <xf numFmtId="3" fontId="94" fillId="0" borderId="0" xfId="0" applyNumberFormat="1" applyFont="1" applyAlignment="1">
      <alignment horizontal="left" indent="3"/>
    </xf>
    <xf numFmtId="3" fontId="20" fillId="0" borderId="0" xfId="0" applyNumberFormat="1" applyFont="1" applyAlignment="1">
      <alignment horizontal="left" indent="1"/>
    </xf>
    <xf numFmtId="10" fontId="20" fillId="2" borderId="3" xfId="1" applyNumberFormat="1" applyFont="1" applyFill="1" applyBorder="1"/>
    <xf numFmtId="10" fontId="21" fillId="0" borderId="0" xfId="1" applyNumberFormat="1" applyFont="1"/>
    <xf numFmtId="10" fontId="21" fillId="0" borderId="3" xfId="1" applyNumberFormat="1" applyFont="1" applyFill="1" applyBorder="1"/>
    <xf numFmtId="10" fontId="95" fillId="0" borderId="0" xfId="1" applyNumberFormat="1" applyFont="1"/>
    <xf numFmtId="165" fontId="96" fillId="0" borderId="0" xfId="1" applyNumberFormat="1" applyFont="1"/>
    <xf numFmtId="165" fontId="96" fillId="2" borderId="3" xfId="1" applyNumberFormat="1" applyFont="1" applyFill="1" applyBorder="1"/>
    <xf numFmtId="165" fontId="96" fillId="0" borderId="0" xfId="1" applyNumberFormat="1" applyFont="1" applyAlignment="1">
      <alignment horizontal="left" indent="3"/>
    </xf>
    <xf numFmtId="165" fontId="82" fillId="0" borderId="3" xfId="1" applyNumberFormat="1" applyFont="1" applyBorder="1"/>
    <xf numFmtId="3" fontId="93" fillId="0" borderId="3" xfId="0" applyNumberFormat="1" applyFont="1" applyBorder="1"/>
    <xf numFmtId="4" fontId="74" fillId="0" borderId="0" xfId="0" applyNumberFormat="1" applyFont="1" applyAlignment="1">
      <alignment horizontal="left" indent="3"/>
    </xf>
    <xf numFmtId="165" fontId="4" fillId="0" borderId="3" xfId="1" applyNumberFormat="1" applyFont="1" applyFill="1" applyBorder="1"/>
    <xf numFmtId="165" fontId="3" fillId="15" borderId="3" xfId="1" applyNumberFormat="1" applyFont="1" applyFill="1" applyBorder="1"/>
    <xf numFmtId="0" fontId="84" fillId="0" borderId="0" xfId="0" applyFont="1"/>
    <xf numFmtId="3" fontId="4" fillId="15" borderId="3" xfId="0" applyNumberFormat="1" applyFont="1" applyFill="1" applyBorder="1"/>
    <xf numFmtId="165" fontId="22" fillId="0" borderId="3" xfId="1" applyNumberFormat="1" applyFont="1" applyBorder="1"/>
    <xf numFmtId="10" fontId="3" fillId="0" borderId="3" xfId="1" applyNumberFormat="1" applyFont="1" applyBorder="1"/>
    <xf numFmtId="165" fontId="3" fillId="0" borderId="0" xfId="0" applyNumberFormat="1" applyFont="1"/>
    <xf numFmtId="10" fontId="83" fillId="0" borderId="0" xfId="1" applyNumberFormat="1" applyFont="1" applyFill="1"/>
    <xf numFmtId="165" fontId="4" fillId="0" borderId="0" xfId="1" applyNumberFormat="1" applyFont="1" applyFill="1"/>
    <xf numFmtId="0" fontId="4" fillId="0" borderId="0" xfId="0" applyFont="1" applyAlignment="1">
      <alignment horizontal="center" vertical="center"/>
    </xf>
    <xf numFmtId="165" fontId="3" fillId="0" borderId="3" xfId="1" applyNumberFormat="1" applyFont="1" applyBorder="1"/>
    <xf numFmtId="165" fontId="4" fillId="2" borderId="3" xfId="1" applyNumberFormat="1" applyFont="1" applyFill="1" applyBorder="1"/>
    <xf numFmtId="3" fontId="74" fillId="0" borderId="3" xfId="0" applyNumberFormat="1" applyFont="1" applyBorder="1"/>
    <xf numFmtId="3" fontId="22" fillId="2" borderId="3" xfId="0" applyNumberFormat="1" applyFont="1" applyFill="1" applyBorder="1"/>
    <xf numFmtId="0" fontId="4" fillId="0" borderId="0" xfId="0" applyFont="1" applyAlignment="1">
      <alignment horizontal="left" indent="1"/>
    </xf>
    <xf numFmtId="10" fontId="8" fillId="2" borderId="3" xfId="1" applyNumberFormat="1" applyFont="1" applyFill="1" applyBorder="1"/>
    <xf numFmtId="10" fontId="8" fillId="0" borderId="0" xfId="1" applyNumberFormat="1" applyFont="1"/>
    <xf numFmtId="165" fontId="84" fillId="2" borderId="0" xfId="1" applyNumberFormat="1" applyFont="1" applyFill="1"/>
    <xf numFmtId="165" fontId="9" fillId="0" borderId="0" xfId="1" applyNumberFormat="1" applyFont="1"/>
    <xf numFmtId="165" fontId="78" fillId="0" borderId="0" xfId="0" applyNumberFormat="1" applyFont="1"/>
    <xf numFmtId="0" fontId="3" fillId="0" borderId="0" xfId="0" applyFont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9" fontId="7" fillId="0" borderId="2" xfId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9" fontId="3" fillId="2" borderId="0" xfId="0" applyNumberFormat="1" applyFont="1" applyFill="1"/>
    <xf numFmtId="0" fontId="98" fillId="9" borderId="0" xfId="6" applyFont="1" applyFill="1"/>
    <xf numFmtId="0" fontId="69" fillId="9" borderId="0" xfId="0" applyFont="1" applyFill="1" applyAlignment="1">
      <alignment horizontal="left"/>
    </xf>
    <xf numFmtId="3" fontId="76" fillId="9" borderId="0" xfId="0" applyNumberFormat="1" applyFont="1" applyFill="1" applyAlignment="1">
      <alignment horizontal="left" indent="1"/>
    </xf>
    <xf numFmtId="3" fontId="97" fillId="9" borderId="0" xfId="0" applyNumberFormat="1" applyFont="1" applyFill="1" applyAlignment="1">
      <alignment horizontal="left" indent="1"/>
    </xf>
    <xf numFmtId="0" fontId="72" fillId="9" borderId="0" xfId="0" applyFont="1" applyFill="1" applyAlignment="1">
      <alignment horizontal="left"/>
    </xf>
    <xf numFmtId="3" fontId="60" fillId="9" borderId="0" xfId="0" applyNumberFormat="1" applyFont="1" applyFill="1"/>
    <xf numFmtId="3" fontId="4" fillId="9" borderId="0" xfId="0" applyNumberFormat="1" applyFont="1" applyFill="1"/>
    <xf numFmtId="3" fontId="22" fillId="9" borderId="0" xfId="0" applyNumberFormat="1" applyFont="1" applyFill="1"/>
    <xf numFmtId="3" fontId="3" fillId="9" borderId="0" xfId="0" applyNumberFormat="1" applyFont="1" applyFill="1"/>
    <xf numFmtId="0" fontId="43" fillId="11" borderId="0" xfId="4" applyFont="1" applyFill="1" applyAlignment="1">
      <alignment horizontal="left" vertical="center"/>
    </xf>
    <xf numFmtId="0" fontId="69" fillId="9" borderId="0" xfId="0" applyFont="1" applyFill="1" applyAlignment="1">
      <alignment horizontal="center"/>
    </xf>
    <xf numFmtId="0" fontId="70" fillId="9" borderId="0" xfId="0" applyFont="1" applyFill="1" applyAlignment="1">
      <alignment horizontal="left"/>
    </xf>
    <xf numFmtId="0" fontId="73" fillId="9" borderId="0" xfId="0" applyFont="1" applyFill="1" applyAlignment="1">
      <alignment horizontal="left"/>
    </xf>
    <xf numFmtId="0" fontId="71" fillId="9" borderId="0" xfId="0" applyFont="1" applyFill="1" applyAlignment="1">
      <alignment horizontal="left"/>
    </xf>
    <xf numFmtId="3" fontId="99" fillId="9" borderId="0" xfId="6" applyNumberFormat="1" applyFont="1" applyFill="1"/>
    <xf numFmtId="3" fontId="100" fillId="9" borderId="0" xfId="6" applyNumberFormat="1" applyFont="1" applyFill="1"/>
    <xf numFmtId="0" fontId="45" fillId="2" borderId="0" xfId="4" applyFont="1" applyFill="1" applyAlignment="1">
      <alignment horizontal="left"/>
    </xf>
    <xf numFmtId="0" fontId="101" fillId="9" borderId="0" xfId="0" applyFont="1" applyFill="1"/>
    <xf numFmtId="0" fontId="102" fillId="9" borderId="0" xfId="4" applyFont="1" applyFill="1" applyAlignment="1">
      <alignment horizontal="left"/>
    </xf>
    <xf numFmtId="0" fontId="102" fillId="9" borderId="0" xfId="6" applyFont="1" applyFill="1" applyAlignment="1">
      <alignment horizontal="right"/>
    </xf>
    <xf numFmtId="0" fontId="102" fillId="9" borderId="0" xfId="6" applyFont="1" applyFill="1"/>
    <xf numFmtId="0" fontId="101" fillId="15" borderId="0" xfId="0" applyFont="1" applyFill="1"/>
    <xf numFmtId="0" fontId="102" fillId="15" borderId="0" xfId="4" applyFont="1" applyFill="1" applyAlignment="1">
      <alignment horizontal="left"/>
    </xf>
    <xf numFmtId="0" fontId="102" fillId="15" borderId="0" xfId="6" applyFont="1" applyFill="1" applyAlignment="1">
      <alignment horizontal="right"/>
    </xf>
    <xf numFmtId="164" fontId="52" fillId="9" borderId="0" xfId="2" applyNumberFormat="1" applyFont="1" applyFill="1"/>
    <xf numFmtId="164" fontId="52" fillId="9" borderId="0" xfId="6" applyNumberFormat="1" applyFont="1" applyFill="1"/>
    <xf numFmtId="164" fontId="4" fillId="9" borderId="0" xfId="0" applyNumberFormat="1" applyFont="1" applyFill="1"/>
    <xf numFmtId="3" fontId="103" fillId="9" borderId="0" xfId="0" applyNumberFormat="1" applyFont="1" applyFill="1" applyAlignment="1">
      <alignment horizontal="left" indent="3"/>
    </xf>
    <xf numFmtId="3" fontId="103" fillId="9" borderId="0" xfId="0" applyNumberFormat="1" applyFont="1" applyFill="1" applyAlignment="1">
      <alignment horizontal="left" indent="1"/>
    </xf>
    <xf numFmtId="38" fontId="102" fillId="9" borderId="0" xfId="4" applyNumberFormat="1" applyFont="1" applyFill="1" applyAlignment="1">
      <alignment horizontal="right"/>
    </xf>
    <xf numFmtId="0" fontId="104" fillId="9" borderId="0" xfId="6" applyFont="1" applyFill="1"/>
    <xf numFmtId="0" fontId="45" fillId="3" borderId="0" xfId="4" applyFont="1" applyFill="1" applyAlignment="1">
      <alignment horizontal="left"/>
    </xf>
    <xf numFmtId="38" fontId="47" fillId="9" borderId="0" xfId="6" applyNumberFormat="1" applyFont="1" applyFill="1"/>
    <xf numFmtId="0" fontId="3" fillId="9" borderId="0" xfId="0" applyFont="1" applyFill="1"/>
    <xf numFmtId="0" fontId="6" fillId="9" borderId="0" xfId="0" applyFont="1" applyFill="1"/>
    <xf numFmtId="3" fontId="8" fillId="9" borderId="0" xfId="0" applyNumberFormat="1" applyFont="1" applyFill="1"/>
    <xf numFmtId="0" fontId="8" fillId="9" borderId="0" xfId="0" applyFont="1" applyFill="1"/>
    <xf numFmtId="165" fontId="6" fillId="9" borderId="0" xfId="1" applyNumberFormat="1" applyFont="1" applyFill="1"/>
    <xf numFmtId="165" fontId="4" fillId="9" borderId="0" xfId="1" applyNumberFormat="1" applyFont="1" applyFill="1"/>
    <xf numFmtId="3" fontId="6" fillId="9" borderId="0" xfId="0" applyNumberFormat="1" applyFont="1" applyFill="1"/>
    <xf numFmtId="165" fontId="5" fillId="9" borderId="0" xfId="1" applyNumberFormat="1" applyFont="1" applyFill="1" applyAlignment="1">
      <alignment horizontal="left" indent="1"/>
    </xf>
    <xf numFmtId="0" fontId="3" fillId="9" borderId="0" xfId="0" applyFont="1" applyFill="1" applyAlignment="1">
      <alignment horizontal="left" indent="2"/>
    </xf>
    <xf numFmtId="0" fontId="6" fillId="9" borderId="0" xfId="0" applyFont="1" applyFill="1" applyAlignment="1">
      <alignment horizontal="left"/>
    </xf>
    <xf numFmtId="3" fontId="3" fillId="9" borderId="0" xfId="1" applyNumberFormat="1" applyFont="1" applyFill="1" applyAlignment="1">
      <alignment horizontal="left" indent="1"/>
    </xf>
    <xf numFmtId="3" fontId="4" fillId="9" borderId="0" xfId="1" applyNumberFormat="1" applyFont="1" applyFill="1" applyAlignment="1">
      <alignment horizontal="left" indent="2"/>
    </xf>
    <xf numFmtId="165" fontId="4" fillId="9" borderId="0" xfId="1" applyNumberFormat="1" applyFont="1" applyFill="1" applyAlignment="1">
      <alignment horizontal="left" indent="2"/>
    </xf>
    <xf numFmtId="3" fontId="74" fillId="9" borderId="0" xfId="1" applyNumberFormat="1" applyFont="1" applyFill="1" applyAlignment="1">
      <alignment horizontal="left" indent="1"/>
    </xf>
    <xf numFmtId="3" fontId="74" fillId="9" borderId="0" xfId="0" applyNumberFormat="1" applyFont="1" applyFill="1"/>
    <xf numFmtId="165" fontId="3" fillId="9" borderId="0" xfId="1" applyNumberFormat="1" applyFont="1" applyFill="1"/>
    <xf numFmtId="165" fontId="3" fillId="9" borderId="0" xfId="1" applyNumberFormat="1" applyFont="1" applyFill="1" applyAlignment="1">
      <alignment horizontal="left" indent="1"/>
    </xf>
    <xf numFmtId="10" fontId="6" fillId="9" borderId="0" xfId="1" applyNumberFormat="1" applyFont="1" applyFill="1"/>
    <xf numFmtId="3" fontId="77" fillId="9" borderId="0" xfId="0" applyNumberFormat="1" applyFont="1" applyFill="1"/>
    <xf numFmtId="3" fontId="75" fillId="9" borderId="0" xfId="0" applyNumberFormat="1" applyFont="1" applyFill="1" applyAlignment="1">
      <alignment wrapText="1"/>
    </xf>
    <xf numFmtId="3" fontId="9" fillId="9" borderId="0" xfId="0" applyNumberFormat="1" applyFont="1" applyFill="1"/>
    <xf numFmtId="3" fontId="78" fillId="9" borderId="0" xfId="0" applyNumberFormat="1" applyFont="1" applyFill="1"/>
    <xf numFmtId="165" fontId="20" fillId="9" borderId="0" xfId="1" applyNumberFormat="1" applyFont="1" applyFill="1"/>
    <xf numFmtId="3" fontId="7" fillId="9" borderId="0" xfId="0" applyNumberFormat="1" applyFont="1" applyFill="1"/>
    <xf numFmtId="164" fontId="99" fillId="9" borderId="0" xfId="2" applyNumberFormat="1" applyFont="1" applyFill="1" applyBorder="1"/>
    <xf numFmtId="164" fontId="4" fillId="9" borderId="0" xfId="2" applyNumberFormat="1" applyFont="1" applyFill="1" applyBorder="1"/>
    <xf numFmtId="164" fontId="100" fillId="9" borderId="0" xfId="2" applyNumberFormat="1" applyFont="1" applyFill="1" applyBorder="1"/>
    <xf numFmtId="164" fontId="47" fillId="9" borderId="0" xfId="2" applyNumberFormat="1" applyFont="1" applyFill="1" applyBorder="1"/>
    <xf numFmtId="38" fontId="105" fillId="9" borderId="0" xfId="4" applyNumberFormat="1" applyFont="1" applyFill="1" applyAlignment="1">
      <alignment horizontal="right"/>
    </xf>
    <xf numFmtId="38" fontId="106" fillId="9" borderId="0" xfId="4" applyNumberFormat="1" applyFont="1" applyFill="1" applyAlignment="1">
      <alignment horizontal="right"/>
    </xf>
    <xf numFmtId="0" fontId="107" fillId="9" borderId="0" xfId="6" applyFont="1" applyFill="1"/>
    <xf numFmtId="164" fontId="62" fillId="9" borderId="0" xfId="2" applyNumberFormat="1" applyFont="1" applyFill="1"/>
    <xf numFmtId="0" fontId="46" fillId="3" borderId="0" xfId="4" applyFont="1" applyFill="1" applyAlignment="1">
      <alignment horizontal="left" indent="2"/>
    </xf>
    <xf numFmtId="38" fontId="99" fillId="9" borderId="0" xfId="4" applyNumberFormat="1" applyFont="1" applyFill="1" applyAlignment="1">
      <alignment horizontal="right"/>
    </xf>
    <xf numFmtId="38" fontId="100" fillId="9" borderId="0" xfId="4" applyNumberFormat="1" applyFont="1" applyFill="1" applyAlignment="1">
      <alignment horizontal="right"/>
    </xf>
    <xf numFmtId="3" fontId="109" fillId="9" borderId="0" xfId="0" applyNumberFormat="1" applyFont="1" applyFill="1" applyAlignment="1">
      <alignment horizontal="left" indent="1"/>
    </xf>
    <xf numFmtId="0" fontId="110" fillId="9" borderId="0" xfId="6" applyFont="1" applyFill="1"/>
    <xf numFmtId="164" fontId="110" fillId="9" borderId="0" xfId="2" applyNumberFormat="1" applyFont="1" applyFill="1"/>
    <xf numFmtId="3" fontId="76" fillId="9" borderId="0" xfId="0" applyNumberFormat="1" applyFont="1" applyFill="1" applyAlignment="1">
      <alignment horizontal="left" indent="3"/>
    </xf>
    <xf numFmtId="0" fontId="111" fillId="9" borderId="0" xfId="6" applyFont="1" applyFill="1"/>
    <xf numFmtId="0" fontId="106" fillId="9" borderId="0" xfId="4" applyFont="1" applyFill="1" applyAlignment="1">
      <alignment horizontal="center" vertical="center"/>
    </xf>
    <xf numFmtId="38" fontId="106" fillId="9" borderId="6" xfId="4" applyNumberFormat="1" applyFont="1" applyFill="1" applyBorder="1" applyAlignment="1">
      <alignment horizontal="center" vertical="center"/>
    </xf>
    <xf numFmtId="38" fontId="106" fillId="9" borderId="0" xfId="4" applyNumberFormat="1" applyFont="1" applyFill="1" applyAlignment="1">
      <alignment horizontal="center" vertical="center"/>
    </xf>
    <xf numFmtId="9" fontId="106" fillId="9" borderId="6" xfId="1" applyFont="1" applyFill="1" applyBorder="1" applyAlignment="1">
      <alignment horizontal="center" vertical="center"/>
    </xf>
    <xf numFmtId="9" fontId="106" fillId="9" borderId="0" xfId="1" applyFont="1" applyFill="1" applyBorder="1" applyAlignment="1">
      <alignment horizontal="center" vertical="center"/>
    </xf>
    <xf numFmtId="0" fontId="46" fillId="18" borderId="0" xfId="4" applyFont="1" applyFill="1" applyAlignment="1">
      <alignment horizontal="left" indent="2"/>
    </xf>
    <xf numFmtId="0" fontId="46" fillId="18" borderId="0" xfId="4" applyFont="1" applyFill="1" applyAlignment="1">
      <alignment horizontal="center" vertical="center"/>
    </xf>
    <xf numFmtId="0" fontId="0" fillId="18" borderId="0" xfId="0" applyFill="1"/>
    <xf numFmtId="38" fontId="46" fillId="18" borderId="0" xfId="4" applyNumberFormat="1" applyFont="1" applyFill="1" applyAlignment="1">
      <alignment horizontal="right"/>
    </xf>
    <xf numFmtId="9" fontId="110" fillId="9" borderId="0" xfId="1" applyFont="1" applyFill="1"/>
    <xf numFmtId="0" fontId="79" fillId="3" borderId="0" xfId="0" applyFont="1" applyFill="1"/>
    <xf numFmtId="164" fontId="0" fillId="15" borderId="0" xfId="2" applyNumberFormat="1" applyFont="1" applyFill="1" applyAlignment="1">
      <alignment horizontal="left"/>
    </xf>
    <xf numFmtId="38" fontId="47" fillId="9" borderId="0" xfId="4" applyNumberFormat="1" applyFont="1" applyFill="1" applyAlignment="1">
      <alignment horizontal="right"/>
    </xf>
    <xf numFmtId="0" fontId="39" fillId="9" borderId="7" xfId="4" applyFont="1" applyFill="1" applyBorder="1" applyAlignment="1">
      <alignment horizontal="center" vertical="center"/>
    </xf>
    <xf numFmtId="0" fontId="46" fillId="9" borderId="8" xfId="4" applyFont="1" applyFill="1" applyBorder="1" applyAlignment="1">
      <alignment horizontal="center" vertical="center"/>
    </xf>
    <xf numFmtId="0" fontId="0" fillId="9" borderId="9" xfId="0" applyFill="1" applyBorder="1"/>
    <xf numFmtId="0" fontId="43" fillId="9" borderId="10" xfId="4" applyFont="1" applyFill="1" applyBorder="1"/>
    <xf numFmtId="0" fontId="0" fillId="9" borderId="11" xfId="0" applyFill="1" applyBorder="1"/>
    <xf numFmtId="0" fontId="106" fillId="18" borderId="10" xfId="4" applyFont="1" applyFill="1" applyBorder="1" applyAlignment="1">
      <alignment horizontal="left" indent="2"/>
    </xf>
    <xf numFmtId="0" fontId="43" fillId="9" borderId="10" xfId="4" applyFont="1" applyFill="1" applyBorder="1" applyAlignment="1">
      <alignment horizontal="center" vertical="center"/>
    </xf>
    <xf numFmtId="0" fontId="46" fillId="9" borderId="10" xfId="4" applyFont="1" applyFill="1" applyBorder="1" applyAlignment="1">
      <alignment horizontal="left"/>
    </xf>
    <xf numFmtId="0" fontId="52" fillId="9" borderId="10" xfId="6" applyFont="1" applyFill="1" applyBorder="1"/>
    <xf numFmtId="0" fontId="46" fillId="9" borderId="10" xfId="4" applyFont="1" applyFill="1" applyBorder="1" applyAlignment="1">
      <alignment horizontal="left" indent="2"/>
    </xf>
    <xf numFmtId="0" fontId="45" fillId="9" borderId="10" xfId="4" applyFont="1" applyFill="1" applyBorder="1" applyAlignment="1">
      <alignment horizontal="left"/>
    </xf>
    <xf numFmtId="0" fontId="0" fillId="9" borderId="12" xfId="0" applyFill="1" applyBorder="1"/>
    <xf numFmtId="0" fontId="0" fillId="9" borderId="13" xfId="0" applyFill="1" applyBorder="1"/>
    <xf numFmtId="0" fontId="0" fillId="9" borderId="14" xfId="0" applyFill="1" applyBorder="1"/>
    <xf numFmtId="0" fontId="0" fillId="9" borderId="7" xfId="0" applyFill="1" applyBorder="1"/>
    <xf numFmtId="0" fontId="0" fillId="9" borderId="8" xfId="0" applyFill="1" applyBorder="1"/>
    <xf numFmtId="0" fontId="0" fillId="9" borderId="10" xfId="0" applyFill="1" applyBorder="1"/>
    <xf numFmtId="0" fontId="36" fillId="9" borderId="0" xfId="2" applyNumberFormat="1" applyFont="1" applyFill="1" applyBorder="1" applyAlignment="1">
      <alignment horizontal="center" vertical="center"/>
    </xf>
    <xf numFmtId="0" fontId="43" fillId="11" borderId="10" xfId="4" applyFont="1" applyFill="1" applyBorder="1" applyAlignment="1">
      <alignment horizontal="left" vertical="center"/>
    </xf>
    <xf numFmtId="0" fontId="69" fillId="9" borderId="10" xfId="0" applyFont="1" applyFill="1" applyBorder="1" applyAlignment="1">
      <alignment horizontal="left"/>
    </xf>
    <xf numFmtId="3" fontId="76" fillId="9" borderId="10" xfId="0" applyNumberFormat="1" applyFont="1" applyFill="1" applyBorder="1" applyAlignment="1">
      <alignment horizontal="left" indent="1"/>
    </xf>
    <xf numFmtId="3" fontId="97" fillId="9" borderId="10" xfId="0" applyNumberFormat="1" applyFont="1" applyFill="1" applyBorder="1" applyAlignment="1">
      <alignment horizontal="left" indent="1"/>
    </xf>
    <xf numFmtId="0" fontId="72" fillId="9" borderId="10" xfId="0" applyFont="1" applyFill="1" applyBorder="1" applyAlignment="1">
      <alignment horizontal="left"/>
    </xf>
    <xf numFmtId="38" fontId="98" fillId="9" borderId="0" xfId="4" applyNumberFormat="1" applyFont="1" applyFill="1" applyAlignment="1">
      <alignment horizontal="right"/>
    </xf>
    <xf numFmtId="164" fontId="52" fillId="9" borderId="0" xfId="2" applyNumberFormat="1" applyFont="1" applyFill="1" applyBorder="1"/>
    <xf numFmtId="3" fontId="109" fillId="9" borderId="10" xfId="0" applyNumberFormat="1" applyFont="1" applyFill="1" applyBorder="1" applyAlignment="1">
      <alignment horizontal="left" indent="1"/>
    </xf>
    <xf numFmtId="164" fontId="110" fillId="9" borderId="0" xfId="2" applyNumberFormat="1" applyFont="1" applyFill="1" applyBorder="1"/>
    <xf numFmtId="0" fontId="70" fillId="9" borderId="10" xfId="0" applyFont="1" applyFill="1" applyBorder="1" applyAlignment="1">
      <alignment horizontal="left"/>
    </xf>
    <xf numFmtId="164" fontId="62" fillId="9" borderId="0" xfId="2" applyNumberFormat="1" applyFont="1" applyFill="1" applyBorder="1"/>
    <xf numFmtId="0" fontId="0" fillId="9" borderId="10" xfId="0" applyFill="1" applyBorder="1" applyAlignment="1">
      <alignment horizontal="left"/>
    </xf>
    <xf numFmtId="0" fontId="71" fillId="9" borderId="10" xfId="0" applyFont="1" applyFill="1" applyBorder="1" applyAlignment="1">
      <alignment horizontal="left"/>
    </xf>
    <xf numFmtId="0" fontId="107" fillId="9" borderId="10" xfId="6" applyFont="1" applyFill="1" applyBorder="1"/>
    <xf numFmtId="3" fontId="76" fillId="9" borderId="10" xfId="0" applyNumberFormat="1" applyFont="1" applyFill="1" applyBorder="1" applyAlignment="1">
      <alignment horizontal="left" indent="3"/>
    </xf>
    <xf numFmtId="10" fontId="0" fillId="9" borderId="0" xfId="1" applyNumberFormat="1" applyFont="1" applyFill="1"/>
    <xf numFmtId="3" fontId="4" fillId="0" borderId="0" xfId="0" applyNumberFormat="1" applyFont="1" applyAlignment="1">
      <alignment horizontal="left" indent="2"/>
    </xf>
    <xf numFmtId="0" fontId="8" fillId="0" borderId="2" xfId="0" applyFont="1" applyBorder="1" applyAlignment="1">
      <alignment horizontal="center" vertical="center"/>
    </xf>
    <xf numFmtId="0" fontId="84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9" fontId="4" fillId="2" borderId="0" xfId="1" applyFont="1" applyFill="1"/>
    <xf numFmtId="38" fontId="112" fillId="9" borderId="6" xfId="4" applyNumberFormat="1" applyFont="1" applyFill="1" applyBorder="1" applyAlignment="1">
      <alignment horizontal="center" vertical="center"/>
    </xf>
    <xf numFmtId="164" fontId="0" fillId="9" borderId="0" xfId="0" applyNumberFormat="1" applyFill="1"/>
    <xf numFmtId="9" fontId="0" fillId="9" borderId="0" xfId="1" applyFont="1" applyFill="1" applyBorder="1"/>
    <xf numFmtId="0" fontId="114" fillId="0" borderId="0" xfId="0" applyFont="1"/>
    <xf numFmtId="0" fontId="9" fillId="9" borderId="0" xfId="0" applyFont="1" applyFill="1"/>
    <xf numFmtId="0" fontId="11" fillId="9" borderId="0" xfId="0" applyFont="1" applyFill="1" applyAlignment="1">
      <alignment horizontal="left"/>
    </xf>
    <xf numFmtId="0" fontId="3" fillId="9" borderId="0" xfId="0" applyFont="1" applyFill="1" applyAlignment="1">
      <alignment horizontal="left" indent="1"/>
    </xf>
    <xf numFmtId="3" fontId="3" fillId="9" borderId="0" xfId="0" applyNumberFormat="1" applyFont="1" applyFill="1" applyAlignment="1">
      <alignment horizontal="left" indent="1"/>
    </xf>
    <xf numFmtId="3" fontId="87" fillId="9" borderId="0" xfId="0" applyNumberFormat="1" applyFont="1" applyFill="1"/>
    <xf numFmtId="3" fontId="114" fillId="0" borderId="0" xfId="0" applyNumberFormat="1" applyFont="1" applyAlignment="1">
      <alignment horizontal="left" indent="1"/>
    </xf>
    <xf numFmtId="10" fontId="114" fillId="0" borderId="0" xfId="1" applyNumberFormat="1" applyFont="1" applyAlignment="1">
      <alignment horizontal="left" indent="1"/>
    </xf>
    <xf numFmtId="10" fontId="114" fillId="0" borderId="0" xfId="1" applyNumberFormat="1" applyFont="1"/>
    <xf numFmtId="0" fontId="116" fillId="0" borderId="0" xfId="0" applyFont="1"/>
    <xf numFmtId="10" fontId="116" fillId="0" borderId="0" xfId="1" applyNumberFormat="1" applyFont="1"/>
    <xf numFmtId="3" fontId="116" fillId="0" borderId="0" xfId="0" applyNumberFormat="1" applyFont="1"/>
    <xf numFmtId="10" fontId="116" fillId="2" borderId="0" xfId="1" applyNumberFormat="1" applyFont="1" applyFill="1"/>
    <xf numFmtId="3" fontId="114" fillId="2" borderId="0" xfId="0" applyNumberFormat="1" applyFont="1" applyFill="1"/>
    <xf numFmtId="3" fontId="114" fillId="0" borderId="0" xfId="0" applyNumberFormat="1" applyFont="1"/>
    <xf numFmtId="10" fontId="114" fillId="2" borderId="0" xfId="1" applyNumberFormat="1" applyFont="1" applyFill="1"/>
    <xf numFmtId="165" fontId="114" fillId="0" borderId="0" xfId="1" applyNumberFormat="1" applyFont="1"/>
    <xf numFmtId="165" fontId="116" fillId="0" borderId="0" xfId="1" applyNumberFormat="1" applyFont="1"/>
    <xf numFmtId="165" fontId="114" fillId="2" borderId="3" xfId="1" applyNumberFormat="1" applyFont="1" applyFill="1" applyBorder="1"/>
    <xf numFmtId="165" fontId="114" fillId="2" borderId="0" xfId="0" applyNumberFormat="1" applyFont="1" applyFill="1"/>
    <xf numFmtId="0" fontId="117" fillId="9" borderId="0" xfId="0" applyFont="1" applyFill="1" applyAlignment="1">
      <alignment horizontal="left"/>
    </xf>
    <xf numFmtId="38" fontId="0" fillId="9" borderId="0" xfId="0" applyNumberFormat="1" applyFill="1"/>
    <xf numFmtId="38" fontId="30" fillId="9" borderId="0" xfId="0" applyNumberFormat="1" applyFont="1" applyFill="1"/>
    <xf numFmtId="0" fontId="118" fillId="9" borderId="0" xfId="0" applyFont="1" applyFill="1" applyAlignment="1">
      <alignment horizontal="left" indent="2"/>
    </xf>
    <xf numFmtId="3" fontId="119" fillId="9" borderId="0" xfId="0" applyNumberFormat="1" applyFont="1" applyFill="1" applyAlignment="1">
      <alignment horizontal="left" indent="1"/>
    </xf>
    <xf numFmtId="0" fontId="120" fillId="9" borderId="0" xfId="0" applyFont="1" applyFill="1"/>
    <xf numFmtId="38" fontId="121" fillId="9" borderId="0" xfId="4" applyNumberFormat="1" applyFont="1" applyFill="1" applyAlignment="1">
      <alignment horizontal="right"/>
    </xf>
    <xf numFmtId="0" fontId="55" fillId="9" borderId="0" xfId="3" applyFont="1" applyFill="1" applyAlignment="1">
      <alignment horizontal="center"/>
    </xf>
    <xf numFmtId="0" fontId="122" fillId="9" borderId="0" xfId="0" applyFont="1" applyFill="1"/>
    <xf numFmtId="0" fontId="122" fillId="9" borderId="14" xfId="0" applyFont="1" applyFill="1" applyBorder="1"/>
    <xf numFmtId="0" fontId="122" fillId="9" borderId="13" xfId="0" applyFont="1" applyFill="1" applyBorder="1"/>
    <xf numFmtId="0" fontId="122" fillId="9" borderId="11" xfId="0" applyFont="1" applyFill="1" applyBorder="1"/>
    <xf numFmtId="164" fontId="123" fillId="9" borderId="0" xfId="2" applyNumberFormat="1" applyFont="1" applyFill="1" applyBorder="1"/>
    <xf numFmtId="3" fontId="124" fillId="9" borderId="0" xfId="0" applyNumberFormat="1" applyFont="1" applyFill="1" applyAlignment="1">
      <alignment horizontal="left" indent="1"/>
    </xf>
    <xf numFmtId="164" fontId="126" fillId="9" borderId="0" xfId="0" applyNumberFormat="1" applyFont="1" applyFill="1"/>
    <xf numFmtId="164" fontId="122" fillId="9" borderId="0" xfId="0" applyNumberFormat="1" applyFont="1" applyFill="1"/>
    <xf numFmtId="164" fontId="127" fillId="9" borderId="0" xfId="2" applyNumberFormat="1" applyFont="1" applyFill="1" applyBorder="1"/>
    <xf numFmtId="164" fontId="122" fillId="9" borderId="0" xfId="2" applyNumberFormat="1" applyFont="1" applyFill="1" applyBorder="1"/>
    <xf numFmtId="17" fontId="131" fillId="11" borderId="0" xfId="4" applyNumberFormat="1" applyFont="1" applyFill="1" applyAlignment="1">
      <alignment horizontal="center" vertical="center"/>
    </xf>
    <xf numFmtId="0" fontId="132" fillId="11" borderId="0" xfId="4" applyFont="1" applyFill="1" applyAlignment="1">
      <alignment horizontal="center"/>
    </xf>
    <xf numFmtId="0" fontId="133" fillId="9" borderId="0" xfId="2" applyNumberFormat="1" applyFont="1" applyFill="1" applyBorder="1" applyAlignment="1">
      <alignment horizontal="center" vertical="center"/>
    </xf>
    <xf numFmtId="0" fontId="122" fillId="9" borderId="9" xfId="0" applyFont="1" applyFill="1" applyBorder="1"/>
    <xf numFmtId="0" fontId="122" fillId="9" borderId="8" xfId="0" applyFont="1" applyFill="1" applyBorder="1"/>
    <xf numFmtId="38" fontId="134" fillId="9" borderId="0" xfId="4" applyNumberFormat="1" applyFont="1" applyFill="1" applyAlignment="1">
      <alignment horizontal="right"/>
    </xf>
    <xf numFmtId="0" fontId="129" fillId="9" borderId="0" xfId="0" applyFont="1" applyFill="1" applyAlignment="1">
      <alignment horizontal="center"/>
    </xf>
    <xf numFmtId="10" fontId="122" fillId="9" borderId="0" xfId="1" applyNumberFormat="1" applyFont="1" applyFill="1"/>
    <xf numFmtId="38" fontId="138" fillId="9" borderId="0" xfId="4" applyNumberFormat="1" applyFont="1" applyFill="1" applyAlignment="1">
      <alignment horizontal="right"/>
    </xf>
    <xf numFmtId="38" fontId="139" fillId="9" borderId="0" xfId="4" applyNumberFormat="1" applyFont="1" applyFill="1" applyAlignment="1">
      <alignment horizontal="right"/>
    </xf>
    <xf numFmtId="164" fontId="134" fillId="9" borderId="0" xfId="2" applyNumberFormat="1" applyFont="1" applyFill="1" applyBorder="1"/>
    <xf numFmtId="38" fontId="140" fillId="9" borderId="0" xfId="4" applyNumberFormat="1" applyFont="1" applyFill="1" applyAlignment="1">
      <alignment horizontal="right"/>
    </xf>
    <xf numFmtId="164" fontId="141" fillId="9" borderId="0" xfId="2" applyNumberFormat="1" applyFont="1" applyFill="1" applyBorder="1"/>
    <xf numFmtId="164" fontId="126" fillId="9" borderId="0" xfId="2" applyNumberFormat="1" applyFont="1" applyFill="1" applyBorder="1"/>
    <xf numFmtId="164" fontId="138" fillId="9" borderId="0" xfId="2" applyNumberFormat="1" applyFont="1" applyFill="1" applyBorder="1"/>
    <xf numFmtId="9" fontId="143" fillId="9" borderId="0" xfId="1" applyFont="1" applyFill="1" applyBorder="1" applyAlignment="1">
      <alignment horizontal="center" vertical="center"/>
    </xf>
    <xf numFmtId="0" fontId="143" fillId="9" borderId="0" xfId="4" applyFont="1" applyFill="1" applyAlignment="1">
      <alignment horizontal="center" vertical="center"/>
    </xf>
    <xf numFmtId="38" fontId="143" fillId="9" borderId="0" xfId="4" applyNumberFormat="1" applyFont="1" applyFill="1" applyAlignment="1">
      <alignment horizontal="center" vertical="center"/>
    </xf>
    <xf numFmtId="9" fontId="122" fillId="9" borderId="0" xfId="1" applyFont="1" applyFill="1" applyBorder="1"/>
    <xf numFmtId="0" fontId="130" fillId="9" borderId="0" xfId="4" applyFont="1" applyFill="1" applyAlignment="1">
      <alignment horizontal="center" vertical="center"/>
    </xf>
    <xf numFmtId="0" fontId="122" fillId="9" borderId="0" xfId="9" applyFont="1" applyFill="1" applyAlignment="1">
      <alignment horizontal="center" vertical="center"/>
    </xf>
    <xf numFmtId="38" fontId="130" fillId="9" borderId="0" xfId="4" applyNumberFormat="1" applyFont="1" applyFill="1" applyAlignment="1">
      <alignment horizontal="right"/>
    </xf>
    <xf numFmtId="0" fontId="132" fillId="9" borderId="0" xfId="4" applyFont="1" applyFill="1" applyAlignment="1">
      <alignment horizontal="center" vertical="center"/>
    </xf>
    <xf numFmtId="0" fontId="130" fillId="9" borderId="8" xfId="4" applyFont="1" applyFill="1" applyBorder="1" applyAlignment="1">
      <alignment horizontal="center" vertical="center"/>
    </xf>
    <xf numFmtId="0" fontId="145" fillId="9" borderId="8" xfId="4" applyFont="1" applyFill="1" applyBorder="1" applyAlignment="1">
      <alignment horizontal="center" vertical="center"/>
    </xf>
    <xf numFmtId="0" fontId="132" fillId="9" borderId="0" xfId="4" applyFont="1" applyFill="1"/>
    <xf numFmtId="0" fontId="143" fillId="18" borderId="0" xfId="4" applyFont="1" applyFill="1" applyAlignment="1">
      <alignment horizontal="left" indent="2"/>
    </xf>
    <xf numFmtId="0" fontId="130" fillId="9" borderId="0" xfId="4" applyFont="1" applyFill="1" applyAlignment="1">
      <alignment horizontal="left"/>
    </xf>
    <xf numFmtId="0" fontId="122" fillId="9" borderId="0" xfId="9" applyFont="1" applyFill="1"/>
    <xf numFmtId="0" fontId="130" fillId="9" borderId="0" xfId="4" applyFont="1" applyFill="1" applyAlignment="1">
      <alignment horizontal="left" indent="2"/>
    </xf>
    <xf numFmtId="0" fontId="144" fillId="9" borderId="0" xfId="4" applyFont="1" applyFill="1" applyAlignment="1">
      <alignment horizontal="left"/>
    </xf>
    <xf numFmtId="0" fontId="132" fillId="11" borderId="0" xfId="4" applyFont="1" applyFill="1" applyAlignment="1">
      <alignment horizontal="left" vertical="center"/>
    </xf>
    <xf numFmtId="0" fontId="129" fillId="9" borderId="0" xfId="0" applyFont="1" applyFill="1" applyAlignment="1">
      <alignment horizontal="left"/>
    </xf>
    <xf numFmtId="3" fontId="142" fillId="9" borderId="0" xfId="0" applyNumberFormat="1" applyFont="1" applyFill="1" applyAlignment="1">
      <alignment horizontal="left" indent="1"/>
    </xf>
    <xf numFmtId="0" fontId="125" fillId="9" borderId="0" xfId="0" applyFont="1" applyFill="1" applyAlignment="1">
      <alignment horizontal="left"/>
    </xf>
    <xf numFmtId="3" fontId="128" fillId="9" borderId="0" xfId="0" applyNumberFormat="1" applyFont="1" applyFill="1" applyAlignment="1">
      <alignment horizontal="left" indent="1"/>
    </xf>
    <xf numFmtId="0" fontId="122" fillId="9" borderId="0" xfId="0" applyFont="1" applyFill="1" applyAlignment="1">
      <alignment horizontal="left"/>
    </xf>
    <xf numFmtId="0" fontId="136" fillId="9" borderId="0" xfId="0" applyFont="1" applyFill="1" applyAlignment="1">
      <alignment horizontal="left"/>
    </xf>
    <xf numFmtId="0" fontId="135" fillId="9" borderId="0" xfId="9" applyFont="1" applyFill="1"/>
    <xf numFmtId="3" fontId="124" fillId="9" borderId="0" xfId="0" applyNumberFormat="1" applyFont="1" applyFill="1" applyAlignment="1">
      <alignment horizontal="left" indent="3"/>
    </xf>
    <xf numFmtId="1" fontId="143" fillId="9" borderId="0" xfId="1" applyNumberFormat="1" applyFont="1" applyFill="1" applyBorder="1" applyAlignment="1">
      <alignment horizontal="center" vertical="center"/>
    </xf>
    <xf numFmtId="3" fontId="128" fillId="0" borderId="0" xfId="0" applyNumberFormat="1" applyFont="1" applyAlignment="1">
      <alignment horizontal="left" indent="1"/>
    </xf>
    <xf numFmtId="3" fontId="3" fillId="5" borderId="0" xfId="0" applyNumberFormat="1" applyFont="1" applyFill="1"/>
    <xf numFmtId="3" fontId="4" fillId="5" borderId="0" xfId="0" applyNumberFormat="1" applyFont="1" applyFill="1"/>
    <xf numFmtId="0" fontId="46" fillId="9" borderId="0" xfId="4" applyFont="1" applyFill="1" applyAlignment="1">
      <alignment horizontal="left" wrapText="1"/>
    </xf>
    <xf numFmtId="0" fontId="36" fillId="9" borderId="0" xfId="3" applyFont="1" applyFill="1" applyAlignment="1">
      <alignment vertical="center"/>
    </xf>
    <xf numFmtId="0" fontId="37" fillId="9" borderId="0" xfId="4" applyFont="1" applyFill="1" applyAlignment="1">
      <alignment vertical="center"/>
    </xf>
    <xf numFmtId="0" fontId="39" fillId="9" borderId="0" xfId="4" applyFont="1" applyFill="1" applyAlignment="1">
      <alignment vertical="center"/>
    </xf>
    <xf numFmtId="0" fontId="46" fillId="9" borderId="0" xfId="0" applyFont="1" applyFill="1" applyAlignment="1">
      <alignment wrapText="1"/>
    </xf>
    <xf numFmtId="0" fontId="47" fillId="9" borderId="0" xfId="9" applyFont="1" applyFill="1"/>
    <xf numFmtId="0" fontId="47" fillId="9" borderId="0" xfId="9" applyFont="1" applyFill="1" applyAlignment="1">
      <alignment horizontal="center" vertical="center"/>
    </xf>
    <xf numFmtId="0" fontId="46" fillId="9" borderId="0" xfId="4" applyFont="1" applyFill="1" applyAlignment="1">
      <alignment wrapText="1"/>
    </xf>
    <xf numFmtId="0" fontId="45" fillId="9" borderId="0" xfId="4" applyFont="1" applyFill="1"/>
    <xf numFmtId="0" fontId="52" fillId="9" borderId="0" xfId="9" applyFont="1" applyFill="1"/>
    <xf numFmtId="0" fontId="46" fillId="9" borderId="0" xfId="6" applyFont="1" applyFill="1" applyAlignment="1">
      <alignment wrapText="1"/>
    </xf>
    <xf numFmtId="165" fontId="146" fillId="9" borderId="0" xfId="1" applyNumberFormat="1" applyFont="1" applyFill="1" applyAlignment="1">
      <alignment horizontal="left" indent="1"/>
    </xf>
    <xf numFmtId="0" fontId="43" fillId="11" borderId="0" xfId="4" applyFont="1" applyFill="1" applyAlignment="1">
      <alignment wrapText="1"/>
    </xf>
    <xf numFmtId="0" fontId="0" fillId="9" borderId="0" xfId="0" applyFill="1" applyAlignment="1">
      <alignment horizontal="left" vertical="center" indent="1"/>
    </xf>
    <xf numFmtId="0" fontId="30" fillId="9" borderId="0" xfId="0" applyFont="1" applyFill="1" applyAlignment="1">
      <alignment horizontal="left" vertical="center" indent="1"/>
    </xf>
    <xf numFmtId="0" fontId="0" fillId="9" borderId="0" xfId="0" applyFill="1" applyAlignment="1">
      <alignment horizontal="left" vertical="center" indent="2"/>
    </xf>
    <xf numFmtId="0" fontId="11" fillId="0" borderId="2" xfId="0" applyFont="1" applyBorder="1" applyAlignment="1">
      <alignment horizontal="center" vertical="center"/>
    </xf>
    <xf numFmtId="3" fontId="76" fillId="14" borderId="0" xfId="0" applyNumberFormat="1" applyFont="1" applyFill="1" applyAlignment="1">
      <alignment horizontal="left" indent="1"/>
    </xf>
    <xf numFmtId="0" fontId="52" fillId="14" borderId="0" xfId="6" applyFont="1" applyFill="1"/>
    <xf numFmtId="164" fontId="4" fillId="14" borderId="0" xfId="2" applyNumberFormat="1" applyFont="1" applyFill="1" applyBorder="1"/>
    <xf numFmtId="0" fontId="69" fillId="14" borderId="0" xfId="0" applyFont="1" applyFill="1" applyAlignment="1">
      <alignment horizontal="left"/>
    </xf>
    <xf numFmtId="0" fontId="47" fillId="14" borderId="0" xfId="6" applyFont="1" applyFill="1"/>
    <xf numFmtId="164" fontId="47" fillId="14" borderId="0" xfId="2" applyNumberFormat="1" applyFont="1" applyFill="1" applyBorder="1"/>
    <xf numFmtId="3" fontId="103" fillId="14" borderId="0" xfId="0" applyNumberFormat="1" applyFont="1" applyFill="1" applyAlignment="1">
      <alignment horizontal="left" indent="3"/>
    </xf>
    <xf numFmtId="3" fontId="103" fillId="14" borderId="0" xfId="0" applyNumberFormat="1" applyFont="1" applyFill="1" applyAlignment="1">
      <alignment horizontal="left" indent="1"/>
    </xf>
    <xf numFmtId="38" fontId="102" fillId="14" borderId="0" xfId="4" applyNumberFormat="1" applyFont="1" applyFill="1" applyAlignment="1">
      <alignment horizontal="right"/>
    </xf>
    <xf numFmtId="0" fontId="104" fillId="14" borderId="0" xfId="6" applyFont="1" applyFill="1"/>
    <xf numFmtId="3" fontId="4" fillId="14" borderId="0" xfId="0" applyNumberFormat="1" applyFont="1" applyFill="1"/>
  </cellXfs>
  <cellStyles count="10">
    <cellStyle name="Normal_ICPM IKANO Russian Market v1.0" xfId="4" xr:uid="{00000000-0005-0000-0000-000000000000}"/>
    <cellStyle name="Normal_Jul04 - Assmps" xfId="3" xr:uid="{00000000-0005-0000-0000-000001000000}"/>
    <cellStyle name="Обычный" xfId="0" builtinId="0"/>
    <cellStyle name="Обычный 2" xfId="6" xr:uid="{00000000-0005-0000-0000-000003000000}"/>
    <cellStyle name="Обычный 2 2" xfId="9" xr:uid="{00000000-0005-0000-0000-000004000000}"/>
    <cellStyle name="Обычный 3" xfId="8" xr:uid="{00000000-0005-0000-0000-000005000000}"/>
    <cellStyle name="Процентный" xfId="1" builtinId="5"/>
    <cellStyle name="Процентный 2" xfId="7" xr:uid="{00000000-0005-0000-0000-000007000000}"/>
    <cellStyle name="Финансовый" xfId="2" builtinId="3"/>
    <cellStyle name="Финансовый 2" xfId="5" xr:uid="{00000000-0005-0000-0000-000009000000}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CCCC"/>
        </patternFill>
      </fill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4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7.xml"/><Relationship Id="rId47" Type="http://schemas.openxmlformats.org/officeDocument/2006/relationships/externalLink" Target="externalLinks/externalLink12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2.xml"/><Relationship Id="rId40" Type="http://schemas.openxmlformats.org/officeDocument/2006/relationships/externalLink" Target="externalLinks/externalLink5.xml"/><Relationship Id="rId45" Type="http://schemas.openxmlformats.org/officeDocument/2006/relationships/externalLink" Target="externalLinks/externalLink1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8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3.xml"/><Relationship Id="rId46" Type="http://schemas.openxmlformats.org/officeDocument/2006/relationships/externalLink" Target="externalLinks/externalLink1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663300</xdr:colOff>
      <xdr:row>13</xdr:row>
      <xdr:rowOff>120180</xdr:rowOff>
    </xdr:from>
    <xdr:to>
      <xdr:col>21</xdr:col>
      <xdr:colOff>507020</xdr:colOff>
      <xdr:row>14</xdr:row>
      <xdr:rowOff>189240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Рукописный ввод 1">
              <a:extLst>
                <a:ext uri="{FF2B5EF4-FFF2-40B4-BE49-F238E27FC236}">
                  <a16:creationId xmlns:a16="http://schemas.microsoft.com/office/drawing/2014/main" id="{EF10218E-C6EA-0A23-E92D-0B64719E3A29}"/>
                </a:ext>
              </a:extLst>
            </xdr14:cNvPr>
            <xdr14:cNvContentPartPr/>
          </xdr14:nvContentPartPr>
          <xdr14:nvPr macro=""/>
          <xdr14:xfrm>
            <a:off x="22037400" y="2596680"/>
            <a:ext cx="1494720" cy="259560"/>
          </xdr14:xfrm>
        </xdr:contentPart>
      </mc:Choice>
      <mc:Fallback xmlns="">
        <xdr:pic>
          <xdr:nvPicPr>
            <xdr:cNvPr id="2" name="Рукописный ввод 1">
              <a:extLst>
                <a:ext uri="{FF2B5EF4-FFF2-40B4-BE49-F238E27FC236}">
                  <a16:creationId xmlns:a16="http://schemas.microsoft.com/office/drawing/2014/main" id="{EF10218E-C6EA-0A23-E92D-0B64719E3A2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2028400" y="2588040"/>
              <a:ext cx="1512360" cy="27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519620</xdr:colOff>
      <xdr:row>9</xdr:row>
      <xdr:rowOff>63900</xdr:rowOff>
    </xdr:from>
    <xdr:to>
      <xdr:col>25</xdr:col>
      <xdr:colOff>280500</xdr:colOff>
      <xdr:row>22</xdr:row>
      <xdr:rowOff>25680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Рукописный ввод 2">
              <a:extLst>
                <a:ext uri="{FF2B5EF4-FFF2-40B4-BE49-F238E27FC236}">
                  <a16:creationId xmlns:a16="http://schemas.microsoft.com/office/drawing/2014/main" id="{78854236-80CE-725E-EB5F-5EECC61772E5}"/>
                </a:ext>
              </a:extLst>
            </xdr14:cNvPr>
            <xdr14:cNvContentPartPr/>
          </xdr14:nvContentPartPr>
          <xdr14:nvPr macro=""/>
          <xdr14:xfrm>
            <a:off x="23544720" y="1778400"/>
            <a:ext cx="3062880" cy="2438280"/>
          </xdr14:xfrm>
        </xdr:contentPart>
      </mc:Choice>
      <mc:Fallback xmlns="">
        <xdr:pic>
          <xdr:nvPicPr>
            <xdr:cNvPr id="3" name="Рукописный ввод 2">
              <a:extLst>
                <a:ext uri="{FF2B5EF4-FFF2-40B4-BE49-F238E27FC236}">
                  <a16:creationId xmlns:a16="http://schemas.microsoft.com/office/drawing/2014/main" id="{78854236-80CE-725E-EB5F-5EECC61772E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535720" y="1769400"/>
              <a:ext cx="3080520" cy="245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721940</xdr:colOff>
      <xdr:row>15</xdr:row>
      <xdr:rowOff>30780</xdr:rowOff>
    </xdr:from>
    <xdr:to>
      <xdr:col>24</xdr:col>
      <xdr:colOff>602720</xdr:colOff>
      <xdr:row>19</xdr:row>
      <xdr:rowOff>51420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Рукописный ввод 3">
              <a:extLst>
                <a:ext uri="{FF2B5EF4-FFF2-40B4-BE49-F238E27FC236}">
                  <a16:creationId xmlns:a16="http://schemas.microsoft.com/office/drawing/2014/main" id="{85621C9F-803C-8C10-06D2-66706BF87526}"/>
                </a:ext>
              </a:extLst>
            </xdr14:cNvPr>
            <xdr14:cNvContentPartPr/>
          </xdr14:nvContentPartPr>
          <xdr14:nvPr macro=""/>
          <xdr14:xfrm>
            <a:off x="23747040" y="2888280"/>
            <a:ext cx="2357280" cy="782640"/>
          </xdr14:xfrm>
        </xdr:contentPart>
      </mc:Choice>
      <mc:Fallback xmlns="">
        <xdr:pic>
          <xdr:nvPicPr>
            <xdr:cNvPr id="4" name="Рукописный ввод 3">
              <a:extLst>
                <a:ext uri="{FF2B5EF4-FFF2-40B4-BE49-F238E27FC236}">
                  <a16:creationId xmlns:a16="http://schemas.microsoft.com/office/drawing/2014/main" id="{85621C9F-803C-8C10-06D2-66706BF8752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3738040" y="2879280"/>
              <a:ext cx="2374920" cy="80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325840</xdr:colOff>
      <xdr:row>17</xdr:row>
      <xdr:rowOff>15180</xdr:rowOff>
    </xdr:from>
    <xdr:to>
      <xdr:col>26</xdr:col>
      <xdr:colOff>326200</xdr:colOff>
      <xdr:row>17</xdr:row>
      <xdr:rowOff>15540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Рукописный ввод 4">
              <a:extLst>
                <a:ext uri="{FF2B5EF4-FFF2-40B4-BE49-F238E27FC236}">
                  <a16:creationId xmlns:a16="http://schemas.microsoft.com/office/drawing/2014/main" id="{9AEBF984-7D92-494B-7371-D8B749C68A44}"/>
                </a:ext>
              </a:extLst>
            </xdr14:cNvPr>
            <xdr14:cNvContentPartPr/>
          </xdr14:nvContentPartPr>
          <xdr14:nvPr macro=""/>
          <xdr14:xfrm>
            <a:off x="27478440" y="3253680"/>
            <a:ext cx="360" cy="360"/>
          </xdr14:xfrm>
        </xdr:contentPart>
      </mc:Choice>
      <mc:Fallback xmlns="">
        <xdr:pic>
          <xdr:nvPicPr>
            <xdr:cNvPr id="5" name="Рукописный ввод 4">
              <a:extLst>
                <a:ext uri="{FF2B5EF4-FFF2-40B4-BE49-F238E27FC236}">
                  <a16:creationId xmlns:a16="http://schemas.microsoft.com/office/drawing/2014/main" id="{9AEBF984-7D92-494B-7371-D8B749C68A44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7469440" y="32446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234040</xdr:colOff>
      <xdr:row>17</xdr:row>
      <xdr:rowOff>15180</xdr:rowOff>
    </xdr:from>
    <xdr:to>
      <xdr:col>26</xdr:col>
      <xdr:colOff>424120</xdr:colOff>
      <xdr:row>20</xdr:row>
      <xdr:rowOff>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Рукописный ввод 5">
              <a:extLst>
                <a:ext uri="{FF2B5EF4-FFF2-40B4-BE49-F238E27FC236}">
                  <a16:creationId xmlns:a16="http://schemas.microsoft.com/office/drawing/2014/main" id="{843568DF-9019-22D3-1112-04DDBC07A60E}"/>
                </a:ext>
              </a:extLst>
            </xdr14:cNvPr>
            <xdr14:cNvContentPartPr/>
          </xdr14:nvContentPartPr>
          <xdr14:nvPr macro=""/>
          <xdr14:xfrm>
            <a:off x="27386640" y="3253680"/>
            <a:ext cx="190080" cy="557280"/>
          </xdr14:xfrm>
        </xdr:contentPart>
      </mc:Choice>
      <mc:Fallback xmlns="">
        <xdr:pic>
          <xdr:nvPicPr>
            <xdr:cNvPr id="6" name="Рукописный ввод 5">
              <a:extLst>
                <a:ext uri="{FF2B5EF4-FFF2-40B4-BE49-F238E27FC236}">
                  <a16:creationId xmlns:a16="http://schemas.microsoft.com/office/drawing/2014/main" id="{843568DF-9019-22D3-1112-04DDBC07A60E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27378000" y="3244680"/>
              <a:ext cx="207720" cy="57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495060</xdr:colOff>
      <xdr:row>13</xdr:row>
      <xdr:rowOff>67260</xdr:rowOff>
    </xdr:from>
    <xdr:to>
      <xdr:col>28</xdr:col>
      <xdr:colOff>784080</xdr:colOff>
      <xdr:row>17</xdr:row>
      <xdr:rowOff>187980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7" name="Рукописный ввод 6">
              <a:extLst>
                <a:ext uri="{FF2B5EF4-FFF2-40B4-BE49-F238E27FC236}">
                  <a16:creationId xmlns:a16="http://schemas.microsoft.com/office/drawing/2014/main" id="{AF192E19-F40C-DC9F-3FFC-3B6F340610D3}"/>
                </a:ext>
              </a:extLst>
            </xdr14:cNvPr>
            <xdr14:cNvContentPartPr/>
          </xdr14:nvContentPartPr>
          <xdr14:nvPr macro=""/>
          <xdr14:xfrm>
            <a:off x="26822160" y="2543760"/>
            <a:ext cx="2765520" cy="882720"/>
          </xdr14:xfrm>
        </xdr:contentPart>
      </mc:Choice>
      <mc:Fallback xmlns="">
        <xdr:pic>
          <xdr:nvPicPr>
            <xdr:cNvPr id="7" name="Рукописный ввод 6">
              <a:extLst>
                <a:ext uri="{FF2B5EF4-FFF2-40B4-BE49-F238E27FC236}">
                  <a16:creationId xmlns:a16="http://schemas.microsoft.com/office/drawing/2014/main" id="{AF192E19-F40C-DC9F-3FFC-3B6F340610D3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26813160" y="2535120"/>
              <a:ext cx="2783160" cy="9003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4;&amp;&#1056;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_2004_cor\fil_04_&#1091;&#1090;&#1074;\00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ad\users\&#1060;&#1080;&#1085;&#1072;&#1085;&#1089;&#1086;&#1074;&#1086;&#1077;%20&#1059;&#1087;&#1088;&#1072;&#1074;&#1083;&#1077;&#1085;&#1080;&#1077;\3.&#1041;&#1102;&#1076;&#1078;&#1077;&#1090;\&#1055;&#1083;&#1072;&#1085;%20&#1073;&#1102;&#1076;&#1078;&#1077;&#1090;&#1072;\2017%20&#1075;&#1086;&#1076;\&#1056;&#1072;&#1073;&#1086;&#1095;&#1080;&#1077;%20&#1092;&#1072;&#1081;&#1083;&#1099;%20&#1080;%20&#1076;&#1086;&#1082;&#1091;&#1084;&#1077;&#1085;&#1090;&#1099;\&#1054;&#1073;&#1079;&#1086;&#1088;%20&#1089;&#1074;&#1086;&#1076;%20&#1079;&#1072;%2031.01.2017%20&#1076;&#1083;&#1103;%20&#1088;&#1072;&#1073;&#1086;&#1090;&#1099;%20&#1082;&#1086;&#1087;&#1080;&#1103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PR_EA\ELINA\SVOD2\GOLNE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1041;&#1102;&#1076;&#1078;&#1077;&#1090;&#1099;\Budget\Documents%20and%20Settings\Oleg\Local%20Settings\Temporary%20Internet%20Files\Content.IE5\49MVOPUR\Budget\Profiles\&#1042;&#1083;&#1072;&#1076;&#1077;&#1083;&#1077;&#1094;\My%20Documents\Budget%20Models\Sapar_Old%20Budget%20versions\Sapar_old_budget%20models\P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LBAL\FILM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onom2\1o&#1090;&#1095;&#1077;&#1090;&#1099;%2001.1\ODWIN\od2d0u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ckup_server1\&#1053;&#1086;&#1088;&#1084;&#1072;&#1090;&#1080;&#1074;&#1085;&#1099;&#1077;%20&#1076;&#1086;&#1082;&#1091;&#1084;&#1077;&#1085;&#1090;&#1099;\&#1054;&#1090;&#1095;&#1077;&#1090;&#1099;\2004%20&#1075;&#1086;&#1076;\&#1060;&#1080;&#1085;&#1072;&#1085;&#1089;&#1086;&#1074;&#1072;&#1103;%20&#1086;&#1090;&#1095;&#1077;&#1090;&#1085;&#1086;&#1089;&#1090;&#1100;\12_&#1044;&#1077;&#1082;&#1072;&#1073;&#1088;&#1100;\&#1060;&#1080;&#1085;.&#1086;&#1090;&#1095;&#1077;&#1090;&#1085;&#1086;&#1089;&#1090;&#1100;%20&#1079;&#1072;%202004&#1075;.-%20&#1089;%20&#1080;&#1079;&#1084;&#1077;&#1085;&#1077;&#1085;&#1080;&#1077;&#1084;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&#1057;&#1090;&#1072;&#1088;&#1099;&#1077;%20&#1076;&#1072;&#1085;&#1085;&#1099;&#1077;\SAPRUN.%20&#1059;&#1079;&#1087;&#1088;&#1086;&#1084;&#1089;&#1090;&#1088;&#1086;&#1081;&#1073;&#1072;&#1085;&#1082;\(2)%20&#1056;&#1077;&#1079;&#1091;&#1083;&#1100;&#1090;&#1072;&#1090;&#1099;%20&#1054;&#1089;&#1085;&#1086;&#1074;&#1085;&#1086;&#1081;\&#1041;&#1102;&#1076;&#1078;&#1077;&#1090;%202022\&#1041;&#1102;&#1076;&#1078;&#1077;&#1090;&#1085;&#1072;&#1103;%20&#1084;&#1086;&#1076;&#1077;&#1083;&#1100;%20&#1059;&#1079;&#1055;&#1057;&#1041;%202022%20v.151.xlsx" TargetMode="External"/><Relationship Id="rId1" Type="http://schemas.openxmlformats.org/officeDocument/2006/relationships/externalLinkPath" Target="/&#1057;&#1090;&#1072;&#1088;&#1099;&#1077;%20&#1076;&#1072;&#1085;&#1085;&#1099;&#1077;/SAPRUN.%20&#1059;&#1079;&#1087;&#1088;&#1086;&#1084;&#1089;&#1090;&#1088;&#1086;&#1081;&#1073;&#1072;&#1085;&#1082;/(2)%20&#1056;&#1077;&#1079;&#1091;&#1083;&#1100;&#1090;&#1072;&#1090;&#1099;%20&#1054;&#1089;&#1085;&#1086;&#1074;&#1085;&#1086;&#1081;/&#1041;&#1102;&#1076;&#1078;&#1077;&#1090;%202022/&#1041;&#1102;&#1076;&#1078;&#1077;&#1090;&#1085;&#1072;&#1103;%20&#1084;&#1086;&#1076;&#1077;&#1083;&#1100;%20&#1059;&#1079;&#1055;&#1057;&#1041;%202022%20v.151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&#1050;&#1083;&#1080;&#1077;&#1085;&#1090;&#1099;_&#1074;&#1086;&#1088;&#1086;&#1085;&#1082;&#1080;_&#1052;&#1057;&#1041;.xlsx" TargetMode="External"/><Relationship Id="rId1" Type="http://schemas.openxmlformats.org/officeDocument/2006/relationships/externalLinkPath" Target="/Users/asus/Downloads/&#1050;&#1083;&#1080;&#1077;&#1085;&#1090;&#1099;_&#1074;&#1086;&#1088;&#1086;&#1085;&#1082;&#1080;_&#1052;&#1057;&#1041;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&#1057;&#1090;&#1072;&#1088;&#1099;&#1077;%20&#1076;&#1072;&#1085;&#1085;&#1099;&#1077;\&#1048;&#1074;&#1072;&#1085;.%20Beeline%20KZ\&#1056;&#1077;&#1079;&#1091;&#1083;&#1100;&#1090;&#1072;&#1090;&#1099;\&#1050;&#1083;&#1080;&#1077;&#1085;&#1090;&#1099;_&#1074;&#1086;&#1088;&#1086;&#1085;&#1082;&#1080;_v3.xlsx" TargetMode="External"/><Relationship Id="rId1" Type="http://schemas.openxmlformats.org/officeDocument/2006/relationships/externalLinkPath" Target="&#1050;&#1083;&#1080;&#1077;&#1085;&#1090;&#1099;_&#1074;&#1086;&#1088;&#1086;&#1085;&#1082;&#1080;_v3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77017/Downloads/Simply%20Target%20Architecture%20Breakdown%20v.4%20(cost%20cutting%20staff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Д&amp;Р"/>
      <sheetName val="Справочник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Лист2"/>
      <sheetName val="Лист3"/>
      <sheetName val="000"/>
      <sheetName val="Balance_010102_IAAS_Cons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вод"/>
      <sheetName val="Свод (сом)"/>
      <sheetName val="Свод (инвал)"/>
    </sheetNames>
    <sheetDataSet>
      <sheetData sheetId="0">
        <row r="5">
          <cell r="M5">
            <v>69.133799999999994</v>
          </cell>
        </row>
      </sheetData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неделя"/>
    </sheetNames>
    <sheetDataSet>
      <sheetData sheetId="0" refreshError="1">
        <row r="16">
          <cell r="R16">
            <v>2030448</v>
          </cell>
        </row>
        <row r="17">
          <cell r="R17">
            <v>81173.990000000005</v>
          </cell>
        </row>
        <row r="18">
          <cell r="R18">
            <v>0</v>
          </cell>
        </row>
        <row r="19">
          <cell r="R19">
            <v>105701.79</v>
          </cell>
        </row>
        <row r="20">
          <cell r="R20">
            <v>1321314.32</v>
          </cell>
        </row>
        <row r="23">
          <cell r="R23">
            <v>928071.15999999992</v>
          </cell>
        </row>
        <row r="24">
          <cell r="R24">
            <v>152967.71</v>
          </cell>
        </row>
        <row r="25">
          <cell r="R25">
            <v>160895.82999999999</v>
          </cell>
        </row>
        <row r="26">
          <cell r="R26">
            <v>17489.990000000002</v>
          </cell>
        </row>
        <row r="27">
          <cell r="R27">
            <v>17789.439999999999</v>
          </cell>
        </row>
        <row r="35">
          <cell r="Q35">
            <v>23325.485999999997</v>
          </cell>
        </row>
        <row r="38">
          <cell r="Q38">
            <v>11000.2</v>
          </cell>
        </row>
        <row r="50">
          <cell r="Q50">
            <v>553696.20600000001</v>
          </cell>
        </row>
        <row r="51">
          <cell r="Q51">
            <v>231122</v>
          </cell>
        </row>
        <row r="52">
          <cell r="Q52">
            <v>113.72</v>
          </cell>
        </row>
        <row r="53">
          <cell r="Q53">
            <v>173003.196</v>
          </cell>
        </row>
        <row r="54">
          <cell r="Q54">
            <v>0</v>
          </cell>
        </row>
        <row r="55">
          <cell r="Q55">
            <v>740.38199999999995</v>
          </cell>
        </row>
        <row r="60">
          <cell r="R60">
            <v>3056470.426</v>
          </cell>
        </row>
        <row r="61">
          <cell r="R61">
            <v>736.94200000000001</v>
          </cell>
        </row>
        <row r="62">
          <cell r="Q62">
            <v>1527225.5459999999</v>
          </cell>
        </row>
        <row r="63">
          <cell r="R63">
            <v>526127.16999999993</v>
          </cell>
        </row>
        <row r="65">
          <cell r="R65">
            <v>426952.5</v>
          </cell>
        </row>
        <row r="66">
          <cell r="Q66">
            <v>195196.76</v>
          </cell>
          <cell r="R66">
            <v>210015.62000000002</v>
          </cell>
        </row>
        <row r="67">
          <cell r="Q67">
            <v>9641.14</v>
          </cell>
        </row>
        <row r="68">
          <cell r="R68">
            <v>99529.837999999989</v>
          </cell>
        </row>
        <row r="69">
          <cell r="Q69">
            <v>42532.65</v>
          </cell>
          <cell r="R69">
            <v>0</v>
          </cell>
        </row>
        <row r="70">
          <cell r="Q70">
            <v>16596.261999999999</v>
          </cell>
          <cell r="R70">
            <v>193.494</v>
          </cell>
        </row>
        <row r="71">
          <cell r="Q71">
            <v>23669.712</v>
          </cell>
        </row>
        <row r="72">
          <cell r="R72">
            <v>0</v>
          </cell>
        </row>
        <row r="74">
          <cell r="Q74">
            <v>0</v>
          </cell>
        </row>
        <row r="80">
          <cell r="R80">
            <v>25588.49</v>
          </cell>
        </row>
        <row r="81">
          <cell r="Q81">
            <v>3251577.5660000001</v>
          </cell>
        </row>
        <row r="82">
          <cell r="Q82">
            <v>157164.76400000002</v>
          </cell>
        </row>
        <row r="83">
          <cell r="Q83">
            <v>2224176.73</v>
          </cell>
        </row>
        <row r="84">
          <cell r="Q84">
            <v>326924.30599999998</v>
          </cell>
        </row>
        <row r="85">
          <cell r="R85">
            <v>657332.24199999985</v>
          </cell>
        </row>
        <row r="86">
          <cell r="R86">
            <v>24413.759999999998</v>
          </cell>
        </row>
        <row r="87">
          <cell r="R87">
            <v>52474.39</v>
          </cell>
        </row>
        <row r="88">
          <cell r="R88">
            <v>392563.842</v>
          </cell>
        </row>
        <row r="89">
          <cell r="R89">
            <v>96256.584000000003</v>
          </cell>
        </row>
        <row r="90">
          <cell r="R90">
            <v>0</v>
          </cell>
        </row>
        <row r="93">
          <cell r="Q93">
            <v>15100</v>
          </cell>
        </row>
        <row r="94">
          <cell r="R94">
            <v>51996.144000000008</v>
          </cell>
        </row>
        <row r="96">
          <cell r="R96">
            <v>41676.681999999993</v>
          </cell>
        </row>
        <row r="100">
          <cell r="Q100">
            <v>175427.40400000001</v>
          </cell>
        </row>
        <row r="101">
          <cell r="R101">
            <v>7120.18</v>
          </cell>
        </row>
        <row r="102">
          <cell r="R102">
            <v>92799.16</v>
          </cell>
        </row>
        <row r="104">
          <cell r="Q104">
            <v>806283.11600000004</v>
          </cell>
          <cell r="R104">
            <v>0</v>
          </cell>
        </row>
        <row r="105">
          <cell r="R105">
            <v>54517.914000000004</v>
          </cell>
        </row>
        <row r="108">
          <cell r="R108">
            <v>2133878.73</v>
          </cell>
        </row>
        <row r="109">
          <cell r="Q109">
            <v>99790.645999999993</v>
          </cell>
        </row>
        <row r="110">
          <cell r="R110">
            <v>347300</v>
          </cell>
        </row>
        <row r="115">
          <cell r="R115">
            <v>1200450</v>
          </cell>
        </row>
        <row r="118">
          <cell r="Q118">
            <v>36720</v>
          </cell>
        </row>
        <row r="120">
          <cell r="R120">
            <v>0</v>
          </cell>
        </row>
        <row r="121">
          <cell r="Q121">
            <v>3032.2420000000002</v>
          </cell>
          <cell r="R121">
            <v>64553.62200000001</v>
          </cell>
        </row>
        <row r="122">
          <cell r="Q122">
            <v>30783.492000000006</v>
          </cell>
        </row>
        <row r="123">
          <cell r="R123">
            <v>49842.408000000003</v>
          </cell>
        </row>
        <row r="124">
          <cell r="Q124">
            <v>0</v>
          </cell>
          <cell r="R124">
            <v>0</v>
          </cell>
        </row>
        <row r="125">
          <cell r="R125">
            <v>0</v>
          </cell>
        </row>
        <row r="127">
          <cell r="Q127">
            <v>0</v>
          </cell>
        </row>
        <row r="131">
          <cell r="R131">
            <v>0</v>
          </cell>
        </row>
        <row r="132">
          <cell r="Q132">
            <v>0</v>
          </cell>
        </row>
        <row r="133">
          <cell r="R133">
            <v>0</v>
          </cell>
        </row>
        <row r="134">
          <cell r="Q134">
            <v>0</v>
          </cell>
        </row>
        <row r="135">
          <cell r="Q135">
            <v>0</v>
          </cell>
        </row>
        <row r="136">
          <cell r="Q136">
            <v>0</v>
          </cell>
        </row>
        <row r="137">
          <cell r="Q137">
            <v>0</v>
          </cell>
        </row>
        <row r="138">
          <cell r="R138">
            <v>0</v>
          </cell>
        </row>
        <row r="139">
          <cell r="R139">
            <v>0</v>
          </cell>
        </row>
        <row r="140">
          <cell r="R140">
            <v>0</v>
          </cell>
        </row>
        <row r="141">
          <cell r="R141">
            <v>35.178000000000004</v>
          </cell>
        </row>
        <row r="142">
          <cell r="R142">
            <v>1352.652</v>
          </cell>
        </row>
        <row r="143">
          <cell r="R143">
            <v>0</v>
          </cell>
        </row>
        <row r="164">
          <cell r="R164">
            <v>0</v>
          </cell>
        </row>
        <row r="169">
          <cell r="Q169">
            <v>299037.02599999995</v>
          </cell>
          <cell r="R169">
            <v>0</v>
          </cell>
        </row>
        <row r="170">
          <cell r="Q170">
            <v>0</v>
          </cell>
          <cell r="R170">
            <v>0</v>
          </cell>
        </row>
        <row r="177">
          <cell r="R177">
            <v>394128.55200000003</v>
          </cell>
        </row>
        <row r="178">
          <cell r="Q178">
            <v>1114.0740000000001</v>
          </cell>
          <cell r="R178">
            <v>0</v>
          </cell>
        </row>
        <row r="179">
          <cell r="R179">
            <v>77133.642000000022</v>
          </cell>
        </row>
        <row r="180">
          <cell r="Q180">
            <v>0</v>
          </cell>
        </row>
        <row r="184">
          <cell r="Q184">
            <v>0</v>
          </cell>
        </row>
        <row r="185">
          <cell r="Q185">
            <v>0</v>
          </cell>
        </row>
        <row r="186">
          <cell r="R186">
            <v>0</v>
          </cell>
        </row>
        <row r="187">
          <cell r="Q187">
            <v>0</v>
          </cell>
        </row>
        <row r="189">
          <cell r="Q189">
            <v>0</v>
          </cell>
        </row>
        <row r="190">
          <cell r="R190">
            <v>1000000</v>
          </cell>
        </row>
        <row r="195">
          <cell r="Q195">
            <v>76540</v>
          </cell>
        </row>
        <row r="196">
          <cell r="R196">
            <v>0</v>
          </cell>
        </row>
        <row r="208">
          <cell r="Q208">
            <v>0</v>
          </cell>
        </row>
        <row r="214">
          <cell r="Q214">
            <v>0</v>
          </cell>
        </row>
        <row r="218">
          <cell r="R218">
            <v>60.008000000000003</v>
          </cell>
        </row>
        <row r="219">
          <cell r="R219">
            <v>0</v>
          </cell>
        </row>
        <row r="220">
          <cell r="Q220">
            <v>291054.7</v>
          </cell>
        </row>
        <row r="223">
          <cell r="Q223">
            <v>300456</v>
          </cell>
        </row>
        <row r="228">
          <cell r="R228">
            <v>350</v>
          </cell>
        </row>
        <row r="229">
          <cell r="Q229">
            <v>0</v>
          </cell>
        </row>
        <row r="416">
          <cell r="Q416">
            <v>661491.14399999997</v>
          </cell>
        </row>
        <row r="417">
          <cell r="Q417">
            <v>54751.224000000002</v>
          </cell>
        </row>
        <row r="420">
          <cell r="Q420">
            <v>764599.82799999998</v>
          </cell>
          <cell r="R420">
            <v>320124.43200000003</v>
          </cell>
        </row>
        <row r="454">
          <cell r="Q454">
            <v>3083459.3</v>
          </cell>
          <cell r="R454">
            <v>1710238.7960000001</v>
          </cell>
        </row>
        <row r="477">
          <cell r="R477">
            <v>124968.43199999999</v>
          </cell>
        </row>
        <row r="481">
          <cell r="R481">
            <v>16594.261999999999</v>
          </cell>
        </row>
        <row r="483">
          <cell r="R483">
            <v>4996.6360000000004</v>
          </cell>
        </row>
        <row r="484">
          <cell r="Q484">
            <v>242231.266</v>
          </cell>
        </row>
        <row r="486">
          <cell r="Q486">
            <v>32644.580000000005</v>
          </cell>
        </row>
        <row r="487">
          <cell r="Q487">
            <v>2690.4</v>
          </cell>
        </row>
        <row r="488">
          <cell r="R488">
            <v>1035.4079999999999</v>
          </cell>
        </row>
        <row r="489">
          <cell r="R489">
            <v>150008.82399999999</v>
          </cell>
        </row>
        <row r="493">
          <cell r="R493">
            <v>8760</v>
          </cell>
        </row>
        <row r="494">
          <cell r="R494">
            <v>511457.18600000005</v>
          </cell>
        </row>
        <row r="498">
          <cell r="R498">
            <v>425</v>
          </cell>
        </row>
        <row r="500">
          <cell r="R500">
            <v>0</v>
          </cell>
        </row>
        <row r="501">
          <cell r="Q501">
            <v>0</v>
          </cell>
        </row>
        <row r="502">
          <cell r="Q502">
            <v>7870.2900000000009</v>
          </cell>
        </row>
        <row r="547">
          <cell r="Q547">
            <v>0</v>
          </cell>
          <cell r="R547">
            <v>107.00999999999999</v>
          </cell>
        </row>
        <row r="555">
          <cell r="R555">
            <v>0</v>
          </cell>
        </row>
        <row r="561">
          <cell r="Q561">
            <v>24233.034000000003</v>
          </cell>
          <cell r="R561">
            <v>7533.0439999999999</v>
          </cell>
        </row>
        <row r="562">
          <cell r="Q562">
            <v>1594.6760000000002</v>
          </cell>
          <cell r="R562">
            <v>2.9820000000000002</v>
          </cell>
        </row>
        <row r="564">
          <cell r="Q564">
            <v>318638.598</v>
          </cell>
          <cell r="R564">
            <v>289345.22400000005</v>
          </cell>
        </row>
        <row r="566">
          <cell r="R566">
            <v>283346.82399999996</v>
          </cell>
        </row>
        <row r="567">
          <cell r="Q567">
            <v>60800</v>
          </cell>
        </row>
        <row r="568">
          <cell r="R568">
            <v>21.65</v>
          </cell>
        </row>
        <row r="570">
          <cell r="Q570">
            <v>8197.4699999999993</v>
          </cell>
          <cell r="R570">
            <v>0</v>
          </cell>
        </row>
        <row r="574">
          <cell r="Q574">
            <v>7301</v>
          </cell>
        </row>
        <row r="575">
          <cell r="Q575">
            <v>200092.3</v>
          </cell>
          <cell r="R575">
            <v>0</v>
          </cell>
        </row>
        <row r="577">
          <cell r="Q577">
            <v>314496.08</v>
          </cell>
          <cell r="R577">
            <v>7.8120000000000003</v>
          </cell>
        </row>
        <row r="579">
          <cell r="Q579">
            <v>0</v>
          </cell>
        </row>
        <row r="580">
          <cell r="R580">
            <v>11046.642</v>
          </cell>
        </row>
        <row r="592">
          <cell r="Q592">
            <v>40728.39</v>
          </cell>
        </row>
        <row r="601">
          <cell r="Q601">
            <v>1176065.5760000001</v>
          </cell>
        </row>
        <row r="621">
          <cell r="Q621">
            <v>3001075.9259999995</v>
          </cell>
          <cell r="R621">
            <v>3287908.9440000001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p"/>
      <sheetName val="As"/>
      <sheetName val="Rev"/>
      <sheetName val="Opexp"/>
      <sheetName val="Depr"/>
      <sheetName val="Consincome"/>
      <sheetName val="Repaym"/>
      <sheetName val="Cash-flow_indirect"/>
      <sheetName val="Cash-flow_direct"/>
      <sheetName val="Balance"/>
      <sheetName val="Ratios"/>
      <sheetName val="Merger"/>
      <sheetName val="Inputs"/>
      <sheetName val="Actuals"/>
      <sheetName val="Summary"/>
      <sheetName val="Ведомость"/>
      <sheetName val="Earnings"/>
      <sheetName val="Прибыль"/>
      <sheetName val="Cash Flow"/>
      <sheetName val="Balance Sheet"/>
      <sheetName val="Баланс"/>
      <sheetName val="Dividend"/>
      <sheetName val="Ден. Средства"/>
      <sheetName val="Interest"/>
      <sheetName val="Principal Repayment 2005"/>
      <sheetName val="Taxes"/>
      <sheetName val="Mine Production"/>
      <sheetName val="Добыча"/>
      <sheetName val="Production Schedule"/>
      <sheetName val="Производство"/>
      <sheetName val="Затраты"/>
      <sheetName val="Mgt Fee"/>
      <sheetName val="Total Costs"/>
      <sheetName val="Gold Inventories"/>
      <sheetName val="Fixed Assets"/>
      <sheetName val="Reclamation"/>
      <sheetName val="AR-AP"/>
      <sheetName val="Calculations"/>
      <sheetName val="Financing"/>
      <sheetName val="AFE's"/>
      <sheetName val="Prepaid Expenses"/>
      <sheetName val="Supplies"/>
      <sheetName val="Entries&amp;Reconciliation(USD)"/>
      <sheetName val="Broken Ore Analysis(USD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Баланс"/>
    </sheetNames>
    <sheetDataSet>
      <sheetData sheetId="0" refreshError="1">
        <row r="105">
          <cell r="G105">
            <v>488192.90476190473</v>
          </cell>
        </row>
        <row r="106">
          <cell r="H106">
            <v>178415.09523809524</v>
          </cell>
        </row>
        <row r="167">
          <cell r="H167">
            <v>0</v>
          </cell>
        </row>
        <row r="172">
          <cell r="G172">
            <v>236770.42857142858</v>
          </cell>
        </row>
        <row r="470">
          <cell r="G470">
            <v>7947.5238095238092</v>
          </cell>
          <cell r="H470">
            <v>266911.47619047621</v>
          </cell>
        </row>
        <row r="476">
          <cell r="G476">
            <v>11904.761904761905</v>
          </cell>
          <cell r="H476">
            <v>128185.52380952382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Sheet4"/>
      <sheetName val="Sheet1"/>
      <sheetName val="Sheet2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ДОПОЛНИТЕЛЬНО"/>
      <sheetName val="БАЛАНС"/>
      <sheetName val="ФОРМА1"/>
      <sheetName val="ФОРМА2"/>
      <sheetName val="ФОРМА2А"/>
      <sheetName val="ФОРМА4"/>
    </sheetNames>
    <sheetDataSet>
      <sheetData sheetId="0" refreshError="1">
        <row r="10">
          <cell r="A10" t="str">
            <v>сом</v>
          </cell>
        </row>
        <row r="11">
          <cell r="A11" t="str">
            <v>тыс.сом</v>
          </cell>
        </row>
        <row r="12">
          <cell r="A12" t="str">
            <v>млн.сом</v>
          </cell>
        </row>
      </sheetData>
      <sheetData sheetId="1" refreshError="1">
        <row r="1">
          <cell r="J1">
            <v>35826</v>
          </cell>
          <cell r="K1">
            <v>35854</v>
          </cell>
          <cell r="L1">
            <v>35885</v>
          </cell>
          <cell r="M1">
            <v>35915</v>
          </cell>
          <cell r="N1">
            <v>35946</v>
          </cell>
          <cell r="O1">
            <v>35976</v>
          </cell>
          <cell r="P1">
            <v>36007</v>
          </cell>
          <cell r="Q1">
            <v>36038</v>
          </cell>
          <cell r="R1">
            <v>36068</v>
          </cell>
          <cell r="S1">
            <v>36099</v>
          </cell>
          <cell r="T1">
            <v>36129</v>
          </cell>
          <cell r="U1">
            <v>36160</v>
          </cell>
          <cell r="V1">
            <v>36191</v>
          </cell>
          <cell r="W1">
            <v>36219</v>
          </cell>
          <cell r="X1">
            <v>36250</v>
          </cell>
          <cell r="Y1">
            <v>36280</v>
          </cell>
          <cell r="Z1">
            <v>36311</v>
          </cell>
          <cell r="AA1">
            <v>36341</v>
          </cell>
          <cell r="AB1">
            <v>36372</v>
          </cell>
          <cell r="AC1">
            <v>36403</v>
          </cell>
          <cell r="AD1">
            <v>36433</v>
          </cell>
          <cell r="AE1">
            <v>36464</v>
          </cell>
          <cell r="AF1">
            <v>36494</v>
          </cell>
          <cell r="AG1">
            <v>36525</v>
          </cell>
          <cell r="AH1">
            <v>36556</v>
          </cell>
          <cell r="AI1">
            <v>36585</v>
          </cell>
          <cell r="AJ1">
            <v>36616</v>
          </cell>
          <cell r="AK1">
            <v>36645</v>
          </cell>
          <cell r="AL1">
            <v>36677</v>
          </cell>
          <cell r="AM1">
            <v>36707</v>
          </cell>
          <cell r="AN1">
            <v>36738</v>
          </cell>
          <cell r="AO1">
            <v>36769</v>
          </cell>
          <cell r="AP1">
            <v>36799</v>
          </cell>
          <cell r="AQ1">
            <v>36830</v>
          </cell>
          <cell r="AR1">
            <v>36860</v>
          </cell>
          <cell r="AS1">
            <v>36891</v>
          </cell>
          <cell r="AT1">
            <v>36922</v>
          </cell>
          <cell r="AU1">
            <v>36950</v>
          </cell>
          <cell r="AV1">
            <v>36981</v>
          </cell>
          <cell r="AW1">
            <v>37011</v>
          </cell>
          <cell r="AX1">
            <v>37042</v>
          </cell>
          <cell r="AY1">
            <v>37072</v>
          </cell>
          <cell r="AZ1">
            <v>37103</v>
          </cell>
          <cell r="BA1">
            <v>37134</v>
          </cell>
          <cell r="BB1">
            <v>37164</v>
          </cell>
          <cell r="BC1">
            <v>37195</v>
          </cell>
          <cell r="BD1">
            <v>37225</v>
          </cell>
          <cell r="BE1">
            <v>37256</v>
          </cell>
          <cell r="BF1">
            <v>37287</v>
          </cell>
          <cell r="BG1">
            <v>37315</v>
          </cell>
          <cell r="BH1">
            <v>37346</v>
          </cell>
          <cell r="BI1">
            <v>37376</v>
          </cell>
          <cell r="BJ1">
            <v>37407</v>
          </cell>
          <cell r="BK1">
            <v>37437</v>
          </cell>
          <cell r="BL1">
            <v>37468</v>
          </cell>
          <cell r="BM1">
            <v>37499</v>
          </cell>
          <cell r="BN1">
            <v>37529</v>
          </cell>
          <cell r="BO1">
            <v>37560</v>
          </cell>
          <cell r="BP1">
            <v>37590</v>
          </cell>
          <cell r="BQ1">
            <v>37621</v>
          </cell>
          <cell r="BR1">
            <v>37652</v>
          </cell>
          <cell r="BS1">
            <v>37680</v>
          </cell>
          <cell r="BT1">
            <v>37711</v>
          </cell>
          <cell r="BU1">
            <v>37741</v>
          </cell>
          <cell r="BV1">
            <v>37772</v>
          </cell>
          <cell r="BW1">
            <v>37802</v>
          </cell>
          <cell r="BX1">
            <v>37833</v>
          </cell>
          <cell r="BY1">
            <v>37864</v>
          </cell>
          <cell r="BZ1">
            <v>37894</v>
          </cell>
          <cell r="CA1">
            <v>37925</v>
          </cell>
          <cell r="CB1">
            <v>37955</v>
          </cell>
          <cell r="CC1">
            <v>37986</v>
          </cell>
          <cell r="CD1">
            <v>38016</v>
          </cell>
          <cell r="CE1">
            <v>38045</v>
          </cell>
          <cell r="CF1">
            <v>38077</v>
          </cell>
          <cell r="CG1">
            <v>38107</v>
          </cell>
          <cell r="CH1">
            <v>38138</v>
          </cell>
          <cell r="CI1">
            <v>38168</v>
          </cell>
          <cell r="CJ1">
            <v>38199</v>
          </cell>
          <cell r="CK1">
            <v>38229</v>
          </cell>
          <cell r="CL1">
            <v>38260</v>
          </cell>
          <cell r="CM1">
            <v>38290</v>
          </cell>
          <cell r="CN1">
            <v>38321</v>
          </cell>
          <cell r="CO1">
            <v>38352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Листы_отработка_методология"/>
      <sheetName val="Лист1"/>
      <sheetName val="Версии"/>
      <sheetName val="КП&gt;&gt;&gt;"/>
      <sheetName val="КП"/>
      <sheetName val="КП.1"/>
      <sheetName val="КП.2"/>
      <sheetName val="КП.3"/>
      <sheetName val="ЦП&gt;&gt;&gt;"/>
      <sheetName val="ЦП.BS"/>
      <sheetName val="ЦП.PL"/>
      <sheetName val="ЦП.OPEX"/>
      <sheetName val="ЦП.CAPEX"/>
      <sheetName val="Мастер-бюджеты&gt;&gt;&gt;"/>
      <sheetName val="BS"/>
      <sheetName val="PL"/>
      <sheetName val="PL.1"/>
      <sheetName val="PL.2"/>
      <sheetName val="432"/>
      <sheetName val="CF"/>
      <sheetName val="OPEX"/>
      <sheetName val="CAPEX"/>
      <sheetName val="Аналитики&gt;&gt;&gt;"/>
      <sheetName val="Лист2"/>
      <sheetName val="БП 2021"/>
      <sheetName val="БП2022 (для согласования)"/>
      <sheetName val="БП"/>
      <sheetName val="Версии бюджета"/>
      <sheetName val="ЦФО ГБ"/>
      <sheetName val="ЦФО"/>
      <sheetName val="Валюты"/>
      <sheetName val="Отрасли"/>
      <sheetName val="Тип клиента"/>
      <sheetName val="X1"/>
      <sheetName val="Срок"/>
      <sheetName val="Базы"/>
      <sheetName val="Каналы"/>
      <sheetName val="0"/>
      <sheetName val="Размещение&gt;&gt;&gt;"/>
      <sheetName val="1"/>
      <sheetName val="2"/>
      <sheetName val="3"/>
      <sheetName val="Split_1_4"/>
      <sheetName val="11"/>
      <sheetName val="21.1"/>
      <sheetName val="1.1"/>
      <sheetName val="4"/>
      <sheetName val="21"/>
      <sheetName val="33"/>
      <sheetName val="Комиссионные&gt;&gt;&gt;"/>
      <sheetName val="5"/>
      <sheetName val="6"/>
      <sheetName val="7"/>
      <sheetName val="22"/>
      <sheetName val="23"/>
      <sheetName val="24"/>
      <sheetName val="25"/>
      <sheetName val="26"/>
      <sheetName val="27"/>
      <sheetName val="28"/>
      <sheetName val="ТП"/>
      <sheetName val="29"/>
      <sheetName val="30"/>
      <sheetName val="31"/>
      <sheetName val="32"/>
      <sheetName val="38"/>
      <sheetName val="39"/>
      <sheetName val="40"/>
      <sheetName val="41"/>
      <sheetName val="43"/>
      <sheetName val="44"/>
      <sheetName val="45"/>
      <sheetName val="ПластКарты&gt;&gt;&gt;"/>
      <sheetName val="ПК"/>
      <sheetName val="ПС"/>
      <sheetName val="16"/>
      <sheetName val="17"/>
      <sheetName val="18"/>
      <sheetName val="19"/>
      <sheetName val="20"/>
      <sheetName val="Привлечение&gt;&gt;&gt;"/>
      <sheetName val="8"/>
      <sheetName val="9"/>
      <sheetName val="14"/>
      <sheetName val="34"/>
      <sheetName val="35"/>
      <sheetName val="10"/>
      <sheetName val="14.1"/>
      <sheetName val="14.3"/>
      <sheetName val="Торговые&gt;&gt;&gt;"/>
      <sheetName val="12"/>
      <sheetName val="13.1"/>
      <sheetName val="13.2"/>
      <sheetName val="13.3"/>
      <sheetName val="13.4"/>
      <sheetName val="13.5"/>
      <sheetName val="15.1"/>
      <sheetName val="15.2"/>
      <sheetName val="36"/>
      <sheetName val="37"/>
      <sheetName val="Прочие&gt;&gt;&gt;"/>
      <sheetName val="ДЗК"/>
      <sheetName val="42"/>
      <sheetName val="46"/>
      <sheetName val="47"/>
      <sheetName val="48"/>
      <sheetName val="49"/>
      <sheetName val="50"/>
      <sheetName val="ФОР"/>
      <sheetName val="51"/>
      <sheetName val="52.1"/>
      <sheetName val="52.2"/>
      <sheetName val="53"/>
      <sheetName val="59.1"/>
      <sheetName val="59.2"/>
      <sheetName val="59.3"/>
      <sheetName val="59.4"/>
      <sheetName val="59.5"/>
      <sheetName val="59.6"/>
      <sheetName val="59.7"/>
      <sheetName val="OPEX&gt;&gt;&gt;"/>
      <sheetName val="OPEX.1"/>
      <sheetName val="OPEX.2"/>
      <sheetName val="OPEX.3"/>
      <sheetName val="CAPEX&gt;&gt;&gt;"/>
      <sheetName val="Адр"/>
      <sheetName val="CAPEX.1"/>
      <sheetName val="CAPEX.2"/>
      <sheetName val="CAPEX.3"/>
      <sheetName val="CAPEX.4"/>
      <sheetName val="CAPEX.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17">
          <cell r="E17">
            <v>43709</v>
          </cell>
        </row>
        <row r="18">
          <cell r="E18">
            <v>43739</v>
          </cell>
        </row>
      </sheetData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Воронка"/>
      <sheetName val="Лист3"/>
      <sheetName val="Лист4"/>
      <sheetName val="Лист2"/>
    </sheetNames>
    <sheetDataSet>
      <sheetData sheetId="0"/>
      <sheetData sheetId="1">
        <row r="14">
          <cell r="O14">
            <v>73761.426848255418</v>
          </cell>
          <cell r="AB14">
            <v>87159.270742797875</v>
          </cell>
          <cell r="AO14">
            <v>106353.71078050057</v>
          </cell>
          <cell r="BB14">
            <v>119195.85852332698</v>
          </cell>
          <cell r="BO14">
            <v>136058.60041481664</v>
          </cell>
        </row>
      </sheetData>
      <sheetData sheetId="2">
        <row r="13">
          <cell r="O13">
            <v>37346.400000000001</v>
          </cell>
          <cell r="AB13">
            <v>80051.52959999998</v>
          </cell>
          <cell r="AO13">
            <v>102941.99999999996</v>
          </cell>
          <cell r="BB13">
            <v>130842.63359999997</v>
          </cell>
          <cell r="BO13">
            <v>165952.08000000002</v>
          </cell>
        </row>
      </sheetData>
      <sheetData sheetId="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X_CAPEX"/>
      <sheetName val="Воронка"/>
      <sheetName val="CashCredit_dossym"/>
      <sheetName val="Комиссия_ЮЛ_рассрочка"/>
      <sheetName val="Пакет"/>
      <sheetName val="Micro_30"/>
      <sheetName val="Карта_рассроч_150"/>
      <sheetName val="Карта_рассроч_1000"/>
      <sheetName val="Дебет_карта"/>
    </sheetNames>
    <sheetDataSet>
      <sheetData sheetId="0"/>
      <sheetData sheetId="1">
        <row r="5">
          <cell r="E5">
            <v>500</v>
          </cell>
        </row>
      </sheetData>
      <sheetData sheetId="2">
        <row r="46">
          <cell r="D46">
            <v>-19.072877882576979</v>
          </cell>
          <cell r="E46">
            <v>-19.072877882576979</v>
          </cell>
          <cell r="F46">
            <v>-19.072877882576979</v>
          </cell>
          <cell r="G46">
            <v>-19.072877882576979</v>
          </cell>
          <cell r="H46">
            <v>-19.072877882576979</v>
          </cell>
          <cell r="I46">
            <v>-19.072877882576979</v>
          </cell>
          <cell r="J46">
            <v>-19.072877882576979</v>
          </cell>
          <cell r="K46">
            <v>-19.072877882576979</v>
          </cell>
          <cell r="L46">
            <v>-19.072877882576979</v>
          </cell>
          <cell r="M46">
            <v>-19.072877882576979</v>
          </cell>
          <cell r="N46">
            <v>-19.072877882576979</v>
          </cell>
          <cell r="O46">
            <v>-19.072877882576961</v>
          </cell>
          <cell r="Q46">
            <v>-21.109367651928338</v>
          </cell>
          <cell r="R46">
            <v>-21.109367651928338</v>
          </cell>
          <cell r="S46">
            <v>-21.109367651928338</v>
          </cell>
          <cell r="T46">
            <v>-21.109367651928338</v>
          </cell>
          <cell r="U46">
            <v>-21.109367651928338</v>
          </cell>
          <cell r="V46">
            <v>-21.109367651928338</v>
          </cell>
          <cell r="W46">
            <v>-21.109367651928338</v>
          </cell>
          <cell r="X46">
            <v>-21.109367651928338</v>
          </cell>
          <cell r="Y46">
            <v>-21.109367651928338</v>
          </cell>
          <cell r="Z46">
            <v>-21.109367651928338</v>
          </cell>
          <cell r="AA46">
            <v>-21.109367651928338</v>
          </cell>
          <cell r="AB46">
            <v>-21.10936765192832</v>
          </cell>
          <cell r="AD46">
            <v>-23.519757276268184</v>
          </cell>
          <cell r="AE46">
            <v>-23.519757276268184</v>
          </cell>
          <cell r="AF46">
            <v>-23.519757276268184</v>
          </cell>
          <cell r="AG46">
            <v>-23.519757276268184</v>
          </cell>
          <cell r="AH46">
            <v>-23.519757276268184</v>
          </cell>
          <cell r="AI46">
            <v>-23.519757276268184</v>
          </cell>
          <cell r="AJ46">
            <v>-23.519757276268184</v>
          </cell>
          <cell r="AK46">
            <v>-23.519757276268184</v>
          </cell>
          <cell r="AL46">
            <v>-23.519757276268184</v>
          </cell>
          <cell r="AM46">
            <v>-23.519757276268184</v>
          </cell>
          <cell r="AN46">
            <v>-23.519757276268184</v>
          </cell>
          <cell r="AO46">
            <v>-23.519757276268166</v>
          </cell>
          <cell r="AQ46">
            <v>-26.391417035708411</v>
          </cell>
          <cell r="AR46">
            <v>-26.391417035708411</v>
          </cell>
          <cell r="AS46">
            <v>-26.391417035708411</v>
          </cell>
          <cell r="AT46">
            <v>-26.391417035708411</v>
          </cell>
          <cell r="AU46">
            <v>-26.391417035708411</v>
          </cell>
          <cell r="AV46">
            <v>-26.391417035708411</v>
          </cell>
          <cell r="AW46">
            <v>-26.391417035708411</v>
          </cell>
          <cell r="AX46">
            <v>-26.391417035708411</v>
          </cell>
          <cell r="AY46">
            <v>-26.391417035708411</v>
          </cell>
          <cell r="AZ46">
            <v>-26.391417035708411</v>
          </cell>
          <cell r="BA46">
            <v>-26.391417035708411</v>
          </cell>
          <cell r="BB46">
            <v>-26.39141703570839</v>
          </cell>
          <cell r="BD46">
            <v>-30.125916939864673</v>
          </cell>
          <cell r="BE46">
            <v>-30.125916939864673</v>
          </cell>
          <cell r="BF46">
            <v>-30.125916939864673</v>
          </cell>
          <cell r="BG46">
            <v>-30.125916939864673</v>
          </cell>
          <cell r="BH46">
            <v>-30.125916939864673</v>
          </cell>
          <cell r="BI46">
            <v>-30.125916939864673</v>
          </cell>
          <cell r="BJ46">
            <v>-30.125916939864673</v>
          </cell>
          <cell r="BK46">
            <v>-30.125916939864673</v>
          </cell>
          <cell r="BL46">
            <v>-30.125916939864673</v>
          </cell>
          <cell r="BM46">
            <v>-30.125916939864673</v>
          </cell>
          <cell r="BN46">
            <v>-30.125916939864673</v>
          </cell>
          <cell r="BO46">
            <v>-30.125916939864652</v>
          </cell>
        </row>
        <row r="47">
          <cell r="D47">
            <v>-0.55184193340256049</v>
          </cell>
          <cell r="E47">
            <v>-0.55184193340256049</v>
          </cell>
          <cell r="F47">
            <v>-0.55184193340256049</v>
          </cell>
          <cell r="G47">
            <v>-0.55184193340256049</v>
          </cell>
          <cell r="H47">
            <v>-0.55184193340256049</v>
          </cell>
          <cell r="I47">
            <v>-0.55184193340256049</v>
          </cell>
          <cell r="J47">
            <v>-0.55184193340256049</v>
          </cell>
          <cell r="K47">
            <v>-0.55184193340256049</v>
          </cell>
          <cell r="L47">
            <v>-0.55184193340256049</v>
          </cell>
          <cell r="M47">
            <v>-0.55184193340256049</v>
          </cell>
          <cell r="N47">
            <v>-0.55184193340256049</v>
          </cell>
          <cell r="O47">
            <v>-0.55184193340256005</v>
          </cell>
          <cell r="Q47">
            <v>-0.61864520131917988</v>
          </cell>
          <cell r="R47">
            <v>-0.61864520131917988</v>
          </cell>
          <cell r="S47">
            <v>-0.61864520131917988</v>
          </cell>
          <cell r="T47">
            <v>-0.61864520131917988</v>
          </cell>
          <cell r="U47">
            <v>-0.61864520131917988</v>
          </cell>
          <cell r="V47">
            <v>-0.61864520131917988</v>
          </cell>
          <cell r="W47">
            <v>-0.61864520131917988</v>
          </cell>
          <cell r="X47">
            <v>-0.61864520131917988</v>
          </cell>
          <cell r="Y47">
            <v>-0.61864520131917988</v>
          </cell>
          <cell r="Z47">
            <v>-0.61864520131917988</v>
          </cell>
          <cell r="AA47">
            <v>-0.61864520131917988</v>
          </cell>
          <cell r="AB47">
            <v>-0.61864520131917933</v>
          </cell>
          <cell r="AD47">
            <v>-0.70245675065120983</v>
          </cell>
          <cell r="AE47">
            <v>-0.70245675065120983</v>
          </cell>
          <cell r="AF47">
            <v>-0.70245675065120983</v>
          </cell>
          <cell r="AG47">
            <v>-0.70245675065120983</v>
          </cell>
          <cell r="AH47">
            <v>-0.70245675065120983</v>
          </cell>
          <cell r="AI47">
            <v>-0.70245675065120983</v>
          </cell>
          <cell r="AJ47">
            <v>-0.70245675065120983</v>
          </cell>
          <cell r="AK47">
            <v>-0.70245675065120983</v>
          </cell>
          <cell r="AL47">
            <v>-0.70245675065120983</v>
          </cell>
          <cell r="AM47">
            <v>-0.70245675065120983</v>
          </cell>
          <cell r="AN47">
            <v>-0.70245675065120983</v>
          </cell>
          <cell r="AO47">
            <v>-0.70245675065120916</v>
          </cell>
          <cell r="AQ47">
            <v>-0.78822365546649131</v>
          </cell>
          <cell r="AR47">
            <v>-0.78822365546649131</v>
          </cell>
          <cell r="AS47">
            <v>-0.78822365546649131</v>
          </cell>
          <cell r="AT47">
            <v>-0.78822365546649131</v>
          </cell>
          <cell r="AU47">
            <v>-0.78822365546649131</v>
          </cell>
          <cell r="AV47">
            <v>-0.78822365546649131</v>
          </cell>
          <cell r="AW47">
            <v>-0.78822365546649131</v>
          </cell>
          <cell r="AX47">
            <v>-0.78822365546649131</v>
          </cell>
          <cell r="AY47">
            <v>-0.78822365546649131</v>
          </cell>
          <cell r="AZ47">
            <v>-0.78822365546649131</v>
          </cell>
          <cell r="BA47">
            <v>-0.78822365546649131</v>
          </cell>
          <cell r="BB47">
            <v>-0.78822365546649065</v>
          </cell>
          <cell r="BD47">
            <v>-0.89976071927062484</v>
          </cell>
          <cell r="BE47">
            <v>-0.89976071927062484</v>
          </cell>
          <cell r="BF47">
            <v>-0.89976071927062484</v>
          </cell>
          <cell r="BG47">
            <v>-0.89976071927062484</v>
          </cell>
          <cell r="BH47">
            <v>-0.89976071927062484</v>
          </cell>
          <cell r="BI47">
            <v>-0.89976071927062484</v>
          </cell>
          <cell r="BJ47">
            <v>-0.89976071927062484</v>
          </cell>
          <cell r="BK47">
            <v>-0.89976071927062484</v>
          </cell>
          <cell r="BL47">
            <v>-0.89976071927062484</v>
          </cell>
          <cell r="BM47">
            <v>-0.89976071927062484</v>
          </cell>
          <cell r="BN47">
            <v>-0.89976071927062484</v>
          </cell>
          <cell r="BO47">
            <v>-0.89976071927062418</v>
          </cell>
        </row>
        <row r="48">
          <cell r="D48">
            <v>-7.0951105723186361</v>
          </cell>
          <cell r="E48">
            <v>-7.0951105723186361</v>
          </cell>
          <cell r="F48">
            <v>-7.0951105723186361</v>
          </cell>
          <cell r="G48">
            <v>-7.0951105723186361</v>
          </cell>
          <cell r="H48">
            <v>-7.0951105723186361</v>
          </cell>
          <cell r="I48">
            <v>-7.0951105723186361</v>
          </cell>
          <cell r="J48">
            <v>-7.0951105723186361</v>
          </cell>
          <cell r="K48">
            <v>-7.0951105723186361</v>
          </cell>
          <cell r="L48">
            <v>-7.0951105723186361</v>
          </cell>
          <cell r="M48">
            <v>-7.0951105723186361</v>
          </cell>
          <cell r="N48">
            <v>-7.0951105723186361</v>
          </cell>
          <cell r="O48">
            <v>-7.095110572318629</v>
          </cell>
          <cell r="Q48">
            <v>-7.9540097312465985</v>
          </cell>
          <cell r="R48">
            <v>-7.9540097312465985</v>
          </cell>
          <cell r="S48">
            <v>-7.9540097312465985</v>
          </cell>
          <cell r="T48">
            <v>-7.9540097312465985</v>
          </cell>
          <cell r="U48">
            <v>-7.9540097312465985</v>
          </cell>
          <cell r="V48">
            <v>-7.9540097312465985</v>
          </cell>
          <cell r="W48">
            <v>-7.9540097312465985</v>
          </cell>
          <cell r="X48">
            <v>-7.9540097312465985</v>
          </cell>
          <cell r="Y48">
            <v>-7.9540097312465985</v>
          </cell>
          <cell r="Z48">
            <v>-7.9540097312465985</v>
          </cell>
          <cell r="AA48">
            <v>-7.9540097312465985</v>
          </cell>
          <cell r="AB48">
            <v>-7.9540097312465914</v>
          </cell>
          <cell r="AD48">
            <v>-9.0315867940869836</v>
          </cell>
          <cell r="AE48">
            <v>-9.0315867940869836</v>
          </cell>
          <cell r="AF48">
            <v>-9.0315867940869836</v>
          </cell>
          <cell r="AG48">
            <v>-9.0315867940869836</v>
          </cell>
          <cell r="AH48">
            <v>-9.0315867940869836</v>
          </cell>
          <cell r="AI48">
            <v>-9.0315867940869836</v>
          </cell>
          <cell r="AJ48">
            <v>-9.0315867940869836</v>
          </cell>
          <cell r="AK48">
            <v>-9.0315867940869836</v>
          </cell>
          <cell r="AL48">
            <v>-9.0315867940869836</v>
          </cell>
          <cell r="AM48">
            <v>-9.0315867940869836</v>
          </cell>
          <cell r="AN48">
            <v>-9.0315867940869836</v>
          </cell>
          <cell r="AO48">
            <v>-9.0315867940869765</v>
          </cell>
          <cell r="AQ48">
            <v>-10.134304141712033</v>
          </cell>
          <cell r="AR48">
            <v>-10.134304141712033</v>
          </cell>
          <cell r="AS48">
            <v>-10.134304141712033</v>
          </cell>
          <cell r="AT48">
            <v>-10.134304141712033</v>
          </cell>
          <cell r="AU48">
            <v>-10.134304141712033</v>
          </cell>
          <cell r="AV48">
            <v>-10.134304141712033</v>
          </cell>
          <cell r="AW48">
            <v>-10.134304141712033</v>
          </cell>
          <cell r="AX48">
            <v>-10.134304141712033</v>
          </cell>
          <cell r="AY48">
            <v>-10.134304141712033</v>
          </cell>
          <cell r="AZ48">
            <v>-10.134304141712033</v>
          </cell>
          <cell r="BA48">
            <v>-10.134304141712033</v>
          </cell>
          <cell r="BB48">
            <v>-10.134304141712022</v>
          </cell>
          <cell r="BD48">
            <v>-11.568352104908033</v>
          </cell>
          <cell r="BE48">
            <v>-11.568352104908033</v>
          </cell>
          <cell r="BF48">
            <v>-11.568352104908033</v>
          </cell>
          <cell r="BG48">
            <v>-11.568352104908033</v>
          </cell>
          <cell r="BH48">
            <v>-11.568352104908033</v>
          </cell>
          <cell r="BI48">
            <v>-11.568352104908033</v>
          </cell>
          <cell r="BJ48">
            <v>-11.568352104908033</v>
          </cell>
          <cell r="BK48">
            <v>-11.568352104908033</v>
          </cell>
          <cell r="BL48">
            <v>-11.568352104908033</v>
          </cell>
          <cell r="BM48">
            <v>-11.568352104908033</v>
          </cell>
          <cell r="BN48">
            <v>-11.568352104908033</v>
          </cell>
          <cell r="BO48">
            <v>-11.568352104908024</v>
          </cell>
        </row>
        <row r="49">
          <cell r="D49">
            <v>-0.21361623228486215</v>
          </cell>
          <cell r="E49">
            <v>-0.41868781527832977</v>
          </cell>
          <cell r="F49">
            <v>-0.61555653495205875</v>
          </cell>
          <cell r="G49">
            <v>-0.80455050583883869</v>
          </cell>
          <cell r="H49">
            <v>-0.9859847178901473</v>
          </cell>
          <cell r="I49">
            <v>-1.1601615614594036</v>
          </cell>
          <cell r="J49">
            <v>-1.3273713312858897</v>
          </cell>
          <cell r="K49">
            <v>-1.4878927103193162</v>
          </cell>
          <cell r="L49">
            <v>-1.6419932341914059</v>
          </cell>
          <cell r="M49">
            <v>-1.7899297371086118</v>
          </cell>
          <cell r="N49">
            <v>-1.9319487799091297</v>
          </cell>
          <cell r="O49">
            <v>-2.0682870609976263</v>
          </cell>
          <cell r="Q49">
            <v>-0.25218657888170393</v>
          </cell>
          <cell r="R49">
            <v>-0.49428569460813959</v>
          </cell>
          <cell r="S49">
            <v>-0.72670084570551785</v>
          </cell>
          <cell r="T49">
            <v>-0.9498193907590009</v>
          </cell>
          <cell r="U49">
            <v>-1.1640131940103449</v>
          </cell>
          <cell r="V49">
            <v>-1.3696392451316348</v>
          </cell>
          <cell r="W49">
            <v>-1.567040254208073</v>
          </cell>
          <cell r="X49">
            <v>-1.7565452229214542</v>
          </cell>
          <cell r="Y49">
            <v>-1.9384699928863001</v>
          </cell>
          <cell r="Z49">
            <v>-2.1131177720525516</v>
          </cell>
          <cell r="AA49">
            <v>-2.2807796400521538</v>
          </cell>
          <cell r="AB49">
            <v>-2.4417350333317711</v>
          </cell>
          <cell r="AD49">
            <v>-0.30732482840990427</v>
          </cell>
          <cell r="AE49">
            <v>-0.60235666368341234</v>
          </cell>
          <cell r="AF49">
            <v>-0.88558722554598002</v>
          </cell>
          <cell r="AG49">
            <v>-1.1574885649340452</v>
          </cell>
          <cell r="AH49">
            <v>-1.4185138507465873</v>
          </cell>
          <cell r="AI49">
            <v>-1.6690981251266284</v>
          </cell>
          <cell r="AJ49">
            <v>-1.9096590285314672</v>
          </cell>
          <cell r="AK49">
            <v>-2.140597495800113</v>
          </cell>
          <cell r="AL49">
            <v>-2.3622984243780123</v>
          </cell>
          <cell r="AM49">
            <v>-2.5751313158127962</v>
          </cell>
          <cell r="AN49">
            <v>-2.7794508915901881</v>
          </cell>
          <cell r="AO49">
            <v>-2.9755976843364853</v>
          </cell>
          <cell r="AQ49">
            <v>-0.3448478492665899</v>
          </cell>
          <cell r="AR49">
            <v>-0.67590178456251637</v>
          </cell>
          <cell r="AS49">
            <v>-0.9937135624466058</v>
          </cell>
          <cell r="AT49">
            <v>-1.2988128692153313</v>
          </cell>
          <cell r="AU49">
            <v>-1.5917082037133079</v>
          </cell>
          <cell r="AV49">
            <v>-1.8728877248313658</v>
          </cell>
          <cell r="AW49">
            <v>-2.1428200651047011</v>
          </cell>
          <cell r="AX49">
            <v>-2.4019551117671023</v>
          </cell>
          <cell r="AY49">
            <v>-2.6507247565630085</v>
          </cell>
          <cell r="AZ49">
            <v>-2.8895436155670784</v>
          </cell>
          <cell r="BA49">
            <v>-3.1188097202109852</v>
          </cell>
          <cell r="BB49">
            <v>-3.3389051806691366</v>
          </cell>
          <cell r="BD49">
            <v>-0.39364531468089836</v>
          </cell>
          <cell r="BE49">
            <v>-0.77154481677456088</v>
          </cell>
          <cell r="BF49">
            <v>-1.1343283387844769</v>
          </cell>
          <cell r="BG49">
            <v>-1.4826005199139967</v>
          </cell>
          <cell r="BH49">
            <v>-1.8169418137983346</v>
          </cell>
          <cell r="BI49">
            <v>-2.1379094559273004</v>
          </cell>
          <cell r="BJ49">
            <v>-2.446038392371106</v>
          </cell>
          <cell r="BK49">
            <v>-2.7418421713571606</v>
          </cell>
          <cell r="BL49">
            <v>-3.0258137991837724</v>
          </cell>
          <cell r="BM49">
            <v>-3.2984265618973203</v>
          </cell>
          <cell r="BN49">
            <v>-3.5601348141023261</v>
          </cell>
          <cell r="BO49">
            <v>-3.8113747362191304</v>
          </cell>
        </row>
        <row r="50">
          <cell r="D50">
            <v>0</v>
          </cell>
          <cell r="E50">
            <v>-3.0516604612123168</v>
          </cell>
          <cell r="F50">
            <v>-5.9812545039761407</v>
          </cell>
          <cell r="G50">
            <v>-8.7936647850294118</v>
          </cell>
          <cell r="H50">
            <v>-11.493578654840553</v>
          </cell>
          <cell r="I50">
            <v>-14.085495969859249</v>
          </cell>
          <cell r="J50">
            <v>-16.573736592277196</v>
          </cell>
          <cell r="K50">
            <v>-18.962447589798423</v>
          </cell>
          <cell r="L50">
            <v>-21.255610147418803</v>
          </cell>
          <cell r="M50">
            <v>-23.457046202734368</v>
          </cell>
          <cell r="N50">
            <v>-25.570424815837313</v>
          </cell>
          <cell r="O50">
            <v>-27.599268284416134</v>
          </cell>
          <cell r="Q50">
            <v>0</v>
          </cell>
          <cell r="R50">
            <v>-3.9629319538553465</v>
          </cell>
          <cell r="S50">
            <v>-7.7673466295564797</v>
          </cell>
          <cell r="T50">
            <v>-11.419584718229567</v>
          </cell>
          <cell r="U50">
            <v>-14.925733283355727</v>
          </cell>
          <cell r="V50">
            <v>-18.291635905876849</v>
          </cell>
          <cell r="W50">
            <v>-21.522902423497118</v>
          </cell>
          <cell r="X50">
            <v>-24.624918280412576</v>
          </cell>
          <cell r="Y50">
            <v>-27.602853503051424</v>
          </cell>
          <cell r="Z50">
            <v>-30.461671316784713</v>
          </cell>
          <cell r="AA50">
            <v>-33.206136417968672</v>
          </cell>
          <cell r="AB50">
            <v>-35.840822915105271</v>
          </cell>
          <cell r="AD50">
            <v>0</v>
          </cell>
          <cell r="AE50">
            <v>-5.312329176799774</v>
          </cell>
          <cell r="AF50">
            <v>-10.412165186527558</v>
          </cell>
          <cell r="AG50">
            <v>-15.308007755866228</v>
          </cell>
          <cell r="AH50">
            <v>-20.008016622431352</v>
          </cell>
          <cell r="AI50">
            <v>-24.520025134333871</v>
          </cell>
          <cell r="AJ50">
            <v>-28.851553305760291</v>
          </cell>
          <cell r="AK50">
            <v>-33.009820350329647</v>
          </cell>
          <cell r="AL50">
            <v>-37.001756713116237</v>
          </cell>
          <cell r="AM50">
            <v>-40.834015621391359</v>
          </cell>
          <cell r="AN50">
            <v>-44.512984173335482</v>
          </cell>
          <cell r="AO50">
            <v>-48.044793983201835</v>
          </cell>
          <cell r="AQ50">
            <v>0</v>
          </cell>
          <cell r="AR50">
            <v>-6.5570355339118747</v>
          </cell>
          <cell r="AS50">
            <v>-12.851789646467276</v>
          </cell>
          <cell r="AT50">
            <v>-18.894753594520459</v>
          </cell>
          <cell r="AU50">
            <v>-24.695998984651514</v>
          </cell>
          <cell r="AV50">
            <v>-30.265194559177328</v>
          </cell>
          <cell r="AW50">
            <v>-35.611622310722112</v>
          </cell>
          <cell r="AX50">
            <v>-40.744192952205097</v>
          </cell>
          <cell r="AY50">
            <v>-45.671460768028766</v>
          </cell>
          <cell r="AZ50">
            <v>-50.401637871219492</v>
          </cell>
          <cell r="BA50">
            <v>-54.942607890282602</v>
          </cell>
          <cell r="BB50">
            <v>-59.301939108583163</v>
          </cell>
          <cell r="BD50">
            <v>0</v>
          </cell>
          <cell r="BE50">
            <v>-8.2333729317757633</v>
          </cell>
          <cell r="BF50">
            <v>-16.137410946280497</v>
          </cell>
          <cell r="BG50">
            <v>-23.725287440205044</v>
          </cell>
          <cell r="BH50">
            <v>-31.009648874372605</v>
          </cell>
          <cell r="BI50">
            <v>-38.002635851173466</v>
          </cell>
          <cell r="BJ50">
            <v>-44.715903348902295</v>
          </cell>
          <cell r="BK50">
            <v>-51.16064014672196</v>
          </cell>
          <cell r="BL50">
            <v>-57.347587472628845</v>
          </cell>
          <cell r="BM50">
            <v>-63.287056905499469</v>
          </cell>
          <cell r="BN50">
            <v>-68.988947561055255</v>
          </cell>
          <cell r="BO50">
            <v>-74.462762590388806</v>
          </cell>
        </row>
        <row r="51">
          <cell r="D51">
            <v>-0.76291511530307909</v>
          </cell>
          <cell r="E51">
            <v>-1.4953136259940349</v>
          </cell>
          <cell r="F51">
            <v>-2.198416196257353</v>
          </cell>
          <cell r="G51">
            <v>-2.8733946637101382</v>
          </cell>
          <cell r="H51">
            <v>-3.5213739924648122</v>
          </cell>
          <cell r="I51">
            <v>-4.1434341480692991</v>
          </cell>
          <cell r="J51">
            <v>-4.7406118974496056</v>
          </cell>
          <cell r="K51">
            <v>-5.3139025368547008</v>
          </cell>
          <cell r="L51">
            <v>-5.8642615506835929</v>
          </cell>
          <cell r="M51">
            <v>-6.3926062039593283</v>
          </cell>
          <cell r="N51">
            <v>-6.8998170711040343</v>
          </cell>
          <cell r="O51">
            <v>-7.3867395035629517</v>
          </cell>
          <cell r="Q51">
            <v>-0.99073298846383662</v>
          </cell>
          <cell r="R51">
            <v>-1.9418366573891199</v>
          </cell>
          <cell r="S51">
            <v>-2.8548961795573917</v>
          </cell>
          <cell r="T51">
            <v>-3.7314333208389319</v>
          </cell>
          <cell r="U51">
            <v>-4.5729089764692121</v>
          </cell>
          <cell r="V51">
            <v>-5.3807256058742796</v>
          </cell>
          <cell r="W51">
            <v>-6.1562295701031449</v>
          </cell>
          <cell r="X51">
            <v>-6.900713375762856</v>
          </cell>
          <cell r="Y51">
            <v>-7.6154178291961792</v>
          </cell>
          <cell r="Z51">
            <v>-8.301534104492168</v>
          </cell>
          <cell r="AA51">
            <v>-8.9602057287763177</v>
          </cell>
          <cell r="AB51">
            <v>-9.5925304880891016</v>
          </cell>
          <cell r="AD51">
            <v>-1.3280822941999433</v>
          </cell>
          <cell r="AE51">
            <v>-2.603041296631889</v>
          </cell>
          <cell r="AF51">
            <v>-3.827001938966557</v>
          </cell>
          <cell r="AG51">
            <v>-5.0020041556078381</v>
          </cell>
          <cell r="AH51">
            <v>-6.1300062835834677</v>
          </cell>
          <cell r="AI51">
            <v>-7.2128883264400727</v>
          </cell>
          <cell r="AJ51">
            <v>-8.2524550875824119</v>
          </cell>
          <cell r="AK51">
            <v>-9.2504391782790591</v>
          </cell>
          <cell r="AL51">
            <v>-10.20850390534784</v>
          </cell>
          <cell r="AM51">
            <v>-11.128246043333871</v>
          </cell>
          <cell r="AN51">
            <v>-12.011198495800459</v>
          </cell>
          <cell r="AO51">
            <v>-12.858832850168383</v>
          </cell>
          <cell r="AQ51">
            <v>-1.6392588834779687</v>
          </cell>
          <cell r="AR51">
            <v>-3.2129474116168186</v>
          </cell>
          <cell r="AS51">
            <v>-4.7236883986301148</v>
          </cell>
          <cell r="AT51">
            <v>-6.1739997461628793</v>
          </cell>
          <cell r="AU51">
            <v>-7.5662986397943319</v>
          </cell>
          <cell r="AV51">
            <v>-8.9029055776805279</v>
          </cell>
          <cell r="AW51">
            <v>-10.186048238051274</v>
          </cell>
          <cell r="AX51">
            <v>-11.417865192007193</v>
          </cell>
          <cell r="AY51">
            <v>-12.600409467804873</v>
          </cell>
          <cell r="AZ51">
            <v>-13.735651972570649</v>
          </cell>
          <cell r="BA51">
            <v>-14.825484777145792</v>
          </cell>
          <cell r="BB51">
            <v>-15.871724269537932</v>
          </cell>
          <cell r="BD51">
            <v>-2.0583432329439408</v>
          </cell>
          <cell r="BE51">
            <v>-4.0343527365701242</v>
          </cell>
          <cell r="BF51">
            <v>-5.9313218600512609</v>
          </cell>
          <cell r="BG51">
            <v>-7.7524122185931512</v>
          </cell>
          <cell r="BH51">
            <v>-9.5006589627933664</v>
          </cell>
          <cell r="BI51">
            <v>-11.178975837225574</v>
          </cell>
          <cell r="BJ51">
            <v>-12.79016003668049</v>
          </cell>
          <cell r="BK51">
            <v>-14.336896868157213</v>
          </cell>
          <cell r="BL51">
            <v>-15.821764226374865</v>
          </cell>
          <cell r="BM51">
            <v>-17.247236890263814</v>
          </cell>
          <cell r="BN51">
            <v>-18.615690647597201</v>
          </cell>
          <cell r="BO51">
            <v>-19.92940625463725</v>
          </cell>
        </row>
        <row r="52">
          <cell r="D52">
            <v>0</v>
          </cell>
          <cell r="E52">
            <v>-3.0516604612123168</v>
          </cell>
          <cell r="F52">
            <v>-5.9812545039761407</v>
          </cell>
          <cell r="G52">
            <v>-8.7936647850294118</v>
          </cell>
          <cell r="H52">
            <v>-11.493578654840553</v>
          </cell>
          <cell r="I52">
            <v>-14.085495969859249</v>
          </cell>
          <cell r="J52">
            <v>-16.573736592277196</v>
          </cell>
          <cell r="K52">
            <v>-18.962447589798423</v>
          </cell>
          <cell r="L52">
            <v>-21.255610147418803</v>
          </cell>
          <cell r="M52">
            <v>-23.457046202734368</v>
          </cell>
          <cell r="N52">
            <v>-25.570424815837313</v>
          </cell>
          <cell r="O52">
            <v>-27.599268284416134</v>
          </cell>
          <cell r="Q52">
            <v>0</v>
          </cell>
          <cell r="R52">
            <v>-3.9629319538553465</v>
          </cell>
          <cell r="S52">
            <v>-7.7673466295564797</v>
          </cell>
          <cell r="T52">
            <v>-11.419584718229567</v>
          </cell>
          <cell r="U52">
            <v>-14.925733283355727</v>
          </cell>
          <cell r="V52">
            <v>-18.291635905876849</v>
          </cell>
          <cell r="W52">
            <v>-21.522902423497118</v>
          </cell>
          <cell r="X52">
            <v>-24.624918280412576</v>
          </cell>
          <cell r="Y52">
            <v>-27.602853503051424</v>
          </cell>
          <cell r="Z52">
            <v>-30.461671316784713</v>
          </cell>
          <cell r="AA52">
            <v>-33.206136417968672</v>
          </cell>
          <cell r="AB52">
            <v>-35.840822915105271</v>
          </cell>
          <cell r="AD52">
            <v>0</v>
          </cell>
          <cell r="AE52">
            <v>-5.312329176799774</v>
          </cell>
          <cell r="AF52">
            <v>-10.412165186527558</v>
          </cell>
          <cell r="AG52">
            <v>-15.308007755866228</v>
          </cell>
          <cell r="AH52">
            <v>-20.008016622431352</v>
          </cell>
          <cell r="AI52">
            <v>-24.520025134333871</v>
          </cell>
          <cell r="AJ52">
            <v>-28.851553305760291</v>
          </cell>
          <cell r="AK52">
            <v>-33.009820350329647</v>
          </cell>
          <cell r="AL52">
            <v>-37.001756713116237</v>
          </cell>
          <cell r="AM52">
            <v>-40.834015621391359</v>
          </cell>
          <cell r="AN52">
            <v>-44.512984173335482</v>
          </cell>
          <cell r="AO52">
            <v>-48.044793983201835</v>
          </cell>
          <cell r="AQ52">
            <v>0</v>
          </cell>
          <cell r="AR52">
            <v>-6.5570355339118747</v>
          </cell>
          <cell r="AS52">
            <v>-12.851789646467276</v>
          </cell>
          <cell r="AT52">
            <v>-18.894753594520459</v>
          </cell>
          <cell r="AU52">
            <v>-24.695998984651514</v>
          </cell>
          <cell r="AV52">
            <v>-30.265194559177328</v>
          </cell>
          <cell r="AW52">
            <v>-35.611622310722112</v>
          </cell>
          <cell r="AX52">
            <v>-40.744192952205097</v>
          </cell>
          <cell r="AY52">
            <v>-45.671460768028766</v>
          </cell>
          <cell r="AZ52">
            <v>-50.401637871219492</v>
          </cell>
          <cell r="BA52">
            <v>-54.942607890282602</v>
          </cell>
          <cell r="BB52">
            <v>-59.301939108583163</v>
          </cell>
          <cell r="BD52">
            <v>0</v>
          </cell>
          <cell r="BE52">
            <v>-8.2333729317757633</v>
          </cell>
          <cell r="BF52">
            <v>-16.137410946280497</v>
          </cell>
          <cell r="BG52">
            <v>-23.725287440205044</v>
          </cell>
          <cell r="BH52">
            <v>-31.009648874372605</v>
          </cell>
          <cell r="BI52">
            <v>-38.002635851173466</v>
          </cell>
          <cell r="BJ52">
            <v>-44.715903348902295</v>
          </cell>
          <cell r="BK52">
            <v>-51.16064014672196</v>
          </cell>
          <cell r="BL52">
            <v>-57.347587472628845</v>
          </cell>
          <cell r="BM52">
            <v>-63.287056905499469</v>
          </cell>
          <cell r="BN52">
            <v>-68.988947561055255</v>
          </cell>
          <cell r="BO52">
            <v>-74.462762590388806</v>
          </cell>
        </row>
        <row r="53">
          <cell r="D53">
            <v>-15.89406490214748</v>
          </cell>
          <cell r="E53">
            <v>-15.89406490214748</v>
          </cell>
          <cell r="F53">
            <v>-15.89406490214748</v>
          </cell>
          <cell r="G53">
            <v>-15.89406490214748</v>
          </cell>
          <cell r="H53">
            <v>-15.89406490214748</v>
          </cell>
          <cell r="I53">
            <v>-15.89406490214748</v>
          </cell>
          <cell r="J53">
            <v>-15.89406490214748</v>
          </cell>
          <cell r="K53">
            <v>-15.89406490214748</v>
          </cell>
          <cell r="L53">
            <v>-15.89406490214748</v>
          </cell>
          <cell r="M53">
            <v>-15.89406490214748</v>
          </cell>
          <cell r="N53">
            <v>-15.89406490214748</v>
          </cell>
          <cell r="O53">
            <v>-15.894064902147468</v>
          </cell>
          <cell r="Q53">
            <v>-17.591139709940279</v>
          </cell>
          <cell r="R53">
            <v>-17.591139709940279</v>
          </cell>
          <cell r="S53">
            <v>-17.591139709940279</v>
          </cell>
          <cell r="T53">
            <v>-17.591139709940279</v>
          </cell>
          <cell r="U53">
            <v>-17.591139709940279</v>
          </cell>
          <cell r="V53">
            <v>-17.591139709940279</v>
          </cell>
          <cell r="W53">
            <v>-17.591139709940279</v>
          </cell>
          <cell r="X53">
            <v>-17.591139709940279</v>
          </cell>
          <cell r="Y53">
            <v>-17.591139709940279</v>
          </cell>
          <cell r="Z53">
            <v>-17.591139709940279</v>
          </cell>
          <cell r="AA53">
            <v>-17.591139709940279</v>
          </cell>
          <cell r="AB53">
            <v>-17.591139709940265</v>
          </cell>
          <cell r="AD53">
            <v>-19.599797730223489</v>
          </cell>
          <cell r="AE53">
            <v>-19.599797730223489</v>
          </cell>
          <cell r="AF53">
            <v>-19.599797730223489</v>
          </cell>
          <cell r="AG53">
            <v>-19.599797730223489</v>
          </cell>
          <cell r="AH53">
            <v>-19.599797730223489</v>
          </cell>
          <cell r="AI53">
            <v>-19.599797730223489</v>
          </cell>
          <cell r="AJ53">
            <v>-19.599797730223489</v>
          </cell>
          <cell r="AK53">
            <v>-19.599797730223489</v>
          </cell>
          <cell r="AL53">
            <v>-19.599797730223489</v>
          </cell>
          <cell r="AM53">
            <v>-19.599797730223489</v>
          </cell>
          <cell r="AN53">
            <v>-19.599797730223489</v>
          </cell>
          <cell r="AO53">
            <v>-19.599797730223472</v>
          </cell>
          <cell r="AQ53">
            <v>-21.992847529757011</v>
          </cell>
          <cell r="AR53">
            <v>-21.992847529757011</v>
          </cell>
          <cell r="AS53">
            <v>-21.992847529757011</v>
          </cell>
          <cell r="AT53">
            <v>-21.992847529757011</v>
          </cell>
          <cell r="AU53">
            <v>-21.992847529757011</v>
          </cell>
          <cell r="AV53">
            <v>-21.992847529757011</v>
          </cell>
          <cell r="AW53">
            <v>-21.992847529757011</v>
          </cell>
          <cell r="AX53">
            <v>-21.992847529757011</v>
          </cell>
          <cell r="AY53">
            <v>-21.992847529757011</v>
          </cell>
          <cell r="AZ53">
            <v>-21.992847529757011</v>
          </cell>
          <cell r="BA53">
            <v>-21.992847529757011</v>
          </cell>
          <cell r="BB53">
            <v>-21.992847529756993</v>
          </cell>
          <cell r="BD53">
            <v>-25.10493078322056</v>
          </cell>
          <cell r="BE53">
            <v>-25.10493078322056</v>
          </cell>
          <cell r="BF53">
            <v>-25.10493078322056</v>
          </cell>
          <cell r="BG53">
            <v>-25.10493078322056</v>
          </cell>
          <cell r="BH53">
            <v>-25.10493078322056</v>
          </cell>
          <cell r="BI53">
            <v>-25.10493078322056</v>
          </cell>
          <cell r="BJ53">
            <v>-25.10493078322056</v>
          </cell>
          <cell r="BK53">
            <v>-25.10493078322056</v>
          </cell>
          <cell r="BL53">
            <v>-25.10493078322056</v>
          </cell>
          <cell r="BM53">
            <v>-25.10493078322056</v>
          </cell>
          <cell r="BN53">
            <v>-25.10493078322056</v>
          </cell>
          <cell r="BO53">
            <v>-25.104930783220542</v>
          </cell>
        </row>
      </sheetData>
      <sheetData sheetId="3"/>
      <sheetData sheetId="4">
        <row r="84">
          <cell r="D84">
            <v>-26.632347302399992</v>
          </cell>
          <cell r="E84">
            <v>-28.188237065855994</v>
          </cell>
          <cell r="F84">
            <v>-29.744126829311995</v>
          </cell>
          <cell r="G84">
            <v>-31.300016592767989</v>
          </cell>
          <cell r="H84">
            <v>-32.855906356223983</v>
          </cell>
          <cell r="I84">
            <v>-34.411796119679984</v>
          </cell>
          <cell r="J84">
            <v>-35.967685883135985</v>
          </cell>
          <cell r="K84">
            <v>-37.523575646591979</v>
          </cell>
          <cell r="L84">
            <v>-39.07946541004798</v>
          </cell>
          <cell r="M84">
            <v>-40.635355173503982</v>
          </cell>
          <cell r="N84">
            <v>-42.191244936959976</v>
          </cell>
          <cell r="O84">
            <v>-41.980989563520133</v>
          </cell>
          <cell r="Q84">
            <v>-38.047160407679989</v>
          </cell>
          <cell r="R84">
            <v>-40.269915568339187</v>
          </cell>
          <cell r="S84">
            <v>-42.492670728998384</v>
          </cell>
          <cell r="T84">
            <v>-44.715425889657588</v>
          </cell>
          <cell r="U84">
            <v>-46.938181050316778</v>
          </cell>
          <cell r="V84">
            <v>-49.160936210975976</v>
          </cell>
          <cell r="W84">
            <v>-51.383691371635173</v>
          </cell>
          <cell r="X84">
            <v>-53.60644653229437</v>
          </cell>
          <cell r="Y84">
            <v>-55.829201692953568</v>
          </cell>
          <cell r="Z84">
            <v>-58.051956853612765</v>
          </cell>
          <cell r="AA84">
            <v>-60.274712014271962</v>
          </cell>
          <cell r="AB84">
            <v>-59.974339695264199</v>
          </cell>
          <cell r="AD84">
            <v>-51.96533487728</v>
          </cell>
          <cell r="AE84">
            <v>-55.001204441163182</v>
          </cell>
          <cell r="AF84">
            <v>-58.037074005046385</v>
          </cell>
          <cell r="AG84">
            <v>-61.072943568929574</v>
          </cell>
          <cell r="AH84">
            <v>-64.10881313281277</v>
          </cell>
          <cell r="AI84">
            <v>-67.144682696695966</v>
          </cell>
          <cell r="AJ84">
            <v>-70.180552260579162</v>
          </cell>
          <cell r="AK84">
            <v>-73.216421824462373</v>
          </cell>
          <cell r="AL84">
            <v>-76.252291388345554</v>
          </cell>
          <cell r="AM84">
            <v>-79.28816095222875</v>
          </cell>
          <cell r="AN84">
            <v>-82.324030516111961</v>
          </cell>
          <cell r="AO84">
            <v>-81.913777872344269</v>
          </cell>
          <cell r="AQ84">
            <v>-74.506559825487983</v>
          </cell>
          <cell r="AR84">
            <v>-78.859311478450707</v>
          </cell>
          <cell r="AS84">
            <v>-83.212063131413416</v>
          </cell>
          <cell r="AT84">
            <v>-87.564814784376111</v>
          </cell>
          <cell r="AU84">
            <v>-91.917566437338849</v>
          </cell>
          <cell r="AV84">
            <v>-96.270318090301558</v>
          </cell>
          <cell r="AW84">
            <v>-100.62306974326425</v>
          </cell>
          <cell r="AX84">
            <v>-104.97582139622699</v>
          </cell>
          <cell r="AY84">
            <v>-109.3285730491897</v>
          </cell>
          <cell r="AZ84">
            <v>-113.68132470215239</v>
          </cell>
          <cell r="BA84">
            <v>-118.03407635511513</v>
          </cell>
          <cell r="BB84">
            <v>-117.44586667228278</v>
          </cell>
          <cell r="BD84">
            <v>-103.39934946505157</v>
          </cell>
          <cell r="BE84">
            <v>-109.44004830222038</v>
          </cell>
          <cell r="BF84">
            <v>-115.48074713938917</v>
          </cell>
          <cell r="BG84">
            <v>-121.52144597655797</v>
          </cell>
          <cell r="BH84">
            <v>-127.56214481372675</v>
          </cell>
          <cell r="BI84">
            <v>-133.60284365089555</v>
          </cell>
          <cell r="BJ84">
            <v>-139.64354248806436</v>
          </cell>
          <cell r="BK84">
            <v>-145.68424132523316</v>
          </cell>
          <cell r="BL84">
            <v>-151.72494016240194</v>
          </cell>
          <cell r="BM84">
            <v>-157.76563899957077</v>
          </cell>
          <cell r="BN84">
            <v>-163.80633783673954</v>
          </cell>
          <cell r="BO84">
            <v>-162.99002718306872</v>
          </cell>
        </row>
        <row r="85">
          <cell r="D85">
            <v>-1.4292693052287999</v>
          </cell>
          <cell r="E85">
            <v>-1.5127687225342719</v>
          </cell>
          <cell r="F85">
            <v>-1.5962681398397436</v>
          </cell>
          <cell r="G85">
            <v>-1.6797675571452153</v>
          </cell>
          <cell r="H85">
            <v>-1.7632669744506873</v>
          </cell>
          <cell r="I85">
            <v>-1.8467663917561592</v>
          </cell>
          <cell r="J85">
            <v>-1.9302658090616309</v>
          </cell>
          <cell r="K85">
            <v>-2.0137652263671031</v>
          </cell>
          <cell r="L85">
            <v>-2.0972646436725753</v>
          </cell>
          <cell r="M85">
            <v>-2.1807640609780465</v>
          </cell>
          <cell r="N85">
            <v>-2.2642634782835187</v>
          </cell>
          <cell r="O85">
            <v>-2.2529797732422474</v>
          </cell>
          <cell r="Q85">
            <v>-2.0862526290211196</v>
          </cell>
          <cell r="R85">
            <v>-2.2081337036639321</v>
          </cell>
          <cell r="S85">
            <v>-2.3300147783067451</v>
          </cell>
          <cell r="T85">
            <v>-2.4518958529495571</v>
          </cell>
          <cell r="U85">
            <v>-2.5737769275923701</v>
          </cell>
          <cell r="V85">
            <v>-2.6956580022351826</v>
          </cell>
          <cell r="W85">
            <v>-2.8175390768779951</v>
          </cell>
          <cell r="X85">
            <v>-2.939420151520808</v>
          </cell>
          <cell r="Y85">
            <v>-3.0613012261636201</v>
          </cell>
          <cell r="Z85">
            <v>-3.1831823008064335</v>
          </cell>
          <cell r="AA85">
            <v>-3.305063375449246</v>
          </cell>
          <cell r="AB85">
            <v>-3.2885929599569863</v>
          </cell>
          <cell r="AD85">
            <v>-2.91005875312768</v>
          </cell>
          <cell r="AE85">
            <v>-3.0800674487051385</v>
          </cell>
          <cell r="AF85">
            <v>-3.2500761442825974</v>
          </cell>
          <cell r="AG85">
            <v>-3.4200848398600558</v>
          </cell>
          <cell r="AH85">
            <v>-3.5900935354375156</v>
          </cell>
          <cell r="AI85">
            <v>-3.7601022310149745</v>
          </cell>
          <cell r="AJ85">
            <v>-3.930110926592433</v>
          </cell>
          <cell r="AK85">
            <v>-4.1001196221698919</v>
          </cell>
          <cell r="AL85">
            <v>-4.2701283177473508</v>
          </cell>
          <cell r="AM85">
            <v>-4.4401370133248106</v>
          </cell>
          <cell r="AN85">
            <v>-4.6101457089022695</v>
          </cell>
          <cell r="AO85">
            <v>-4.5871715608512789</v>
          </cell>
          <cell r="AQ85">
            <v>-4.25929167002373</v>
          </cell>
          <cell r="AR85">
            <v>-4.5081239728514317</v>
          </cell>
          <cell r="AS85">
            <v>-4.7569562756791335</v>
          </cell>
          <cell r="AT85">
            <v>-5.0057885785068352</v>
          </cell>
          <cell r="AU85">
            <v>-5.2546208813345379</v>
          </cell>
          <cell r="AV85">
            <v>-5.5034531841622387</v>
          </cell>
          <cell r="AW85">
            <v>-5.7522854869899396</v>
          </cell>
          <cell r="AX85">
            <v>-6.0011177898176422</v>
          </cell>
          <cell r="AY85">
            <v>-6.249950092645344</v>
          </cell>
          <cell r="AZ85">
            <v>-6.4987823954730466</v>
          </cell>
          <cell r="BA85">
            <v>-6.7476146983007483</v>
          </cell>
          <cell r="BB85">
            <v>-6.7139887114321652</v>
          </cell>
          <cell r="BD85">
            <v>-6.0316287187946749</v>
          </cell>
          <cell r="BE85">
            <v>-6.384002817629522</v>
          </cell>
          <cell r="BF85">
            <v>-6.7363769164643683</v>
          </cell>
          <cell r="BG85">
            <v>-7.0887510152992146</v>
          </cell>
          <cell r="BH85">
            <v>-7.4411251141340609</v>
          </cell>
          <cell r="BI85">
            <v>-7.7934992129689062</v>
          </cell>
          <cell r="BJ85">
            <v>-8.1458733118037543</v>
          </cell>
          <cell r="BK85">
            <v>-8.4982474106386015</v>
          </cell>
          <cell r="BL85">
            <v>-8.8506215094734468</v>
          </cell>
          <cell r="BM85">
            <v>-9.2029956083082922</v>
          </cell>
          <cell r="BN85">
            <v>-9.5553697071431394</v>
          </cell>
          <cell r="BO85">
            <v>-9.5077515856790082</v>
          </cell>
        </row>
        <row r="86">
          <cell r="D86">
            <v>-18.376319638655996</v>
          </cell>
          <cell r="E86">
            <v>-19.449883575440637</v>
          </cell>
          <cell r="F86">
            <v>-20.523447512225275</v>
          </cell>
          <cell r="G86">
            <v>-21.597011449009916</v>
          </cell>
          <cell r="H86">
            <v>-22.67057538579455</v>
          </cell>
          <cell r="I86">
            <v>-23.744139322579191</v>
          </cell>
          <cell r="J86">
            <v>-24.817703259363828</v>
          </cell>
          <cell r="K86">
            <v>-25.891267196148466</v>
          </cell>
          <cell r="L86">
            <v>-26.964831132933107</v>
          </cell>
          <cell r="M86">
            <v>-28.038395069717748</v>
          </cell>
          <cell r="N86">
            <v>-29.111959006502385</v>
          </cell>
          <cell r="O86">
            <v>-28.966882798828891</v>
          </cell>
          <cell r="Q86">
            <v>-26.823248087414395</v>
          </cell>
          <cell r="R86">
            <v>-28.390290475679127</v>
          </cell>
          <cell r="S86">
            <v>-29.957332863943861</v>
          </cell>
          <cell r="T86">
            <v>-31.524375252208593</v>
          </cell>
          <cell r="U86">
            <v>-33.091417640473331</v>
          </cell>
          <cell r="V86">
            <v>-34.65846002873807</v>
          </cell>
          <cell r="W86">
            <v>-36.225502417002794</v>
          </cell>
          <cell r="X86">
            <v>-37.792544805267525</v>
          </cell>
          <cell r="Y86">
            <v>-39.359587193532256</v>
          </cell>
          <cell r="Z86">
            <v>-40.926629581796995</v>
          </cell>
          <cell r="AA86">
            <v>-42.493671970061733</v>
          </cell>
          <cell r="AB86">
            <v>-42.281909485161258</v>
          </cell>
          <cell r="AD86">
            <v>-37.4150411116416</v>
          </cell>
          <cell r="AE86">
            <v>-39.600867197637491</v>
          </cell>
          <cell r="AF86">
            <v>-41.786693283633397</v>
          </cell>
          <cell r="AG86">
            <v>-43.972519369629296</v>
          </cell>
          <cell r="AH86">
            <v>-46.158345455625202</v>
          </cell>
          <cell r="AI86">
            <v>-48.344171541621101</v>
          </cell>
          <cell r="AJ86">
            <v>-50.529997627617</v>
          </cell>
          <cell r="AK86">
            <v>-52.715823713612899</v>
          </cell>
          <cell r="AL86">
            <v>-54.901649799608798</v>
          </cell>
          <cell r="AM86">
            <v>-57.087475885604704</v>
          </cell>
          <cell r="AN86">
            <v>-59.27330197160061</v>
          </cell>
          <cell r="AO86">
            <v>-58.977920068087876</v>
          </cell>
          <cell r="AQ86">
            <v>-54.762321471733664</v>
          </cell>
          <cell r="AR86">
            <v>-57.961593936661259</v>
          </cell>
          <cell r="AS86">
            <v>-61.160866401588862</v>
          </cell>
          <cell r="AT86">
            <v>-64.360138866516451</v>
          </cell>
          <cell r="AU86">
            <v>-67.559411331444039</v>
          </cell>
          <cell r="AV86">
            <v>-70.758683796371656</v>
          </cell>
          <cell r="AW86">
            <v>-73.957956261299245</v>
          </cell>
          <cell r="AX86">
            <v>-77.157228726226833</v>
          </cell>
          <cell r="AY86">
            <v>-80.356501191154436</v>
          </cell>
          <cell r="AZ86">
            <v>-83.555773656082025</v>
          </cell>
          <cell r="BA86">
            <v>-86.755046121009613</v>
          </cell>
          <cell r="BB86">
            <v>-86.322712004127837</v>
          </cell>
          <cell r="BD86">
            <v>-77.549512098788682</v>
          </cell>
          <cell r="BE86">
            <v>-82.080036226665271</v>
          </cell>
          <cell r="BF86">
            <v>-86.610560354541875</v>
          </cell>
          <cell r="BG86">
            <v>-91.141084482418478</v>
          </cell>
          <cell r="BH86">
            <v>-95.671608610295053</v>
          </cell>
          <cell r="BI86">
            <v>-100.20213273817167</v>
          </cell>
          <cell r="BJ86">
            <v>-104.73265686604826</v>
          </cell>
          <cell r="BK86">
            <v>-109.26318099392486</v>
          </cell>
          <cell r="BL86">
            <v>-113.79370512180145</v>
          </cell>
          <cell r="BM86">
            <v>-118.32422924967805</v>
          </cell>
          <cell r="BN86">
            <v>-122.85475337755466</v>
          </cell>
          <cell r="BO86">
            <v>-122.24252038730154</v>
          </cell>
        </row>
        <row r="87">
          <cell r="D87">
            <v>-0.70842043824383982</v>
          </cell>
          <cell r="E87">
            <v>-1.4571649135382436</v>
          </cell>
          <cell r="F87">
            <v>-2.2454443573708658</v>
          </cell>
          <cell r="G87">
            <v>-3.0724111878450673</v>
          </cell>
          <cell r="H87">
            <v>-3.9371610633570899</v>
          </cell>
          <cell r="I87">
            <v>-4.8387347764188284</v>
          </cell>
          <cell r="J87">
            <v>-5.7761202818045696</v>
          </cell>
          <cell r="K87">
            <v>-6.7482548527357968</v>
          </cell>
          <cell r="L87">
            <v>-7.7540273583793926</v>
          </cell>
          <cell r="M87">
            <v>-8.7922806555235127</v>
          </cell>
          <cell r="N87">
            <v>-9.8618140869135047</v>
          </cell>
          <cell r="O87">
            <v>-10.914406617738202</v>
          </cell>
          <cell r="Q87">
            <v>-12.018735982732373</v>
          </cell>
          <cell r="R87">
            <v>-13.178305175999338</v>
          </cell>
          <cell r="S87">
            <v>-14.391567949547925</v>
          </cell>
          <cell r="T87">
            <v>-15.656908338752475</v>
          </cell>
          <cell r="U87">
            <v>-16.972644382298537</v>
          </cell>
          <cell r="V87">
            <v>-18.337031981080656</v>
          </cell>
          <cell r="W87">
            <v>-19.748268883502927</v>
          </cell>
          <cell r="X87">
            <v>-21.204498784278343</v>
          </cell>
          <cell r="Y87">
            <v>-22.703815523522607</v>
          </cell>
          <cell r="Z87">
            <v>-24.244267372692548</v>
          </cell>
          <cell r="AA87">
            <v>-25.82386139372981</v>
          </cell>
          <cell r="AB87">
            <v>-27.36226680151789</v>
          </cell>
          <cell r="AD87">
            <v>-28.849594543412351</v>
          </cell>
          <cell r="AE87">
            <v>-30.410834401256206</v>
          </cell>
          <cell r="AF87">
            <v>-32.043464277684265</v>
          </cell>
          <cell r="AG87">
            <v>-33.744887777569204</v>
          </cell>
          <cell r="AH87">
            <v>-35.512440366682767</v>
          </cell>
          <cell r="AI87">
            <v>-37.343395620641999</v>
          </cell>
          <cell r="AJ87">
            <v>-39.234971544220272</v>
          </cell>
          <cell r="AK87">
            <v>-41.184336941114893</v>
          </cell>
          <cell r="AL87">
            <v>-43.188617814355929</v>
          </cell>
          <cell r="AM87">
            <v>-45.244903777710412</v>
          </cell>
          <cell r="AN87">
            <v>-47.350254458683061</v>
          </cell>
          <cell r="AO87">
            <v>-49.379483406403239</v>
          </cell>
          <cell r="AQ87">
            <v>-51.41408495871854</v>
          </cell>
          <cell r="AR87">
            <v>-53.557996830013707</v>
          </cell>
          <cell r="AS87">
            <v>-55.806998212356838</v>
          </cell>
          <cell r="AT87">
            <v>-58.156790858900116</v>
          </cell>
          <cell r="AU87">
            <v>-60.603009151713039</v>
          </cell>
          <cell r="AV87">
            <v>-63.141230146754232</v>
          </cell>
          <cell r="AW87">
            <v>-65.766983566281894</v>
          </cell>
          <cell r="AX87">
            <v>-68.475761709750032</v>
          </cell>
          <cell r="AY87">
            <v>-71.263029255088441</v>
          </cell>
          <cell r="AZ87">
            <v>-74.124232923209732</v>
          </cell>
          <cell r="BA87">
            <v>-77.054810979621763</v>
          </cell>
          <cell r="BB87">
            <v>-79.853058190845118</v>
          </cell>
          <cell r="BD87">
            <v>-82.440769562357929</v>
          </cell>
          <cell r="BE87">
            <v>-85.190372079916244</v>
          </cell>
          <cell r="BF87">
            <v>-88.09506886235134</v>
          </cell>
          <cell r="BG87">
            <v>-91.148000309126431</v>
          </cell>
          <cell r="BH87">
            <v>-94.342259387521892</v>
          </cell>
          <cell r="BI87">
            <v>-97.670906656221405</v>
          </cell>
          <cell r="BJ87">
            <v>-101.12698498681806</v>
          </cell>
          <cell r="BK87">
            <v>-104.70353394677907</v>
          </cell>
          <cell r="BL87">
            <v>-108.3936038095223</v>
          </cell>
          <cell r="BM87">
            <v>-112.19026915945568</v>
          </cell>
          <cell r="BN87">
            <v>-116.08664206210079</v>
          </cell>
          <cell r="BO87">
            <v>-119.77189068432276</v>
          </cell>
        </row>
        <row r="88"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</row>
        <row r="89"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</row>
        <row r="90">
          <cell r="D90">
            <v>-1.4231660589719999</v>
          </cell>
          <cell r="E90">
            <v>-3.4549812021674136</v>
          </cell>
          <cell r="F90">
            <v>-5.5965890329997015</v>
          </cell>
          <cell r="G90">
            <v>-7.8457266318527994</v>
          </cell>
          <cell r="H90">
            <v>-10.199972703374256</v>
          </cell>
          <cell r="I90">
            <v>-12.656752621371506</v>
          </cell>
          <cell r="J90">
            <v>-15.213343850524634</v>
          </cell>
          <cell r="K90">
            <v>-17.866881728169648</v>
          </cell>
          <cell r="L90">
            <v>-20.614365588167743</v>
          </cell>
          <cell r="M90">
            <v>-23.452665207710922</v>
          </cell>
          <cell r="N90">
            <v>-26.378527556827752</v>
          </cell>
          <cell r="O90">
            <v>-29.2942054485973</v>
          </cell>
          <cell r="Q90">
            <v>-25.841320994018542</v>
          </cell>
          <cell r="R90">
            <v>-28.774762499623225</v>
          </cell>
          <cell r="S90">
            <v>-31.458228386322155</v>
          </cell>
          <cell r="T90">
            <v>-34.259466103244186</v>
          </cell>
          <cell r="U90">
            <v>-37.174760517611304</v>
          </cell>
          <cell r="V90">
            <v>-40.200254527173612</v>
          </cell>
          <cell r="W90">
            <v>-43.331957885441184</v>
          </cell>
          <cell r="X90">
            <v>-46.565756290620662</v>
          </cell>
          <cell r="Y90">
            <v>-49.897420708927321</v>
          </cell>
          <cell r="Z90">
            <v>-53.322616902353069</v>
          </cell>
          <cell r="AA90">
            <v>-56.836915130504657</v>
          </cell>
          <cell r="AB90">
            <v>-60.309959012736925</v>
          </cell>
          <cell r="AD90">
            <v>-50.940035498458386</v>
          </cell>
          <cell r="AE90">
            <v>-54.548992987652802</v>
          </cell>
          <cell r="AF90">
            <v>-57.485693388537818</v>
          </cell>
          <cell r="AG90">
            <v>-60.549238381330426</v>
          </cell>
          <cell r="AH90">
            <v>-63.734822180928994</v>
          </cell>
          <cell r="AI90">
            <v>-67.037522400125837</v>
          </cell>
          <cell r="AJ90">
            <v>-70.452311505162996</v>
          </cell>
          <cell r="AK90">
            <v>-73.97406837576186</v>
          </cell>
          <cell r="AL90">
            <v>-77.597589933506612</v>
          </cell>
          <cell r="AM90">
            <v>-81.317602802720515</v>
          </cell>
          <cell r="AN90">
            <v>-85.128774968375694</v>
          </cell>
          <cell r="AO90">
            <v>-88.86858422344234</v>
          </cell>
          <cell r="AQ90">
            <v>-74.059766153702043</v>
          </cell>
          <cell r="AR90">
            <v>-78.44450973121404</v>
          </cell>
          <cell r="AS90">
            <v>-81.734022346944386</v>
          </cell>
          <cell r="AT90">
            <v>-85.175140849801494</v>
          </cell>
          <cell r="AU90">
            <v>-88.761435401655746</v>
          </cell>
          <cell r="AV90">
            <v>-92.486385838036128</v>
          </cell>
          <cell r="AW90">
            <v>-96.343396496819409</v>
          </cell>
          <cell r="AX90">
            <v>-100.32581094179804</v>
          </cell>
          <cell r="AY90">
            <v>-104.4269265390447</v>
          </cell>
          <cell r="AZ90">
            <v>-108.64000884534013</v>
          </cell>
          <cell r="BA90">
            <v>-112.95830576941567</v>
          </cell>
          <cell r="BB90">
            <v>-117.17228441515387</v>
          </cell>
          <cell r="BD90">
            <v>-96.887830355556289</v>
          </cell>
          <cell r="BE90">
            <v>-101.90329142659787</v>
          </cell>
          <cell r="BF90">
            <v>-105.35734120622064</v>
          </cell>
          <cell r="BG90">
            <v>-108.99341461634437</v>
          </cell>
          <cell r="BH90">
            <v>-112.80319839752411</v>
          </cell>
          <cell r="BI90">
            <v>-116.77833329803136</v>
          </cell>
          <cell r="BJ90">
            <v>-120.9104319772902</v>
          </cell>
          <cell r="BK90">
            <v>-125.19109651748869</v>
          </cell>
          <cell r="BL90">
            <v>-129.61193550094765</v>
          </cell>
          <cell r="BM90">
            <v>-134.16458061344568</v>
          </cell>
          <cell r="BN90">
            <v>-138.84070273640327</v>
          </cell>
          <cell r="BO90">
            <v>-143.38188378738781</v>
          </cell>
        </row>
        <row r="91">
          <cell r="D91">
            <v>-44.387245503999992</v>
          </cell>
          <cell r="E91">
            <v>-46.980395109759996</v>
          </cell>
          <cell r="F91">
            <v>-49.573544715519986</v>
          </cell>
          <cell r="G91">
            <v>-52.166694321279984</v>
          </cell>
          <cell r="H91">
            <v>-54.759843927039974</v>
          </cell>
          <cell r="I91">
            <v>-57.352993532799971</v>
          </cell>
          <cell r="J91">
            <v>-59.946143138559975</v>
          </cell>
          <cell r="K91">
            <v>-62.539292744319965</v>
          </cell>
          <cell r="L91">
            <v>-65.13244235007997</v>
          </cell>
          <cell r="M91">
            <v>-67.72559195583996</v>
          </cell>
          <cell r="N91">
            <v>-70.318741561599964</v>
          </cell>
          <cell r="O91">
            <v>-69.968315939200224</v>
          </cell>
          <cell r="Q91">
            <v>-63.411934012799996</v>
          </cell>
          <cell r="R91">
            <v>-67.116525947231978</v>
          </cell>
          <cell r="S91">
            <v>-70.82111788166398</v>
          </cell>
          <cell r="T91">
            <v>-74.525709816095983</v>
          </cell>
          <cell r="U91">
            <v>-78.230301750527971</v>
          </cell>
          <cell r="V91">
            <v>-81.93489368495996</v>
          </cell>
          <cell r="W91">
            <v>-85.639485619391948</v>
          </cell>
          <cell r="X91">
            <v>-89.344077553823951</v>
          </cell>
          <cell r="Y91">
            <v>-93.048669488255939</v>
          </cell>
          <cell r="Z91">
            <v>-96.753261422687928</v>
          </cell>
          <cell r="AA91">
            <v>-100.45785335711993</v>
          </cell>
          <cell r="AB91">
            <v>-99.957232825440329</v>
          </cell>
          <cell r="AD91">
            <v>-86.608891462133315</v>
          </cell>
          <cell r="AE91">
            <v>-91.668674068605299</v>
          </cell>
          <cell r="AF91">
            <v>-96.728456675077311</v>
          </cell>
          <cell r="AG91">
            <v>-101.78823928154929</v>
          </cell>
          <cell r="AH91">
            <v>-106.84802188802129</v>
          </cell>
          <cell r="AI91">
            <v>-111.90780449449329</v>
          </cell>
          <cell r="AJ91">
            <v>-116.96758710096528</v>
          </cell>
          <cell r="AK91">
            <v>-122.02736970743727</v>
          </cell>
          <cell r="AL91">
            <v>-127.08715231390926</v>
          </cell>
          <cell r="AM91">
            <v>-132.14693492038126</v>
          </cell>
          <cell r="AN91">
            <v>-137.20671752685325</v>
          </cell>
          <cell r="AO91">
            <v>-136.52296312057379</v>
          </cell>
          <cell r="AQ91">
            <v>-124.17759970914665</v>
          </cell>
          <cell r="AR91">
            <v>-131.43218579741784</v>
          </cell>
          <cell r="AS91">
            <v>-138.68677188568901</v>
          </cell>
          <cell r="AT91">
            <v>-145.94135797396018</v>
          </cell>
          <cell r="AU91">
            <v>-153.1959440622314</v>
          </cell>
          <cell r="AV91">
            <v>-160.4505301505026</v>
          </cell>
          <cell r="AW91">
            <v>-167.70511623877377</v>
          </cell>
          <cell r="AX91">
            <v>-174.95970232704497</v>
          </cell>
          <cell r="AY91">
            <v>-182.21428841531616</v>
          </cell>
          <cell r="AZ91">
            <v>-189.46887450358733</v>
          </cell>
          <cell r="BA91">
            <v>-196.72346059185853</v>
          </cell>
          <cell r="BB91">
            <v>-195.7431111204713</v>
          </cell>
          <cell r="BD91">
            <v>-172.33224910841929</v>
          </cell>
          <cell r="BE91">
            <v>-182.40008050370062</v>
          </cell>
          <cell r="BF91">
            <v>-192.46791189898195</v>
          </cell>
          <cell r="BG91">
            <v>-202.53574329426328</v>
          </cell>
          <cell r="BH91">
            <v>-212.60357468954459</v>
          </cell>
          <cell r="BI91">
            <v>-222.67140608482595</v>
          </cell>
          <cell r="BJ91">
            <v>-232.73923748010725</v>
          </cell>
          <cell r="BK91">
            <v>-242.80706887538858</v>
          </cell>
          <cell r="BL91">
            <v>-252.87490027066991</v>
          </cell>
          <cell r="BM91">
            <v>-262.94273166595127</v>
          </cell>
          <cell r="BN91">
            <v>-273.01056306123257</v>
          </cell>
          <cell r="BO91">
            <v>-271.65004530511453</v>
          </cell>
        </row>
        <row r="92">
          <cell r="D92">
            <v>-46.60660777919999</v>
          </cell>
          <cell r="E92">
            <v>-49.32941486524799</v>
          </cell>
          <cell r="F92">
            <v>-52.052221951295977</v>
          </cell>
          <cell r="G92">
            <v>-54.77502903734397</v>
          </cell>
          <cell r="H92">
            <v>-57.497836123391963</v>
          </cell>
          <cell r="I92">
            <v>-60.220643209439977</v>
          </cell>
          <cell r="J92">
            <v>-62.943450295487956</v>
          </cell>
          <cell r="K92">
            <v>-65.666257381535956</v>
          </cell>
          <cell r="L92">
            <v>-68.389064467583964</v>
          </cell>
          <cell r="M92">
            <v>-71.111871553631943</v>
          </cell>
          <cell r="N92">
            <v>-73.83467863967995</v>
          </cell>
          <cell r="O92">
            <v>-73.466731736160227</v>
          </cell>
          <cell r="Q92">
            <v>-77.679619165679981</v>
          </cell>
          <cell r="R92">
            <v>-82.217744285359174</v>
          </cell>
          <cell r="S92">
            <v>-86.755869405038354</v>
          </cell>
          <cell r="T92">
            <v>-91.293994524717533</v>
          </cell>
          <cell r="U92">
            <v>-95.832119644396755</v>
          </cell>
          <cell r="V92">
            <v>-100.37024476407592</v>
          </cell>
          <cell r="W92">
            <v>-104.90836988375513</v>
          </cell>
          <cell r="X92">
            <v>-109.44649500343432</v>
          </cell>
          <cell r="Y92">
            <v>-113.98462012311352</v>
          </cell>
          <cell r="Z92">
            <v>-118.52274524279271</v>
          </cell>
          <cell r="AA92">
            <v>-123.0608703624719</v>
          </cell>
          <cell r="AB92">
            <v>-122.44761021116437</v>
          </cell>
          <cell r="AD92">
            <v>-121.25244804698664</v>
          </cell>
          <cell r="AE92">
            <v>-128.33614369604743</v>
          </cell>
          <cell r="AF92">
            <v>-135.41983934510822</v>
          </cell>
          <cell r="AG92">
            <v>-142.503534994169</v>
          </cell>
          <cell r="AH92">
            <v>-149.58723064322979</v>
          </cell>
          <cell r="AI92">
            <v>-156.6709262922906</v>
          </cell>
          <cell r="AJ92">
            <v>-163.75462194135136</v>
          </cell>
          <cell r="AK92">
            <v>-170.83831759041215</v>
          </cell>
          <cell r="AL92">
            <v>-177.92201323947296</v>
          </cell>
          <cell r="AM92">
            <v>-185.00570888853375</v>
          </cell>
          <cell r="AN92">
            <v>-192.08940453759453</v>
          </cell>
          <cell r="AO92">
            <v>-191.13214836880323</v>
          </cell>
          <cell r="AQ92">
            <v>-195.57971954190594</v>
          </cell>
          <cell r="AR92">
            <v>-207.00569263093305</v>
          </cell>
          <cell r="AS92">
            <v>-218.43166571996019</v>
          </cell>
          <cell r="AT92">
            <v>-229.85763880898725</v>
          </cell>
          <cell r="AU92">
            <v>-241.28361189801441</v>
          </cell>
          <cell r="AV92">
            <v>-252.70958498704155</v>
          </cell>
          <cell r="AW92">
            <v>-264.13555807606866</v>
          </cell>
          <cell r="AX92">
            <v>-275.5615311650958</v>
          </cell>
          <cell r="AY92">
            <v>-286.98750425412294</v>
          </cell>
          <cell r="AZ92">
            <v>-298.41347734315002</v>
          </cell>
          <cell r="BA92">
            <v>-309.83945043217716</v>
          </cell>
          <cell r="BB92">
            <v>-308.29540001474226</v>
          </cell>
          <cell r="BD92">
            <v>-301.58143593973369</v>
          </cell>
          <cell r="BE92">
            <v>-319.20014088147599</v>
          </cell>
          <cell r="BF92">
            <v>-336.81884582321834</v>
          </cell>
          <cell r="BG92">
            <v>-354.43755076496069</v>
          </cell>
          <cell r="BH92">
            <v>-372.05625570670293</v>
          </cell>
          <cell r="BI92">
            <v>-389.67496064844522</v>
          </cell>
          <cell r="BJ92">
            <v>-407.29366559018763</v>
          </cell>
          <cell r="BK92">
            <v>-424.91237053192998</v>
          </cell>
          <cell r="BL92">
            <v>-442.53107547367227</v>
          </cell>
          <cell r="BM92">
            <v>-460.14978041541457</v>
          </cell>
          <cell r="BN92">
            <v>-477.76848535715681</v>
          </cell>
          <cell r="BO92">
            <v>-475.38757928395034</v>
          </cell>
        </row>
        <row r="93">
          <cell r="D93">
            <v>-23.303303889599995</v>
          </cell>
          <cell r="E93">
            <v>-24.664707432623995</v>
          </cell>
          <cell r="F93">
            <v>-26.026110975647988</v>
          </cell>
          <cell r="G93">
            <v>-27.387514518671985</v>
          </cell>
          <cell r="H93">
            <v>-28.748918061695981</v>
          </cell>
          <cell r="I93">
            <v>-30.110321604719989</v>
          </cell>
          <cell r="J93">
            <v>-31.471725147743978</v>
          </cell>
          <cell r="K93">
            <v>-32.833128690767978</v>
          </cell>
          <cell r="L93">
            <v>-34.194532233791982</v>
          </cell>
          <cell r="M93">
            <v>-35.555935776815971</v>
          </cell>
          <cell r="N93">
            <v>-36.917339319839975</v>
          </cell>
          <cell r="O93">
            <v>-36.733365868080114</v>
          </cell>
          <cell r="Q93">
            <v>-38.83980958283999</v>
          </cell>
          <cell r="R93">
            <v>-41.108872142679587</v>
          </cell>
          <cell r="S93">
            <v>-43.377934702519177</v>
          </cell>
          <cell r="T93">
            <v>-45.646997262358767</v>
          </cell>
          <cell r="U93">
            <v>-47.916059822198378</v>
          </cell>
          <cell r="V93">
            <v>-50.18512238203796</v>
          </cell>
          <cell r="W93">
            <v>-52.454184941877564</v>
          </cell>
          <cell r="X93">
            <v>-54.723247501717161</v>
          </cell>
          <cell r="Y93">
            <v>-56.992310061556758</v>
          </cell>
          <cell r="Z93">
            <v>-59.261372621396355</v>
          </cell>
          <cell r="AA93">
            <v>-61.530435181235951</v>
          </cell>
          <cell r="AB93">
            <v>-61.223805105582187</v>
          </cell>
          <cell r="AD93">
            <v>-60.626224023493322</v>
          </cell>
          <cell r="AE93">
            <v>-64.168071848023715</v>
          </cell>
          <cell r="AF93">
            <v>-67.709919672554108</v>
          </cell>
          <cell r="AG93">
            <v>-71.251767497084501</v>
          </cell>
          <cell r="AH93">
            <v>-74.793615321614894</v>
          </cell>
          <cell r="AI93">
            <v>-78.335463146145301</v>
          </cell>
          <cell r="AJ93">
            <v>-81.87731097067568</v>
          </cell>
          <cell r="AK93">
            <v>-85.419158795206073</v>
          </cell>
          <cell r="AL93">
            <v>-88.96100661973648</v>
          </cell>
          <cell r="AM93">
            <v>-92.502854444266873</v>
          </cell>
          <cell r="AN93">
            <v>-96.044702268797266</v>
          </cell>
          <cell r="AO93">
            <v>-95.566074184401614</v>
          </cell>
          <cell r="AQ93">
            <v>-97.789859770952972</v>
          </cell>
          <cell r="AR93">
            <v>-103.50284631546653</v>
          </cell>
          <cell r="AS93">
            <v>-109.2158328599801</v>
          </cell>
          <cell r="AT93">
            <v>-114.92881940449362</v>
          </cell>
          <cell r="AU93">
            <v>-120.64180594900721</v>
          </cell>
          <cell r="AV93">
            <v>-126.35479249352078</v>
          </cell>
          <cell r="AW93">
            <v>-132.06777903803433</v>
          </cell>
          <cell r="AX93">
            <v>-137.7807655825479</v>
          </cell>
          <cell r="AY93">
            <v>-143.49375212706147</v>
          </cell>
          <cell r="AZ93">
            <v>-149.20673867157501</v>
          </cell>
          <cell r="BA93">
            <v>-154.91972521608858</v>
          </cell>
          <cell r="BB93">
            <v>-154.14770000737113</v>
          </cell>
          <cell r="BD93">
            <v>-150.79071796986685</v>
          </cell>
          <cell r="BE93">
            <v>-159.60007044073799</v>
          </cell>
          <cell r="BF93">
            <v>-168.40942291160917</v>
          </cell>
          <cell r="BG93">
            <v>-177.21877538248035</v>
          </cell>
          <cell r="BH93">
            <v>-186.02812785335146</v>
          </cell>
          <cell r="BI93">
            <v>-194.83748032422261</v>
          </cell>
          <cell r="BJ93">
            <v>-203.64683279509381</v>
          </cell>
          <cell r="BK93">
            <v>-212.45618526596499</v>
          </cell>
          <cell r="BL93">
            <v>-221.26553773683614</v>
          </cell>
          <cell r="BM93">
            <v>-230.07489020770728</v>
          </cell>
          <cell r="BN93">
            <v>-238.8842426785784</v>
          </cell>
          <cell r="BO93">
            <v>-237.69378964197517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Landscape"/>
      <sheetName val="Consolidated Budget"/>
      <sheetName val="Architecture Breakdown_capex"/>
      <sheetName val="Architecture Breakdown_opex"/>
      <sheetName val="Licences + Admin Tools"/>
      <sheetName val="Org.Structure (IT)"/>
    </sheetNames>
    <sheetDataSet>
      <sheetData sheetId="0"/>
      <sheetData sheetId="1"/>
      <sheetData sheetId="2"/>
      <sheetData sheetId="3">
        <row r="10">
          <cell r="S10">
            <v>0</v>
          </cell>
          <cell r="T10">
            <v>0</v>
          </cell>
          <cell r="U10">
            <v>1100000</v>
          </cell>
          <cell r="V10">
            <v>0</v>
          </cell>
          <cell r="W10">
            <v>0</v>
          </cell>
        </row>
        <row r="22">
          <cell r="S22">
            <v>0</v>
          </cell>
          <cell r="T22">
            <v>450000</v>
          </cell>
          <cell r="U22">
            <v>0</v>
          </cell>
          <cell r="V22">
            <v>225000</v>
          </cell>
          <cell r="W22">
            <v>0</v>
          </cell>
        </row>
        <row r="32">
          <cell r="S32">
            <v>1050000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</row>
        <row r="42">
          <cell r="S42">
            <v>2700000</v>
          </cell>
          <cell r="T42">
            <v>800000</v>
          </cell>
          <cell r="U42">
            <v>0</v>
          </cell>
          <cell r="V42">
            <v>0</v>
          </cell>
          <cell r="W42">
            <v>0</v>
          </cell>
        </row>
        <row r="62">
          <cell r="S62">
            <v>400000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</row>
        <row r="70">
          <cell r="S70">
            <v>750000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</row>
        <row r="82">
          <cell r="S82">
            <v>750000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</row>
        <row r="90">
          <cell r="S90">
            <v>242250</v>
          </cell>
          <cell r="T90">
            <v>123750</v>
          </cell>
          <cell r="U90">
            <v>167250</v>
          </cell>
          <cell r="V90">
            <v>135000</v>
          </cell>
          <cell r="W90">
            <v>81000</v>
          </cell>
        </row>
      </sheetData>
      <sheetData sheetId="4">
        <row r="10">
          <cell r="S10">
            <v>372000</v>
          </cell>
          <cell r="T10">
            <v>463799.99999999994</v>
          </cell>
          <cell r="U10">
            <v>573000</v>
          </cell>
          <cell r="V10">
            <v>641400</v>
          </cell>
          <cell r="W10">
            <v>709800</v>
          </cell>
        </row>
        <row r="22">
          <cell r="S22">
            <v>120000</v>
          </cell>
          <cell r="T22">
            <v>168000</v>
          </cell>
          <cell r="U22">
            <v>670500</v>
          </cell>
          <cell r="V22">
            <v>777000</v>
          </cell>
          <cell r="W22">
            <v>873300</v>
          </cell>
        </row>
        <row r="32">
          <cell r="S32">
            <v>858000</v>
          </cell>
          <cell r="T32">
            <v>986699.99999999988</v>
          </cell>
          <cell r="U32">
            <v>1115400</v>
          </cell>
          <cell r="V32">
            <v>1244100</v>
          </cell>
          <cell r="W32">
            <v>1372800</v>
          </cell>
        </row>
        <row r="42">
          <cell r="S42">
            <v>250000</v>
          </cell>
          <cell r="T42">
            <v>407500</v>
          </cell>
          <cell r="U42">
            <v>463000</v>
          </cell>
          <cell r="V42">
            <v>518500</v>
          </cell>
          <cell r="W42">
            <v>574000</v>
          </cell>
        </row>
        <row r="62">
          <cell r="S62">
            <v>30000</v>
          </cell>
          <cell r="T62">
            <v>34500</v>
          </cell>
          <cell r="U62">
            <v>39000</v>
          </cell>
          <cell r="V62">
            <v>43500</v>
          </cell>
          <cell r="W62">
            <v>48000</v>
          </cell>
        </row>
        <row r="70">
          <cell r="S70">
            <v>170000</v>
          </cell>
          <cell r="T70">
            <v>459500</v>
          </cell>
          <cell r="U70">
            <v>524600</v>
          </cell>
          <cell r="V70">
            <v>589700</v>
          </cell>
          <cell r="W70">
            <v>654800</v>
          </cell>
        </row>
        <row r="82">
          <cell r="S82">
            <v>176000</v>
          </cell>
          <cell r="T82">
            <v>214400</v>
          </cell>
          <cell r="U82">
            <v>242600</v>
          </cell>
          <cell r="V82">
            <v>270800</v>
          </cell>
          <cell r="W82">
            <v>299000</v>
          </cell>
        </row>
      </sheetData>
      <sheetData sheetId="5">
        <row r="10">
          <cell r="N10">
            <v>240000</v>
          </cell>
          <cell r="O10">
            <v>276000</v>
          </cell>
          <cell r="P10">
            <v>317400</v>
          </cell>
          <cell r="Q10">
            <v>365010</v>
          </cell>
          <cell r="R10">
            <v>419761.49999999994</v>
          </cell>
        </row>
      </sheetData>
      <sheetData sheetId="6">
        <row r="10">
          <cell r="I10">
            <v>21</v>
          </cell>
          <cell r="J10">
            <v>23</v>
          </cell>
          <cell r="K10">
            <v>44</v>
          </cell>
          <cell r="L10">
            <v>51</v>
          </cell>
          <cell r="M10">
            <v>57</v>
          </cell>
          <cell r="Z10">
            <v>762900</v>
          </cell>
          <cell r="AM10">
            <v>955305</v>
          </cell>
          <cell r="AN10">
            <v>2267220</v>
          </cell>
          <cell r="AO10">
            <v>2886240</v>
          </cell>
          <cell r="AP10">
            <v>3523275</v>
          </cell>
        </row>
        <row r="23">
          <cell r="I23">
            <v>0</v>
          </cell>
          <cell r="J23">
            <v>12.5</v>
          </cell>
          <cell r="K23">
            <v>12.5</v>
          </cell>
          <cell r="L23">
            <v>31</v>
          </cell>
          <cell r="M23">
            <v>31</v>
          </cell>
          <cell r="Z23">
            <v>0</v>
          </cell>
          <cell r="AM23">
            <v>533887.5</v>
          </cell>
          <cell r="AN23">
            <v>673162.5</v>
          </cell>
          <cell r="AO23">
            <v>1782240</v>
          </cell>
          <cell r="AP23">
            <v>1949325</v>
          </cell>
        </row>
        <row r="35">
          <cell r="I35">
            <v>18</v>
          </cell>
          <cell r="J35">
            <v>21</v>
          </cell>
          <cell r="K35">
            <v>36</v>
          </cell>
          <cell r="L35">
            <v>39</v>
          </cell>
          <cell r="M35">
            <v>39</v>
          </cell>
          <cell r="Z35">
            <v>775200</v>
          </cell>
          <cell r="AM35">
            <v>1039485</v>
          </cell>
          <cell r="AN35">
            <v>2239380</v>
          </cell>
          <cell r="AO35">
            <v>2638560</v>
          </cell>
          <cell r="AP35">
            <v>2885925</v>
          </cell>
        </row>
        <row r="53">
          <cell r="I53">
            <v>10.5</v>
          </cell>
          <cell r="J53">
            <v>10.5</v>
          </cell>
          <cell r="K53">
            <v>16</v>
          </cell>
          <cell r="L53">
            <v>16</v>
          </cell>
          <cell r="M53">
            <v>16</v>
          </cell>
          <cell r="Z53">
            <v>393450</v>
          </cell>
          <cell r="AM53">
            <v>452467.5</v>
          </cell>
          <cell r="AN53">
            <v>821280</v>
          </cell>
          <cell r="AO53">
            <v>906240</v>
          </cell>
          <cell r="AP53">
            <v>991200</v>
          </cell>
        </row>
        <row r="64">
          <cell r="I64">
            <v>11.5</v>
          </cell>
          <cell r="J64">
            <v>12.5</v>
          </cell>
          <cell r="K64">
            <v>14.5</v>
          </cell>
          <cell r="L64">
            <v>15.5</v>
          </cell>
          <cell r="M64">
            <v>16.5</v>
          </cell>
          <cell r="Z64">
            <v>397350</v>
          </cell>
          <cell r="AM64">
            <v>485587.5</v>
          </cell>
          <cell r="AN64">
            <v>706222.5</v>
          </cell>
          <cell r="AO64">
            <v>828720</v>
          </cell>
          <cell r="AP64">
            <v>949987.5</v>
          </cell>
        </row>
        <row r="77">
          <cell r="I77">
            <v>1</v>
          </cell>
          <cell r="J77">
            <v>5</v>
          </cell>
          <cell r="K77">
            <v>5</v>
          </cell>
          <cell r="L77">
            <v>5.5</v>
          </cell>
          <cell r="M77">
            <v>5.5</v>
          </cell>
          <cell r="Z77">
            <v>72900</v>
          </cell>
          <cell r="AM77">
            <v>229424.99999999997</v>
          </cell>
          <cell r="AN77">
            <v>289275</v>
          </cell>
          <cell r="AO77">
            <v>343920</v>
          </cell>
          <cell r="AP77">
            <v>376162.5</v>
          </cell>
        </row>
        <row r="86">
          <cell r="I86">
            <v>5</v>
          </cell>
          <cell r="J86">
            <v>5</v>
          </cell>
          <cell r="K86">
            <v>7</v>
          </cell>
          <cell r="L86">
            <v>8</v>
          </cell>
          <cell r="M86">
            <v>8</v>
          </cell>
          <cell r="Z86">
            <v>214500</v>
          </cell>
          <cell r="AM86">
            <v>246675</v>
          </cell>
          <cell r="AN86">
            <v>418035</v>
          </cell>
          <cell r="AO86">
            <v>520320</v>
          </cell>
          <cell r="AP86">
            <v>569100</v>
          </cell>
        </row>
        <row r="95">
          <cell r="I95">
            <v>21</v>
          </cell>
          <cell r="J95">
            <v>25</v>
          </cell>
          <cell r="K95">
            <v>28</v>
          </cell>
          <cell r="L95">
            <v>32</v>
          </cell>
          <cell r="M95">
            <v>37</v>
          </cell>
          <cell r="Z95">
            <v>744900</v>
          </cell>
          <cell r="AM95">
            <v>984975</v>
          </cell>
          <cell r="AN95">
            <v>1376340</v>
          </cell>
          <cell r="AO95">
            <v>1697280</v>
          </cell>
          <cell r="AP95">
            <v>2210775</v>
          </cell>
        </row>
        <row r="105">
          <cell r="I105">
            <v>10</v>
          </cell>
          <cell r="J105">
            <v>11</v>
          </cell>
          <cell r="K105">
            <v>15</v>
          </cell>
          <cell r="L105">
            <v>15</v>
          </cell>
          <cell r="M105">
            <v>15</v>
          </cell>
          <cell r="Z105">
            <v>369000</v>
          </cell>
          <cell r="AM105">
            <v>446085</v>
          </cell>
          <cell r="AN105">
            <v>706875</v>
          </cell>
          <cell r="AO105">
            <v>780000</v>
          </cell>
          <cell r="AP105">
            <v>853125</v>
          </cell>
        </row>
        <row r="116">
          <cell r="I116">
            <v>7</v>
          </cell>
          <cell r="J116">
            <v>8</v>
          </cell>
          <cell r="K116">
            <v>9</v>
          </cell>
          <cell r="L116">
            <v>10</v>
          </cell>
          <cell r="M116">
            <v>10</v>
          </cell>
          <cell r="Z116">
            <v>300300</v>
          </cell>
          <cell r="AM116">
            <v>401580</v>
          </cell>
          <cell r="AN116">
            <v>551145</v>
          </cell>
          <cell r="AO116">
            <v>657600</v>
          </cell>
          <cell r="AP116">
            <v>719250</v>
          </cell>
        </row>
        <row r="125">
          <cell r="I125">
            <v>3</v>
          </cell>
          <cell r="J125">
            <v>3</v>
          </cell>
          <cell r="K125">
            <v>4</v>
          </cell>
          <cell r="L125">
            <v>4</v>
          </cell>
          <cell r="M125">
            <v>4</v>
          </cell>
          <cell r="Z125">
            <v>122700</v>
          </cell>
          <cell r="AM125">
            <v>141105</v>
          </cell>
          <cell r="AN125">
            <v>222720</v>
          </cell>
          <cell r="AO125">
            <v>245760</v>
          </cell>
          <cell r="AP125">
            <v>268800</v>
          </cell>
        </row>
        <row r="130">
          <cell r="I130">
            <v>4.5</v>
          </cell>
          <cell r="J130">
            <v>4.5</v>
          </cell>
          <cell r="K130">
            <v>6.5</v>
          </cell>
          <cell r="L130">
            <v>11.5</v>
          </cell>
          <cell r="M130">
            <v>13.5</v>
          </cell>
          <cell r="Z130">
            <v>226050</v>
          </cell>
          <cell r="AM130">
            <v>259957.5</v>
          </cell>
          <cell r="AN130">
            <v>408682.5</v>
          </cell>
          <cell r="AO130">
            <v>669360</v>
          </cell>
          <cell r="AP130">
            <v>819262.5</v>
          </cell>
        </row>
        <row r="137">
          <cell r="I137">
            <v>4</v>
          </cell>
          <cell r="J137">
            <v>4</v>
          </cell>
          <cell r="K137">
            <v>8</v>
          </cell>
          <cell r="L137">
            <v>12</v>
          </cell>
          <cell r="M137">
            <v>12</v>
          </cell>
          <cell r="Z137">
            <v>291600</v>
          </cell>
          <cell r="AM137">
            <v>335340</v>
          </cell>
          <cell r="AN137">
            <v>636840</v>
          </cell>
          <cell r="AO137">
            <v>938880</v>
          </cell>
          <cell r="AP137">
            <v>1026900</v>
          </cell>
        </row>
        <row r="144">
          <cell r="I144">
            <v>41</v>
          </cell>
          <cell r="J144">
            <v>93</v>
          </cell>
          <cell r="K144">
            <v>142</v>
          </cell>
          <cell r="L144">
            <v>185</v>
          </cell>
          <cell r="M144">
            <v>225</v>
          </cell>
          <cell r="Z144">
            <v>669300</v>
          </cell>
          <cell r="AM144">
            <v>1473495</v>
          </cell>
          <cell r="AN144">
            <v>2795310</v>
          </cell>
          <cell r="AO144">
            <v>3822240</v>
          </cell>
          <cell r="AP144">
            <v>4959675</v>
          </cell>
        </row>
        <row r="155">
          <cell r="I155">
            <v>2</v>
          </cell>
          <cell r="J155">
            <v>4</v>
          </cell>
          <cell r="K155">
            <v>6</v>
          </cell>
          <cell r="L155">
            <v>8</v>
          </cell>
          <cell r="M155">
            <v>8</v>
          </cell>
          <cell r="Z155">
            <v>25800</v>
          </cell>
          <cell r="AM155">
            <v>59340</v>
          </cell>
          <cell r="AN155">
            <v>112230</v>
          </cell>
          <cell r="AO155">
            <v>165120</v>
          </cell>
          <cell r="AP155">
            <v>180600</v>
          </cell>
        </row>
        <row r="159">
          <cell r="I159">
            <v>2</v>
          </cell>
          <cell r="J159">
            <v>2</v>
          </cell>
          <cell r="K159">
            <v>2</v>
          </cell>
          <cell r="L159">
            <v>2</v>
          </cell>
          <cell r="M159">
            <v>2</v>
          </cell>
          <cell r="Z159">
            <v>481800</v>
          </cell>
          <cell r="AM159">
            <v>554070</v>
          </cell>
          <cell r="AN159">
            <v>698610</v>
          </cell>
          <cell r="AO159">
            <v>770880</v>
          </cell>
          <cell r="AP159">
            <v>843150</v>
          </cell>
        </row>
      </sheetData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7T10:06:59.16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0 375 24575,'54'-7'0,"0"1"0,9 0 0,16-1 0,16 0 0,9-1 0,2 1 0,1 1 0,-7 1 0,-10 1 0,-5 2 0,-7 2 0,-3 0 0,0 2 0,6-2 0,6 0 0,-3-1 0,7-2 0,8 0 0,3 0 0,2 0 0,-2 0 0,-2 0 0,-7 2 0,-10 1 0,-10 1 0,11 4 0,-14 1 0,-5 1 0,4-1 0,7 0 0,0 1 0,0-3 0,-6-1 0,-4-1 0,-5-3 0,2 1 0,6 0 0,2-1 0,-3 2 0,20 0 0,-9 0 0,8 3 0,-12 4 0,-48-1 0,13 3 0,-4 0 0,-2 0 0,22 5 0,-29-8 0,4 0 0,-20-6 0,-5-5 0,-8-8 0,-27-9 0,-16-10 0,-13-1 0,11 7 0,-1-1 0,-15-8 0,4 1 0,0 1 0,1-4 0,15 9 0,2 1 0,13 6 0,-10-3 0,19 16 0,-29-4 0,18 4 0,-11-2 0,24 7 0,25 19 0,7 2 0,11 8 0,7-2 0,-16-14 0,36 21 0,15 0 0,6 7 0,-9-5 0,1 3 0,-24-10 0,-1 1 0,10 3 0,-4-2 0,5 4 0,-32-23 0,-2-7 0,-3 1 0,35 9 0,-14 0 0,5 2 0,-25-1 0,-24-8 0,-22 13 0,0-5 0,-18 12 0,6-5 0,-37 17 0,22-20 0,9-4 0,-3-2 0,-17-5 0,1-3 0,-7 2 0,37-6 0,-18 0 0,32-5 0,1 4 0,12 0 0,10 2 0,4 2 0,2-1 0,1-2 0,-3 0 0,0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7T10:07:04.73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19 390 24575,'0'34'0,"0"19"0,0 19 0,0 2 0,0 0 0,0 4 0,0 13-1405,0-11 1,0 11 0,0 9-1,0 4 1,0-1 0,0-2-1,0-8 1263,0-11 0,-1-4 0,1-3 0,0 2 0,0 5 0,1 9 142,2-14 0,0 6 0,0 5 0,0 5 0,2 3 0,-1 1 0,2 2 0,0-2 0,1-2 0,-1-2 0,2-4 0,1-7 238,1 10 1,1-6-1,1-3 1,1-2 0,0-1-1,0 2 1,1 2 0,2 5-239,-2-2 0,0 4 0,1 3 0,1 3 0,-2 0 0,3-2 0,0-1 0,-1-3 0,1-6 0,0-5 0,4 11 0,2-4 0,0-6 0,1-3 0,-3-3 0,1-4 439,2 9 0,-1-4 0,-1-6 1,-1-4-440,6 26 0,-5-15 0,-6-11 0,-5 6 0,-2 13 2000,-5-19 1,-3 4-1,1-2-2000,4 20 0,1 0 0,-4 9 0,5-13 1016,14-30-1016,-11-43 0,7-7 0,-4-15 0,28-26 0,20 8 0,22 0 0,14-1 0,-24 10 0,11 0 0,7-1 0,4 2 0,2-1 0,-3 1 0,-3 1-348,-8 0 0,-3 1 0,-1 1 0,1-1 0,2 2 1,5 0-1,5-1 348,-13 6 0,2-2 0,6 1 0,2-1 0,3 2 0,0-2 0,3 3 0,-2-1 0,0 1 0,-2 1 0,-3 0 0,-4 2 0,12 1 0,-4 0 0,-1 1 0,-1 2 0,-1 0 0,0 0 0,1 1 0,0-1 0,2 0-91,-5 0 0,2-1 1,2 1-1,-1-1 0,1 0 1,0 1-1,-1-1 1,0 1-1,-3 0 0,0 0 91,3 1 0,-1 1 0,-1-1 0,-2 0 0,1 0 0,-1 1 0,-2-1 0,-3 1 0,0 0-18,5-1 1,-4 1 0,-1 0 0,-2 0 0,0 0-1,-2-1 1,1 1 17,6-1 0,-2 0 0,0 0 0,-2 0 0,0-1 0,-3 1 0,5 0 0,-1 0 0,-2-1 0,-2 1 0,-4 0 0,6 1 0,-4-1 0,-2 1 0,0-1 0,14-1 0,-1 1 0,-14-1 2297,20 2-2297,-31 0 0,-16 0 1021,-42 0-1021,-10 0 145,-23-8-145,13-1 0,-6-5 0,-3-22 0,-5-12 0,1-5 0,-2-8 0,-2-1 0,-2-6 0,1-2 0,-8-11 0,11 16 0,-4-9 0,-2-6 0,-1-2 0,0-2 0,0 1 0,2 4-1020,0-3 0,2 1 0,0 1 1,0-1-1,0-1 0,-1-2 1020,1 4 0,-2-2 0,-1-1 0,-1 0 0,1-1 0,2-1 0,1 2 0,0-1 0,1-3 0,1 1 0,0-1 0,2 4 0,2 4 0,2 7-31,-1-4 0,4 10 0,1-1 0,-2-13 31,3 9 0,0-7 0,-1-7 0,0-3 0,2-3 0,-1 1 0,3 0 0,0 6 0,2-2 0,4 0 0,1 2 0,-1 0 0,2 0 0,-2-2 0,-1-1-70,-1 2 1,-3-2-1,2-2 1,-3 1-1,3-1 1,-3 1-1,3 4 1,2 2 69,-1-11 0,1 0 0,2 3 0,1 4 0,-2 5 0,1 10 0,-5-11 0,0 11 0,1 11 0,-10-17 5828,16 55-5828,1-8 170,7 14-170,-5-20 801,3 17-801,-3-4 0,1 16 0,-7 11 0,5 2 0,-21 5 0,12-3 0,-47-3 0,3-4 0,-18-1 0,-21 0 0,-6 0 0,29 0 0,-3 0 0,-4 1 0,-3-1 0,-2-1 0,9 1 0,-2-1 0,-3 0 0,-3-1 0,2 0 0,-1 1 0,0 0 0,0-1 0,-1 1 0,0-1 0,-1 1 0,2 0 0,1 1 0,1 0 0,-6 1 0,1 1 0,0 1 0,3-1 0,0 1 0,4 0 0,2-1 0,0 1 0,2 0 0,5 1 0,0 1 0,-18 3 0,7 3 0,-1-1 0,5-4 0,0-1 0,10-1 0,14-2 0,1-1 0,-9 0 0,-5 0 0,7 0 0,-32 2 0,31-2 0,-9 0 0,3 0 0,-7 0 0,2 0 0,-16-1 0,-4 0 0,24 0 0,0 0 0,4 0 0,6 0 0,-4 0 0,-23 0 0,-13 1 0,5-2 0,26 0 0,5-1 0,-4 1 0,-13-2 0,-3-1 0,8-1 0,0-2 0,13 0 0,-2-8 0,32 8 0,5 4 0,-28 3 0,14 0 0,-9 3 0,-3 0 0,-6 5 0,-23 8 0,47 1 0,14 4 0,10-8 0,5 0 0,7-7 0,6 6 0,0-3 0,4 5 0,-1 3 0,-3 1 0,3 9 0,-5-10 0,-1 2 0,-2-11 0,-1 1 0,0 0 0,0-2 0,0 1 0,0-1 0,0 1 0,0 0 0,0 4 0,0 1 0,0-3 0,0-32 0,0 16 0,0-23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7T10:07:12.03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2119 444 24575,'-30'0'0,"-18"0"0,-20 0 0,-9 0 0,25 0 0,-10 0 0,-24 0 0,-14 0 0,2 0 0,15 0 0,0 0 0,-4 0 0,4 0 0,-5 0 0,1 0 0,10 0 0,-9 0 0,10 0 0,13 0 0,5 0 0,-31 2 0,38 4 0,2 1 0,-33 5 0,22 12 0,28-10 0,-18 17 0,16-9 0,-34 22 0,34-19 0,-2 4 0,26-14 0,7 0 0,3-1 0,0 32 0,-11 20 0,6-1 0,-7-6 0,11-35 0,1 21 0,5 6 0,1 5 0,6 29 0,-6-31 0,3-7 0,6-18 0,-3-13 0,20 33 0,2-1 0,13 22 0,5 4 0,-16-27 0,1-3 0,11 16 0,1-3 0,-8-19 0,-4-7 0,3 2 0,31 15 0,-35-26 0,18-2 0,11-2 0,8-3 0,8-4 0,-15 0 0,4-1 0,-2 0 0,26 1 0,0-5 0,-20-2 0,2-2 0,-1 0 0,17-1 0,3-1 0,-8-1 0,4-1 0,-5 0 0,-18 1 0,-4 0 0,3-3 0,17-2 0,6-3 0,-9 0 0,-7 0 0,1-2 0,-3 1 0,12-3 0,0 0 0,-7 1 0,-7 1 0,-5 0 0,1 0 0,12-1 0,3-1 0,1 1 0,8-1 0,1-1 0,-1 1 0,-3 0 0,0 2 0,4-2 0,-2 3 0,7 0 0,-1 0 0,-5 1 0,7-2 0,-6 1 0,-3 2 0,-19 2 0,-5 3 0,0 0 0,22 1 0,-3 1 0,-14 0 0,0 0 0,15 0 0,5-1 0,-13 0 0,5-1 0,-4 1 0,14-1 0,-2 0 0,-20 2 0,3 0 0,-4-2 0,19-2 0,-8-5 0,10-8 0,-26-32 0,-31-13 0,-8-15 0,-15 3 0,-6-7 0,-1 1 0,4 11 0,-1 1 0,-6-5 0,-6-1 0,-8-6 0,-2 1 0,-5 9 0,-3 6 0,-3 9 0,-4-1 0,-7-8 0,-4-1 0,-2 6 0,-4 4 0,-3 3 0,1 9 0,-8 2 0,-1 9 0,-12 1 0,3 7 0,-20 3 0,1 10 0,-6 3 0,12 0 0,-2 1 0,6 1 0,-5 0 0,5 0 0,-7 3 0,4 0 0,-4-1 0,10 2 0,4 3 0,18 0 0,1 0 0,-39 0 0,1 0 0,32 1 0,4 0 0,3 1 0,-18 8 0,-1 13 0,-2-2 0,11-1 0,-9 5 0,-1-2 0,-16 0 0,-3 0 0,20-1 0,-1 1 0,1-1 0,-10 0 0,7-3 0,15-5 0,0-2 0,-17-3 0,-5-3 0,3 1 0,1-2 0,2-3 0,7-1 0,-24 1 0,64 1 0,2-1 0,16-2 0,-2 0 0,-44 0 0,-11 0 0,14 0 0,-1 0 0,-25 0 0,25 0 0,32 2 0,11 2 0,6 4 0,-3 5 0,2-2 0,-3 0 0,2-1 0,5-4 0,9 0 0,-5-4 0,6-2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7T10:08:25.62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24575,'0'0'0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7T10:08:28.87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255 0 24575,'0'20'0,"6"5"0,-2-2 0,2 0 0,-3 16 0,-3 8 0,0 8 0,1 7 0,0 4 0,0-5 0,0 5 0,0-1 0,1 15 0,-1-1 0,1-1 0,-1-2 0,-2-5 0,2-3 0,0-15 0,2-3 0,-1 33 0,9-40 0,-5-12 0,6 13 0,-3 1 0,-1-12 0,4 8 0,-5-25 0,3 10 0,-9-18 0,-13-1 0,-2-7 0,-26-26 0,13-5 0,-21-35 0,20 20 0,1-1 0,-15-23 0,6 15 0,2 5 0,7 11 0,-4-2 0,31 44 0,6 6 0,23 34 0,0-1 0,14 8 0,-7-14 0,4-8 0,7 3 0,-5-4 0,-3-1 0,0-4 0,-15-12 0,5 4 0,-12-6 0,-9 3 0,3 2 0,-7 1 0,4-2 0,-5-3 0,0-1 0,-1-3 0,4-29 0,2-18 0,3-15 0,1 11 0,-1-2 0,-4-24 0,1 24 0,-3 0 0,-23-21 0,5 22 0,-11 19 0,13 12 0,2 9 0,2 3 0,3 13 0,2 9 0,2-4 0,0-1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17T10:10:22.258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4552 105 24575,'-95'0'0,"0"0"0,1 0 0,-1 0 0,-1 0 0,1 0 0,1 0 0,-1 0 0,0 0 0,0 0 0,1 0 0,-2 0 0,1 0 0,0 0 0,1 0 0,0 0 0,3 0 0,0 0 0,-2 0 0,2 0 0,1 0 0,0 0 0,2 0 0,0 0 0,1 0 0,1 0 0,-3 0 0,0 0 0,2 0 0,0 0 0,5 0 0,0 0 0,4 0 0,-22 1 0,5-1 0,5 0 0,3-1 0,-6-1 0,4-1 0,6-1 0,-17 2 0,11-1 0,37-5 0,9 6 0,-12 21 0,-20 36 0,21-6 0,-2 5 0,8-7 0,4 2 0,1-3 0,5 0 0,10 1 0,4-3 0,-4 18 0,-1 10 0,2 2 0,1 2 0,7-1 0,4-3 0,6-15 0,5 2 0,1-3 0,3-9 0,2 4 0,2 0 0,9 1 0,9 5 0,8 2 0,0-15 0,1-3 0,7 4 0,-3-2 0,14 14 0,-7-31 0,-7-12 0,24 7 0,-12-6 0,-3 3 0,1 2 0,25 11 0,10 5 0,7 1 0,-38-18 0,-2-1 0,-1 1 0,4 0 0,4 2 0,1-1 0,13 4 0,3 1 0,1 1 0,13 5 0,-11-4 0,0-1 0,5 0 0,-21-7 0,7 0 0,1-2 0,24 1 0,3-3 0,-9-2 0,6-2 0,1-1 0,2-2 0,2-3 0,-4 0 0,-23-4 0,0-2 0,3 1 0,10 0 0,7 0 0,1 0 0,-5 0 0,11 0 0,-7 0 0,4 0 0,-17 0 0,2 0 0,1 0 0,2 0 0,12 0 0,3 0 0,-1 0 0,-6 0 0,-2 0 0,-6 0 0,2 0 0,11 0 0,4 0 0,0 0 0,-16 0 0,0 0 0,0 0 0,-9 0 0,15 0 0,0 0 0,-9 0 0,10 0 0,-3 0 0,-9 0 0,-1 0 0,0 0 0,5 0 0,6 0 0,-9 0 0,-22 0 0,0 0 0,19 0 0,10 0 0,-4 0 0,-2-2 0,-2-1 0,16 1 0,0-1 0,-13-7 0,-8-2 0,1-12 0,5-5 0,-1-6 0,-31 8 0,-5-2 0,11-2 0,-3-4 0,-17-9 0,-4-11 0,0-14 0,-1-10 0,0-4 0,-3 13 0,-1-4 0,2 0 0,-1 1 0,-1 0 0,-2-1 0,1 2 0,-4 5 0,1-10 0,-2 5 0,-11 14 0,-18-3 0,-52-7 0,11 12 0,4 7 0,-11-10 0,0 2 0,7 11 0,0 3 0,-3-2 0,-13-13 0,-4-1 0,2 4 0,-5 1 0,0 7 0,-5 6 0,0 8 0,8 8 0,-1 3 0,8 4 0,-4 0 0,4 1 0,-21-2 0,3 4 0,19 3 0,2 4 0,11 5 0,7 2 0,-5 1 0,-32 0 0,45 0 0,-16 0 0,30 0 0,-36 3 0,-3 11 0,-13 1 0,17 1 0,-1 2 0,-17 3 0,19-7 0,-8 3 0,3-3 0,-3-1 0,-2-1 0,-15 2 0,2-2 0,29-5 0,9-3 0,-5-4 0,22 0 0,14-4 0,0 3 0,4-6 0,3 2 0,-6-5 0,4 2 0,-11-9 0,9 7 0,-8-5 0,8 7 0,-5 1 0,7 2 0,-5-3 0,5 1 0,6 3 0,2 2 0,6 2 0</inkml:trace>
</inkml: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0"/>
  <sheetViews>
    <sheetView showGridLines="0" workbookViewId="0">
      <selection activeCell="A11" sqref="A11:XFD11"/>
    </sheetView>
  </sheetViews>
  <sheetFormatPr defaultColWidth="9.109375" defaultRowHeight="13.8" outlineLevelCol="1"/>
  <cols>
    <col min="1" max="1" width="36.33203125" style="4" bestFit="1" customWidth="1"/>
    <col min="2" max="2" width="10.6640625" style="4" customWidth="1"/>
    <col min="3" max="14" width="9.109375" style="4" customWidth="1" outlineLevel="1"/>
    <col min="15" max="15" width="9.109375" style="34"/>
    <col min="16" max="27" width="9.109375" style="4" hidden="1" customWidth="1" outlineLevel="1"/>
    <col min="28" max="28" width="9.109375" style="4" collapsed="1"/>
    <col min="29" max="40" width="9.109375" style="4" hidden="1" customWidth="1" outlineLevel="1"/>
    <col min="41" max="41" width="9.109375" style="4" collapsed="1"/>
    <col min="42" max="52" width="9.109375" style="4" hidden="1" customWidth="1" outlineLevel="1"/>
    <col min="53" max="53" width="9.109375" style="4" hidden="1" customWidth="1" outlineLevel="1" collapsed="1"/>
    <col min="54" max="54" width="9.109375" style="4" collapsed="1"/>
    <col min="55" max="66" width="9.109375" style="4" hidden="1" customWidth="1" outlineLevel="1"/>
    <col min="67" max="67" width="9.109375" style="4" collapsed="1"/>
    <col min="68" max="16384" width="9.109375" style="4"/>
  </cols>
  <sheetData>
    <row r="1" spans="1:67" s="1" customFormat="1">
      <c r="C1" s="1" t="s">
        <v>107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62" t="s">
        <v>146</v>
      </c>
      <c r="P1" s="1" t="s">
        <v>107</v>
      </c>
      <c r="Q1" s="1" t="s">
        <v>135</v>
      </c>
      <c r="R1" s="1" t="s">
        <v>136</v>
      </c>
      <c r="S1" s="1" t="s">
        <v>137</v>
      </c>
      <c r="T1" s="1" t="s">
        <v>138</v>
      </c>
      <c r="U1" s="1" t="s">
        <v>139</v>
      </c>
      <c r="V1" s="1" t="s">
        <v>140</v>
      </c>
      <c r="W1" s="1" t="s">
        <v>141</v>
      </c>
      <c r="X1" s="1" t="s">
        <v>142</v>
      </c>
      <c r="Y1" s="1" t="s">
        <v>143</v>
      </c>
      <c r="Z1" s="1" t="s">
        <v>144</v>
      </c>
      <c r="AA1" s="1" t="s">
        <v>145</v>
      </c>
      <c r="AB1" s="62" t="s">
        <v>151</v>
      </c>
      <c r="AC1" s="1" t="s">
        <v>107</v>
      </c>
      <c r="AD1" s="1" t="s">
        <v>135</v>
      </c>
      <c r="AE1" s="1" t="s">
        <v>136</v>
      </c>
      <c r="AF1" s="1" t="s">
        <v>137</v>
      </c>
      <c r="AG1" s="1" t="s">
        <v>138</v>
      </c>
      <c r="AH1" s="1" t="s">
        <v>139</v>
      </c>
      <c r="AI1" s="1" t="s">
        <v>140</v>
      </c>
      <c r="AJ1" s="1" t="s">
        <v>141</v>
      </c>
      <c r="AK1" s="1" t="s">
        <v>142</v>
      </c>
      <c r="AL1" s="1" t="s">
        <v>143</v>
      </c>
      <c r="AM1" s="1" t="s">
        <v>144</v>
      </c>
      <c r="AN1" s="1" t="s">
        <v>145</v>
      </c>
      <c r="AO1" s="62" t="s">
        <v>152</v>
      </c>
      <c r="AP1" s="1" t="s">
        <v>107</v>
      </c>
      <c r="AQ1" s="1" t="s">
        <v>135</v>
      </c>
      <c r="AR1" s="1" t="s">
        <v>136</v>
      </c>
      <c r="AS1" s="1" t="s">
        <v>137</v>
      </c>
      <c r="AT1" s="1" t="s">
        <v>138</v>
      </c>
      <c r="AU1" s="1" t="s">
        <v>139</v>
      </c>
      <c r="AV1" s="1" t="s">
        <v>140</v>
      </c>
      <c r="AW1" s="1" t="s">
        <v>141</v>
      </c>
      <c r="AX1" s="1" t="s">
        <v>142</v>
      </c>
      <c r="AY1" s="1" t="s">
        <v>143</v>
      </c>
      <c r="AZ1" s="1" t="s">
        <v>144</v>
      </c>
      <c r="BA1" s="1" t="s">
        <v>145</v>
      </c>
      <c r="BB1" s="62" t="s">
        <v>153</v>
      </c>
      <c r="BC1" s="1" t="s">
        <v>107</v>
      </c>
      <c r="BD1" s="1" t="s">
        <v>135</v>
      </c>
      <c r="BE1" s="1" t="s">
        <v>136</v>
      </c>
      <c r="BF1" s="1" t="s">
        <v>137</v>
      </c>
      <c r="BG1" s="1" t="s">
        <v>138</v>
      </c>
      <c r="BH1" s="1" t="s">
        <v>139</v>
      </c>
      <c r="BI1" s="1" t="s">
        <v>140</v>
      </c>
      <c r="BJ1" s="1" t="s">
        <v>141</v>
      </c>
      <c r="BK1" s="1" t="s">
        <v>142</v>
      </c>
      <c r="BL1" s="1" t="s">
        <v>143</v>
      </c>
      <c r="BM1" s="1" t="s">
        <v>144</v>
      </c>
      <c r="BN1" s="1" t="s">
        <v>145</v>
      </c>
      <c r="BO1" s="62" t="s">
        <v>154</v>
      </c>
    </row>
    <row r="3" spans="1:67" s="3" customFormat="1">
      <c r="A3" s="3" t="s">
        <v>24</v>
      </c>
      <c r="C3" s="3" t="e">
        <f>O3*C4</f>
        <v>#REF!</v>
      </c>
      <c r="D3" s="3" t="e">
        <f>O3*D4</f>
        <v>#REF!</v>
      </c>
      <c r="E3" s="3" t="e">
        <f>O3*E4</f>
        <v>#REF!</v>
      </c>
      <c r="F3" s="3" t="e">
        <f>O3*F4</f>
        <v>#REF!</v>
      </c>
      <c r="G3" s="3" t="e">
        <f>O3*G4</f>
        <v>#REF!</v>
      </c>
      <c r="H3" s="3" t="e">
        <f>O3*H4</f>
        <v>#REF!</v>
      </c>
      <c r="I3" s="3" t="e">
        <f>O3*I4</f>
        <v>#REF!</v>
      </c>
      <c r="J3" s="3" t="e">
        <f>O3*J4</f>
        <v>#REF!</v>
      </c>
      <c r="K3" s="3" t="e">
        <f>O3*K4</f>
        <v>#REF!</v>
      </c>
      <c r="L3" s="3" t="e">
        <f>O3*L4</f>
        <v>#REF!</v>
      </c>
      <c r="M3" s="3" t="e">
        <f>O3*M4</f>
        <v>#REF!</v>
      </c>
      <c r="N3" s="3" t="e">
        <f>O3*N4</f>
        <v>#REF!</v>
      </c>
      <c r="O3" s="66" t="e">
        <f>#REF!</f>
        <v>#REF!</v>
      </c>
      <c r="P3" s="3" t="e">
        <f>AB3*P4</f>
        <v>#REF!</v>
      </c>
      <c r="Q3" s="3" t="e">
        <f>AB3*Q4</f>
        <v>#REF!</v>
      </c>
      <c r="R3" s="3" t="e">
        <f>AB3*R4</f>
        <v>#REF!</v>
      </c>
      <c r="S3" s="3" t="e">
        <f>AB3*S4</f>
        <v>#REF!</v>
      </c>
      <c r="T3" s="3" t="e">
        <f>AB3*T4</f>
        <v>#REF!</v>
      </c>
      <c r="U3" s="3" t="e">
        <f>AB3*U4</f>
        <v>#REF!</v>
      </c>
      <c r="V3" s="3" t="e">
        <f>AB3*V4</f>
        <v>#REF!</v>
      </c>
      <c r="W3" s="3" t="e">
        <f>AB3*W4</f>
        <v>#REF!</v>
      </c>
      <c r="X3" s="3" t="e">
        <f>AB3*X4</f>
        <v>#REF!</v>
      </c>
      <c r="Y3" s="3" t="e">
        <f>AB3*Y4</f>
        <v>#REF!</v>
      </c>
      <c r="Z3" s="3" t="e">
        <f>AB3*Z4</f>
        <v>#REF!</v>
      </c>
      <c r="AA3" s="3" t="e">
        <f>AB3*AA4</f>
        <v>#REF!</v>
      </c>
      <c r="AB3" s="66" t="e">
        <f>#REF!</f>
        <v>#REF!</v>
      </c>
      <c r="AC3" s="3" t="e">
        <f>AO3*AC4</f>
        <v>#REF!</v>
      </c>
      <c r="AD3" s="3" t="e">
        <f>AO3*AD4</f>
        <v>#REF!</v>
      </c>
      <c r="AE3" s="3" t="e">
        <f>AO3*AE4</f>
        <v>#REF!</v>
      </c>
      <c r="AF3" s="3" t="e">
        <f>AO3*AF4</f>
        <v>#REF!</v>
      </c>
      <c r="AG3" s="3" t="e">
        <f>AO3*AG4</f>
        <v>#REF!</v>
      </c>
      <c r="AH3" s="3" t="e">
        <f>AO3*AH4</f>
        <v>#REF!</v>
      </c>
      <c r="AI3" s="3" t="e">
        <f>AO3*AI4</f>
        <v>#REF!</v>
      </c>
      <c r="AJ3" s="3" t="e">
        <f>AO3*AJ4</f>
        <v>#REF!</v>
      </c>
      <c r="AK3" s="3" t="e">
        <f>AO3*AK4</f>
        <v>#REF!</v>
      </c>
      <c r="AL3" s="3" t="e">
        <f>AO3*AL4</f>
        <v>#REF!</v>
      </c>
      <c r="AM3" s="3" t="e">
        <f>AO3*AM4</f>
        <v>#REF!</v>
      </c>
      <c r="AN3" s="3" t="e">
        <f>AO3*AN4</f>
        <v>#REF!</v>
      </c>
      <c r="AO3" s="66" t="e">
        <f>#REF!</f>
        <v>#REF!</v>
      </c>
      <c r="AP3" s="3" t="e">
        <f>BB3*AP4</f>
        <v>#REF!</v>
      </c>
      <c r="AQ3" s="3" t="e">
        <f>BB3*AQ4</f>
        <v>#REF!</v>
      </c>
      <c r="AR3" s="3" t="e">
        <f>BB3*AR4</f>
        <v>#REF!</v>
      </c>
      <c r="AS3" s="3" t="e">
        <f>BB3*AS4</f>
        <v>#REF!</v>
      </c>
      <c r="AT3" s="3" t="e">
        <f>BB3*AT4</f>
        <v>#REF!</v>
      </c>
      <c r="AU3" s="3" t="e">
        <f>BB3*AU4</f>
        <v>#REF!</v>
      </c>
      <c r="AV3" s="3" t="e">
        <f>BB3*AV4</f>
        <v>#REF!</v>
      </c>
      <c r="AW3" s="3" t="e">
        <f>BB3*AW4</f>
        <v>#REF!</v>
      </c>
      <c r="AX3" s="3" t="e">
        <f>BB3*AX4</f>
        <v>#REF!</v>
      </c>
      <c r="AY3" s="3" t="e">
        <f>BB3*AY4</f>
        <v>#REF!</v>
      </c>
      <c r="AZ3" s="3" t="e">
        <f>BB3*AZ4</f>
        <v>#REF!</v>
      </c>
      <c r="BA3" s="3" t="e">
        <f>BB3*BA4</f>
        <v>#REF!</v>
      </c>
      <c r="BB3" s="66" t="e">
        <f>#REF!</f>
        <v>#REF!</v>
      </c>
      <c r="BC3" s="3" t="e">
        <f>BO3*BC4</f>
        <v>#REF!</v>
      </c>
      <c r="BD3" s="3" t="e">
        <f>BO3*BD4</f>
        <v>#REF!</v>
      </c>
      <c r="BE3" s="3" t="e">
        <f>BO3*BE4</f>
        <v>#REF!</v>
      </c>
      <c r="BF3" s="3" t="e">
        <f>BO3*BF4</f>
        <v>#REF!</v>
      </c>
      <c r="BG3" s="3" t="e">
        <f>BO3*BG4</f>
        <v>#REF!</v>
      </c>
      <c r="BH3" s="3" t="e">
        <f>BO3*BH4</f>
        <v>#REF!</v>
      </c>
      <c r="BI3" s="3" t="e">
        <f>BO3*BI4</f>
        <v>#REF!</v>
      </c>
      <c r="BJ3" s="3" t="e">
        <f>BO3*BJ4</f>
        <v>#REF!</v>
      </c>
      <c r="BK3" s="3" t="e">
        <f>BO3*BK4</f>
        <v>#REF!</v>
      </c>
      <c r="BL3" s="3" t="e">
        <f>BO3*BL4</f>
        <v>#REF!</v>
      </c>
      <c r="BM3" s="3" t="e">
        <f>BO3*BM4</f>
        <v>#REF!</v>
      </c>
      <c r="BN3" s="3" t="e">
        <f>BO3*BN4</f>
        <v>#REF!</v>
      </c>
      <c r="BO3" s="66" t="e">
        <f>#REF!</f>
        <v>#REF!</v>
      </c>
    </row>
    <row r="4" spans="1:67" s="40" customFormat="1">
      <c r="A4" s="40" t="s">
        <v>155</v>
      </c>
      <c r="C4" s="40">
        <f>100%/12</f>
        <v>8.3333333333333329E-2</v>
      </c>
      <c r="D4" s="40">
        <f t="shared" ref="D4:M4" si="0">100%/12</f>
        <v>8.3333333333333329E-2</v>
      </c>
      <c r="E4" s="40">
        <f t="shared" si="0"/>
        <v>8.3333333333333329E-2</v>
      </c>
      <c r="F4" s="40">
        <f t="shared" si="0"/>
        <v>8.3333333333333329E-2</v>
      </c>
      <c r="G4" s="40">
        <f t="shared" si="0"/>
        <v>8.3333333333333329E-2</v>
      </c>
      <c r="H4" s="40">
        <f t="shared" si="0"/>
        <v>8.3333333333333329E-2</v>
      </c>
      <c r="I4" s="40">
        <f t="shared" si="0"/>
        <v>8.3333333333333329E-2</v>
      </c>
      <c r="J4" s="40">
        <f t="shared" si="0"/>
        <v>8.3333333333333329E-2</v>
      </c>
      <c r="K4" s="40">
        <f t="shared" si="0"/>
        <v>8.3333333333333329E-2</v>
      </c>
      <c r="L4" s="40">
        <f t="shared" si="0"/>
        <v>8.3333333333333329E-2</v>
      </c>
      <c r="M4" s="40">
        <f t="shared" si="0"/>
        <v>8.3333333333333329E-2</v>
      </c>
      <c r="N4" s="40">
        <f>100%-SUM(C4:M4)</f>
        <v>8.3333333333333259E-2</v>
      </c>
      <c r="O4" s="77">
        <f>SUM(C4:N4)</f>
        <v>1</v>
      </c>
      <c r="P4" s="40">
        <f>100%/12</f>
        <v>8.3333333333333329E-2</v>
      </c>
      <c r="Q4" s="40">
        <f t="shared" ref="Q4:Z4" si="1">100%/12</f>
        <v>8.3333333333333329E-2</v>
      </c>
      <c r="R4" s="40">
        <f t="shared" si="1"/>
        <v>8.3333333333333329E-2</v>
      </c>
      <c r="S4" s="40">
        <f t="shared" si="1"/>
        <v>8.3333333333333329E-2</v>
      </c>
      <c r="T4" s="40">
        <f t="shared" si="1"/>
        <v>8.3333333333333329E-2</v>
      </c>
      <c r="U4" s="40">
        <f t="shared" si="1"/>
        <v>8.3333333333333329E-2</v>
      </c>
      <c r="V4" s="40">
        <f t="shared" si="1"/>
        <v>8.3333333333333329E-2</v>
      </c>
      <c r="W4" s="40">
        <f t="shared" si="1"/>
        <v>8.3333333333333329E-2</v>
      </c>
      <c r="X4" s="40">
        <f t="shared" si="1"/>
        <v>8.3333333333333329E-2</v>
      </c>
      <c r="Y4" s="40">
        <f t="shared" si="1"/>
        <v>8.3333333333333329E-2</v>
      </c>
      <c r="Z4" s="40">
        <f t="shared" si="1"/>
        <v>8.3333333333333329E-2</v>
      </c>
      <c r="AA4" s="40">
        <f>100%-SUM(P4:Z4)</f>
        <v>8.3333333333333259E-2</v>
      </c>
      <c r="AB4" s="77">
        <f>SUM(P4:AA4)</f>
        <v>1</v>
      </c>
      <c r="AC4" s="40">
        <f>100%/12</f>
        <v>8.3333333333333329E-2</v>
      </c>
      <c r="AD4" s="40">
        <f t="shared" ref="AD4:AM4" si="2">100%/12</f>
        <v>8.3333333333333329E-2</v>
      </c>
      <c r="AE4" s="40">
        <f t="shared" si="2"/>
        <v>8.3333333333333329E-2</v>
      </c>
      <c r="AF4" s="40">
        <f t="shared" si="2"/>
        <v>8.3333333333333329E-2</v>
      </c>
      <c r="AG4" s="40">
        <f t="shared" si="2"/>
        <v>8.3333333333333329E-2</v>
      </c>
      <c r="AH4" s="40">
        <f t="shared" si="2"/>
        <v>8.3333333333333329E-2</v>
      </c>
      <c r="AI4" s="40">
        <f t="shared" si="2"/>
        <v>8.3333333333333329E-2</v>
      </c>
      <c r="AJ4" s="40">
        <f t="shared" si="2"/>
        <v>8.3333333333333329E-2</v>
      </c>
      <c r="AK4" s="40">
        <f t="shared" si="2"/>
        <v>8.3333333333333329E-2</v>
      </c>
      <c r="AL4" s="40">
        <f t="shared" si="2"/>
        <v>8.3333333333333329E-2</v>
      </c>
      <c r="AM4" s="40">
        <f t="shared" si="2"/>
        <v>8.3333333333333329E-2</v>
      </c>
      <c r="AN4" s="40">
        <f>100%-SUM(AC4:AM4)</f>
        <v>8.3333333333333259E-2</v>
      </c>
      <c r="AO4" s="77">
        <f>SUM(AC4:AN4)</f>
        <v>1</v>
      </c>
      <c r="AP4" s="40">
        <f>100%/12</f>
        <v>8.3333333333333329E-2</v>
      </c>
      <c r="AQ4" s="40">
        <f t="shared" ref="AQ4:AZ4" si="3">100%/12</f>
        <v>8.3333333333333329E-2</v>
      </c>
      <c r="AR4" s="40">
        <f t="shared" si="3"/>
        <v>8.3333333333333329E-2</v>
      </c>
      <c r="AS4" s="40">
        <f t="shared" si="3"/>
        <v>8.3333333333333329E-2</v>
      </c>
      <c r="AT4" s="40">
        <f t="shared" si="3"/>
        <v>8.3333333333333329E-2</v>
      </c>
      <c r="AU4" s="40">
        <f t="shared" si="3"/>
        <v>8.3333333333333329E-2</v>
      </c>
      <c r="AV4" s="40">
        <f t="shared" si="3"/>
        <v>8.3333333333333329E-2</v>
      </c>
      <c r="AW4" s="40">
        <f t="shared" si="3"/>
        <v>8.3333333333333329E-2</v>
      </c>
      <c r="AX4" s="40">
        <f t="shared" si="3"/>
        <v>8.3333333333333329E-2</v>
      </c>
      <c r="AY4" s="40">
        <f t="shared" si="3"/>
        <v>8.3333333333333329E-2</v>
      </c>
      <c r="AZ4" s="40">
        <f t="shared" si="3"/>
        <v>8.3333333333333329E-2</v>
      </c>
      <c r="BA4" s="40">
        <f>100%-SUM(AP4:AZ4)</f>
        <v>8.3333333333333259E-2</v>
      </c>
      <c r="BB4" s="77">
        <f>SUM(AP4:BA4)</f>
        <v>1</v>
      </c>
      <c r="BC4" s="40">
        <f>100%/12</f>
        <v>8.3333333333333329E-2</v>
      </c>
      <c r="BD4" s="40">
        <f t="shared" ref="BD4:BM4" si="4">100%/12</f>
        <v>8.3333333333333329E-2</v>
      </c>
      <c r="BE4" s="40">
        <f t="shared" si="4"/>
        <v>8.3333333333333329E-2</v>
      </c>
      <c r="BF4" s="40">
        <f t="shared" si="4"/>
        <v>8.3333333333333329E-2</v>
      </c>
      <c r="BG4" s="40">
        <f t="shared" si="4"/>
        <v>8.3333333333333329E-2</v>
      </c>
      <c r="BH4" s="40">
        <f t="shared" si="4"/>
        <v>8.3333333333333329E-2</v>
      </c>
      <c r="BI4" s="40">
        <f t="shared" si="4"/>
        <v>8.3333333333333329E-2</v>
      </c>
      <c r="BJ4" s="40">
        <f t="shared" si="4"/>
        <v>8.3333333333333329E-2</v>
      </c>
      <c r="BK4" s="40">
        <f t="shared" si="4"/>
        <v>8.3333333333333329E-2</v>
      </c>
      <c r="BL4" s="40">
        <f t="shared" si="4"/>
        <v>8.3333333333333329E-2</v>
      </c>
      <c r="BM4" s="40">
        <f t="shared" si="4"/>
        <v>8.3333333333333329E-2</v>
      </c>
      <c r="BN4" s="40">
        <f>100%-SUM(BC4:BM4)</f>
        <v>8.3333333333333259E-2</v>
      </c>
      <c r="BO4" s="77">
        <f>SUM(BC4:BN4)</f>
        <v>1</v>
      </c>
    </row>
    <row r="5" spans="1:67" s="65" customFormat="1">
      <c r="A5" s="76" t="s">
        <v>13</v>
      </c>
      <c r="C5" s="65" t="e">
        <f>O5</f>
        <v>#REF!</v>
      </c>
      <c r="D5" s="65" t="e">
        <f>O5</f>
        <v>#REF!</v>
      </c>
      <c r="E5" s="65" t="e">
        <f>O5</f>
        <v>#REF!</v>
      </c>
      <c r="F5" s="65" t="e">
        <f>O5</f>
        <v>#REF!</v>
      </c>
      <c r="G5" s="65" t="e">
        <f>O5</f>
        <v>#REF!</v>
      </c>
      <c r="H5" s="65" t="e">
        <f>O5</f>
        <v>#REF!</v>
      </c>
      <c r="I5" s="65" t="e">
        <f>O5</f>
        <v>#REF!</v>
      </c>
      <c r="J5" s="65" t="e">
        <f>O5</f>
        <v>#REF!</v>
      </c>
      <c r="K5" s="65" t="e">
        <f>O5</f>
        <v>#REF!</v>
      </c>
      <c r="L5" s="65" t="e">
        <f>O5</f>
        <v>#REF!</v>
      </c>
      <c r="M5" s="65" t="e">
        <f>O5</f>
        <v>#REF!</v>
      </c>
      <c r="N5" s="65" t="e">
        <f>O5</f>
        <v>#REF!</v>
      </c>
      <c r="O5" s="67" t="e">
        <f>#REF!</f>
        <v>#REF!</v>
      </c>
      <c r="P5" s="65" t="e">
        <f>AB5</f>
        <v>#REF!</v>
      </c>
      <c r="Q5" s="65" t="e">
        <f>AB5</f>
        <v>#REF!</v>
      </c>
      <c r="R5" s="65" t="e">
        <f>AB5</f>
        <v>#REF!</v>
      </c>
      <c r="S5" s="65" t="e">
        <f>AB5</f>
        <v>#REF!</v>
      </c>
      <c r="T5" s="65" t="e">
        <f>AB5</f>
        <v>#REF!</v>
      </c>
      <c r="U5" s="65" t="e">
        <f>AB5</f>
        <v>#REF!</v>
      </c>
      <c r="V5" s="65" t="e">
        <f>AB5</f>
        <v>#REF!</v>
      </c>
      <c r="W5" s="65" t="e">
        <f>AB5</f>
        <v>#REF!</v>
      </c>
      <c r="X5" s="65" t="e">
        <f>AB5</f>
        <v>#REF!</v>
      </c>
      <c r="Y5" s="65" t="e">
        <f>AB5</f>
        <v>#REF!</v>
      </c>
      <c r="Z5" s="65" t="e">
        <f>AB5</f>
        <v>#REF!</v>
      </c>
      <c r="AA5" s="65" t="e">
        <f>AB5</f>
        <v>#REF!</v>
      </c>
      <c r="AB5" s="67" t="e">
        <f>#REF!</f>
        <v>#REF!</v>
      </c>
      <c r="AC5" s="65" t="e">
        <f>AO5</f>
        <v>#REF!</v>
      </c>
      <c r="AD5" s="65" t="e">
        <f>AO5</f>
        <v>#REF!</v>
      </c>
      <c r="AE5" s="65" t="e">
        <f>AO5</f>
        <v>#REF!</v>
      </c>
      <c r="AF5" s="65" t="e">
        <f>AO5</f>
        <v>#REF!</v>
      </c>
      <c r="AG5" s="65" t="e">
        <f>AO5</f>
        <v>#REF!</v>
      </c>
      <c r="AH5" s="65" t="e">
        <f>AO5</f>
        <v>#REF!</v>
      </c>
      <c r="AI5" s="65" t="e">
        <f>AO5</f>
        <v>#REF!</v>
      </c>
      <c r="AJ5" s="65" t="e">
        <f>AO5</f>
        <v>#REF!</v>
      </c>
      <c r="AK5" s="65" t="e">
        <f>AO5</f>
        <v>#REF!</v>
      </c>
      <c r="AL5" s="65" t="e">
        <f>AO5</f>
        <v>#REF!</v>
      </c>
      <c r="AM5" s="65" t="e">
        <f>AO5</f>
        <v>#REF!</v>
      </c>
      <c r="AN5" s="65" t="e">
        <f>AO5</f>
        <v>#REF!</v>
      </c>
      <c r="AO5" s="67" t="e">
        <f>#REF!</f>
        <v>#REF!</v>
      </c>
      <c r="AP5" s="65" t="e">
        <f>BB5</f>
        <v>#REF!</v>
      </c>
      <c r="AQ5" s="65" t="e">
        <f>BB5</f>
        <v>#REF!</v>
      </c>
      <c r="AR5" s="65" t="e">
        <f>BB5</f>
        <v>#REF!</v>
      </c>
      <c r="AS5" s="65" t="e">
        <f>BB5</f>
        <v>#REF!</v>
      </c>
      <c r="AT5" s="65" t="e">
        <f>BB5</f>
        <v>#REF!</v>
      </c>
      <c r="AU5" s="65" t="e">
        <f>BB5</f>
        <v>#REF!</v>
      </c>
      <c r="AV5" s="65" t="e">
        <f>BB5</f>
        <v>#REF!</v>
      </c>
      <c r="AW5" s="65" t="e">
        <f>BB5</f>
        <v>#REF!</v>
      </c>
      <c r="AX5" s="65" t="e">
        <f>BB5</f>
        <v>#REF!</v>
      </c>
      <c r="AY5" s="65" t="e">
        <f>BB5</f>
        <v>#REF!</v>
      </c>
      <c r="AZ5" s="65" t="e">
        <f>BB5</f>
        <v>#REF!</v>
      </c>
      <c r="BA5" s="65" t="e">
        <f>BB5</f>
        <v>#REF!</v>
      </c>
      <c r="BB5" s="67" t="e">
        <f>#REF!</f>
        <v>#REF!</v>
      </c>
      <c r="BC5" s="65" t="e">
        <f>BO5</f>
        <v>#REF!</v>
      </c>
      <c r="BD5" s="65" t="e">
        <f>BO5</f>
        <v>#REF!</v>
      </c>
      <c r="BE5" s="65" t="e">
        <f>BO5</f>
        <v>#REF!</v>
      </c>
      <c r="BF5" s="65" t="e">
        <f>BO5</f>
        <v>#REF!</v>
      </c>
      <c r="BG5" s="65" t="e">
        <f>BO5</f>
        <v>#REF!</v>
      </c>
      <c r="BH5" s="65" t="e">
        <f>BO5</f>
        <v>#REF!</v>
      </c>
      <c r="BI5" s="65" t="e">
        <f>BO5</f>
        <v>#REF!</v>
      </c>
      <c r="BJ5" s="65" t="e">
        <f>BO5</f>
        <v>#REF!</v>
      </c>
      <c r="BK5" s="65" t="e">
        <f>BO5</f>
        <v>#REF!</v>
      </c>
      <c r="BL5" s="65" t="e">
        <f>BO5</f>
        <v>#REF!</v>
      </c>
      <c r="BM5" s="65" t="e">
        <f>BO5</f>
        <v>#REF!</v>
      </c>
      <c r="BN5" s="65" t="e">
        <f>BO5</f>
        <v>#REF!</v>
      </c>
      <c r="BO5" s="67" t="e">
        <f>#REF!</f>
        <v>#REF!</v>
      </c>
    </row>
    <row r="6" spans="1:67" s="3" customFormat="1">
      <c r="A6" s="3" t="s">
        <v>14</v>
      </c>
      <c r="C6" s="3" t="e">
        <f>C3*C5</f>
        <v>#REF!</v>
      </c>
      <c r="D6" s="3" t="e">
        <f t="shared" ref="D6:N6" si="5">D3*D5</f>
        <v>#REF!</v>
      </c>
      <c r="E6" s="3" t="e">
        <f t="shared" si="5"/>
        <v>#REF!</v>
      </c>
      <c r="F6" s="3" t="e">
        <f t="shared" si="5"/>
        <v>#REF!</v>
      </c>
      <c r="G6" s="3" t="e">
        <f t="shared" si="5"/>
        <v>#REF!</v>
      </c>
      <c r="H6" s="3" t="e">
        <f t="shared" si="5"/>
        <v>#REF!</v>
      </c>
      <c r="I6" s="3" t="e">
        <f t="shared" si="5"/>
        <v>#REF!</v>
      </c>
      <c r="J6" s="3" t="e">
        <f t="shared" si="5"/>
        <v>#REF!</v>
      </c>
      <c r="K6" s="3" t="e">
        <f t="shared" si="5"/>
        <v>#REF!</v>
      </c>
      <c r="L6" s="3" t="e">
        <f t="shared" si="5"/>
        <v>#REF!</v>
      </c>
      <c r="M6" s="3" t="e">
        <f t="shared" si="5"/>
        <v>#REF!</v>
      </c>
      <c r="N6" s="3" t="e">
        <f t="shared" si="5"/>
        <v>#REF!</v>
      </c>
      <c r="O6" s="63" t="e">
        <f>SUM(C6:N6)</f>
        <v>#REF!</v>
      </c>
      <c r="P6" s="3" t="e">
        <f>P3*P5</f>
        <v>#REF!</v>
      </c>
      <c r="Q6" s="3" t="e">
        <f t="shared" ref="Q6" si="6">Q3*Q5</f>
        <v>#REF!</v>
      </c>
      <c r="R6" s="3" t="e">
        <f t="shared" ref="R6" si="7">R3*R5</f>
        <v>#REF!</v>
      </c>
      <c r="S6" s="3" t="e">
        <f t="shared" ref="S6" si="8">S3*S5</f>
        <v>#REF!</v>
      </c>
      <c r="T6" s="3" t="e">
        <f t="shared" ref="T6" si="9">T3*T5</f>
        <v>#REF!</v>
      </c>
      <c r="U6" s="3" t="e">
        <f t="shared" ref="U6" si="10">U3*U5</f>
        <v>#REF!</v>
      </c>
      <c r="V6" s="3" t="e">
        <f t="shared" ref="V6" si="11">V3*V5</f>
        <v>#REF!</v>
      </c>
      <c r="W6" s="3" t="e">
        <f t="shared" ref="W6" si="12">W3*W5</f>
        <v>#REF!</v>
      </c>
      <c r="X6" s="3" t="e">
        <f t="shared" ref="X6" si="13">X3*X5</f>
        <v>#REF!</v>
      </c>
      <c r="Y6" s="3" t="e">
        <f t="shared" ref="Y6" si="14">Y3*Y5</f>
        <v>#REF!</v>
      </c>
      <c r="Z6" s="3" t="e">
        <f t="shared" ref="Z6" si="15">Z3*Z5</f>
        <v>#REF!</v>
      </c>
      <c r="AA6" s="3" t="e">
        <f t="shared" ref="AA6" si="16">AA3*AA5</f>
        <v>#REF!</v>
      </c>
      <c r="AB6" s="63" t="e">
        <f>SUM(P6:AA6)</f>
        <v>#REF!</v>
      </c>
      <c r="AC6" s="3" t="e">
        <f>AC3*AC5</f>
        <v>#REF!</v>
      </c>
      <c r="AD6" s="3" t="e">
        <f t="shared" ref="AD6" si="17">AD3*AD5</f>
        <v>#REF!</v>
      </c>
      <c r="AE6" s="3" t="e">
        <f t="shared" ref="AE6" si="18">AE3*AE5</f>
        <v>#REF!</v>
      </c>
      <c r="AF6" s="3" t="e">
        <f t="shared" ref="AF6" si="19">AF3*AF5</f>
        <v>#REF!</v>
      </c>
      <c r="AG6" s="3" t="e">
        <f t="shared" ref="AG6" si="20">AG3*AG5</f>
        <v>#REF!</v>
      </c>
      <c r="AH6" s="3" t="e">
        <f t="shared" ref="AH6" si="21">AH3*AH5</f>
        <v>#REF!</v>
      </c>
      <c r="AI6" s="3" t="e">
        <f t="shared" ref="AI6" si="22">AI3*AI5</f>
        <v>#REF!</v>
      </c>
      <c r="AJ6" s="3" t="e">
        <f t="shared" ref="AJ6" si="23">AJ3*AJ5</f>
        <v>#REF!</v>
      </c>
      <c r="AK6" s="3" t="e">
        <f t="shared" ref="AK6" si="24">AK3*AK5</f>
        <v>#REF!</v>
      </c>
      <c r="AL6" s="3" t="e">
        <f t="shared" ref="AL6" si="25">AL3*AL5</f>
        <v>#REF!</v>
      </c>
      <c r="AM6" s="3" t="e">
        <f t="shared" ref="AM6" si="26">AM3*AM5</f>
        <v>#REF!</v>
      </c>
      <c r="AN6" s="3" t="e">
        <f t="shared" ref="AN6" si="27">AN3*AN5</f>
        <v>#REF!</v>
      </c>
      <c r="AO6" s="63" t="e">
        <f>SUM(AC6:AN6)</f>
        <v>#REF!</v>
      </c>
      <c r="AP6" s="3" t="e">
        <f>AP3*AP5</f>
        <v>#REF!</v>
      </c>
      <c r="AQ6" s="3" t="e">
        <f t="shared" ref="AQ6" si="28">AQ3*AQ5</f>
        <v>#REF!</v>
      </c>
      <c r="AR6" s="3" t="e">
        <f t="shared" ref="AR6" si="29">AR3*AR5</f>
        <v>#REF!</v>
      </c>
      <c r="AS6" s="3" t="e">
        <f t="shared" ref="AS6" si="30">AS3*AS5</f>
        <v>#REF!</v>
      </c>
      <c r="AT6" s="3" t="e">
        <f t="shared" ref="AT6" si="31">AT3*AT5</f>
        <v>#REF!</v>
      </c>
      <c r="AU6" s="3" t="e">
        <f t="shared" ref="AU6" si="32">AU3*AU5</f>
        <v>#REF!</v>
      </c>
      <c r="AV6" s="3" t="e">
        <f t="shared" ref="AV6" si="33">AV3*AV5</f>
        <v>#REF!</v>
      </c>
      <c r="AW6" s="3" t="e">
        <f t="shared" ref="AW6" si="34">AW3*AW5</f>
        <v>#REF!</v>
      </c>
      <c r="AX6" s="3" t="e">
        <f t="shared" ref="AX6" si="35">AX3*AX5</f>
        <v>#REF!</v>
      </c>
      <c r="AY6" s="3" t="e">
        <f t="shared" ref="AY6" si="36">AY3*AY5</f>
        <v>#REF!</v>
      </c>
      <c r="AZ6" s="3" t="e">
        <f t="shared" ref="AZ6" si="37">AZ3*AZ5</f>
        <v>#REF!</v>
      </c>
      <c r="BA6" s="3" t="e">
        <f t="shared" ref="BA6" si="38">BA3*BA5</f>
        <v>#REF!</v>
      </c>
      <c r="BB6" s="63" t="e">
        <f>SUM(AP6:BA6)</f>
        <v>#REF!</v>
      </c>
      <c r="BC6" s="3" t="e">
        <f>BC3*BC5</f>
        <v>#REF!</v>
      </c>
      <c r="BD6" s="3" t="e">
        <f t="shared" ref="BD6" si="39">BD3*BD5</f>
        <v>#REF!</v>
      </c>
      <c r="BE6" s="3" t="e">
        <f t="shared" ref="BE6" si="40">BE3*BE5</f>
        <v>#REF!</v>
      </c>
      <c r="BF6" s="3" t="e">
        <f t="shared" ref="BF6" si="41">BF3*BF5</f>
        <v>#REF!</v>
      </c>
      <c r="BG6" s="3" t="e">
        <f t="shared" ref="BG6" si="42">BG3*BG5</f>
        <v>#REF!</v>
      </c>
      <c r="BH6" s="3" t="e">
        <f t="shared" ref="BH6" si="43">BH3*BH5</f>
        <v>#REF!</v>
      </c>
      <c r="BI6" s="3" t="e">
        <f t="shared" ref="BI6" si="44">BI3*BI5</f>
        <v>#REF!</v>
      </c>
      <c r="BJ6" s="3" t="e">
        <f t="shared" ref="BJ6" si="45">BJ3*BJ5</f>
        <v>#REF!</v>
      </c>
      <c r="BK6" s="3" t="e">
        <f t="shared" ref="BK6" si="46">BK3*BK5</f>
        <v>#REF!</v>
      </c>
      <c r="BL6" s="3" t="e">
        <f t="shared" ref="BL6" si="47">BL3*BL5</f>
        <v>#REF!</v>
      </c>
      <c r="BM6" s="3" t="e">
        <f t="shared" ref="BM6" si="48">BM3*BM5</f>
        <v>#REF!</v>
      </c>
      <c r="BN6" s="3" t="e">
        <f t="shared" ref="BN6" si="49">BN3*BN5</f>
        <v>#REF!</v>
      </c>
      <c r="BO6" s="63" t="e">
        <f>SUM(BC6:BN6)</f>
        <v>#REF!</v>
      </c>
    </row>
    <row r="7" spans="1:67" s="65" customFormat="1">
      <c r="A7" s="76" t="s">
        <v>15</v>
      </c>
      <c r="C7" s="65" t="e">
        <f>O7</f>
        <v>#REF!</v>
      </c>
      <c r="D7" s="65" t="e">
        <f>O7</f>
        <v>#REF!</v>
      </c>
      <c r="E7" s="65" t="e">
        <f>O7</f>
        <v>#REF!</v>
      </c>
      <c r="F7" s="65" t="e">
        <f>O7</f>
        <v>#REF!</v>
      </c>
      <c r="G7" s="65" t="e">
        <f>O7</f>
        <v>#REF!</v>
      </c>
      <c r="H7" s="65" t="e">
        <f>O7</f>
        <v>#REF!</v>
      </c>
      <c r="I7" s="65" t="e">
        <f>O7</f>
        <v>#REF!</v>
      </c>
      <c r="J7" s="65" t="e">
        <f>O7</f>
        <v>#REF!</v>
      </c>
      <c r="K7" s="65" t="e">
        <f>O7</f>
        <v>#REF!</v>
      </c>
      <c r="L7" s="65" t="e">
        <f>O7</f>
        <v>#REF!</v>
      </c>
      <c r="M7" s="65" t="e">
        <f>O7</f>
        <v>#REF!</v>
      </c>
      <c r="N7" s="65" t="e">
        <f>O7</f>
        <v>#REF!</v>
      </c>
      <c r="O7" s="67" t="e">
        <f>#REF!</f>
        <v>#REF!</v>
      </c>
      <c r="P7" s="65" t="e">
        <f>AB7</f>
        <v>#REF!</v>
      </c>
      <c r="Q7" s="65" t="e">
        <f>AB7</f>
        <v>#REF!</v>
      </c>
      <c r="R7" s="65" t="e">
        <f>AB7</f>
        <v>#REF!</v>
      </c>
      <c r="S7" s="65" t="e">
        <f>AB7</f>
        <v>#REF!</v>
      </c>
      <c r="T7" s="65" t="e">
        <f>AB7</f>
        <v>#REF!</v>
      </c>
      <c r="U7" s="65" t="e">
        <f>AB7</f>
        <v>#REF!</v>
      </c>
      <c r="V7" s="65" t="e">
        <f>AB7</f>
        <v>#REF!</v>
      </c>
      <c r="W7" s="65" t="e">
        <f>AB7</f>
        <v>#REF!</v>
      </c>
      <c r="X7" s="65" t="e">
        <f>AB7</f>
        <v>#REF!</v>
      </c>
      <c r="Y7" s="65" t="e">
        <f>AB7</f>
        <v>#REF!</v>
      </c>
      <c r="Z7" s="65" t="e">
        <f>AB7</f>
        <v>#REF!</v>
      </c>
      <c r="AA7" s="65" t="e">
        <f>AB7</f>
        <v>#REF!</v>
      </c>
      <c r="AB7" s="67" t="e">
        <f>#REF!</f>
        <v>#REF!</v>
      </c>
      <c r="AC7" s="65" t="e">
        <f>AO7</f>
        <v>#REF!</v>
      </c>
      <c r="AD7" s="65" t="e">
        <f>AO7</f>
        <v>#REF!</v>
      </c>
      <c r="AE7" s="65" t="e">
        <f>AO7</f>
        <v>#REF!</v>
      </c>
      <c r="AF7" s="65" t="e">
        <f>AO7</f>
        <v>#REF!</v>
      </c>
      <c r="AG7" s="65" t="e">
        <f>AO7</f>
        <v>#REF!</v>
      </c>
      <c r="AH7" s="65" t="e">
        <f>AO7</f>
        <v>#REF!</v>
      </c>
      <c r="AI7" s="65" t="e">
        <f>AO7</f>
        <v>#REF!</v>
      </c>
      <c r="AJ7" s="65" t="e">
        <f>AO7</f>
        <v>#REF!</v>
      </c>
      <c r="AK7" s="65" t="e">
        <f>AO7</f>
        <v>#REF!</v>
      </c>
      <c r="AL7" s="65" t="e">
        <f>AO7</f>
        <v>#REF!</v>
      </c>
      <c r="AM7" s="65" t="e">
        <f>AO7</f>
        <v>#REF!</v>
      </c>
      <c r="AN7" s="65" t="e">
        <f>AO7</f>
        <v>#REF!</v>
      </c>
      <c r="AO7" s="67" t="e">
        <f>#REF!</f>
        <v>#REF!</v>
      </c>
      <c r="AP7" s="65" t="e">
        <f>BB7</f>
        <v>#REF!</v>
      </c>
      <c r="AQ7" s="65" t="e">
        <f>BB7</f>
        <v>#REF!</v>
      </c>
      <c r="AR7" s="65" t="e">
        <f>BB7</f>
        <v>#REF!</v>
      </c>
      <c r="AS7" s="65" t="e">
        <f>BB7</f>
        <v>#REF!</v>
      </c>
      <c r="AT7" s="65" t="e">
        <f>BB7</f>
        <v>#REF!</v>
      </c>
      <c r="AU7" s="65" t="e">
        <f>BB7</f>
        <v>#REF!</v>
      </c>
      <c r="AV7" s="65" t="e">
        <f>BB7</f>
        <v>#REF!</v>
      </c>
      <c r="AW7" s="65" t="e">
        <f>BB7</f>
        <v>#REF!</v>
      </c>
      <c r="AX7" s="65" t="e">
        <f>BB7</f>
        <v>#REF!</v>
      </c>
      <c r="AY7" s="65" t="e">
        <f>BB7</f>
        <v>#REF!</v>
      </c>
      <c r="AZ7" s="65" t="e">
        <f>BB7</f>
        <v>#REF!</v>
      </c>
      <c r="BA7" s="65" t="e">
        <f>BB7</f>
        <v>#REF!</v>
      </c>
      <c r="BB7" s="67" t="e">
        <f>#REF!</f>
        <v>#REF!</v>
      </c>
      <c r="BC7" s="65" t="e">
        <f>BO7</f>
        <v>#REF!</v>
      </c>
      <c r="BD7" s="65" t="e">
        <f>BO7</f>
        <v>#REF!</v>
      </c>
      <c r="BE7" s="65" t="e">
        <f>BO7</f>
        <v>#REF!</v>
      </c>
      <c r="BF7" s="65" t="e">
        <f>BO7</f>
        <v>#REF!</v>
      </c>
      <c r="BG7" s="65" t="e">
        <f>BO7</f>
        <v>#REF!</v>
      </c>
      <c r="BH7" s="65" t="e">
        <f>BO7</f>
        <v>#REF!</v>
      </c>
      <c r="BI7" s="65" t="e">
        <f>BO7</f>
        <v>#REF!</v>
      </c>
      <c r="BJ7" s="65" t="e">
        <f>BO7</f>
        <v>#REF!</v>
      </c>
      <c r="BK7" s="65" t="e">
        <f>BO7</f>
        <v>#REF!</v>
      </c>
      <c r="BL7" s="65" t="e">
        <f>BO7</f>
        <v>#REF!</v>
      </c>
      <c r="BM7" s="65" t="e">
        <f>BO7</f>
        <v>#REF!</v>
      </c>
      <c r="BN7" s="65" t="e">
        <f>BO7</f>
        <v>#REF!</v>
      </c>
      <c r="BO7" s="67" t="e">
        <f>#REF!</f>
        <v>#REF!</v>
      </c>
    </row>
    <row r="8" spans="1:67" s="3" customFormat="1">
      <c r="A8" s="3" t="s">
        <v>16</v>
      </c>
      <c r="C8" s="3" t="e">
        <f>C6*C7</f>
        <v>#REF!</v>
      </c>
      <c r="D8" s="3" t="e">
        <f t="shared" ref="D8:N8" si="50">D6*D7</f>
        <v>#REF!</v>
      </c>
      <c r="E8" s="3" t="e">
        <f t="shared" si="50"/>
        <v>#REF!</v>
      </c>
      <c r="F8" s="3" t="e">
        <f t="shared" si="50"/>
        <v>#REF!</v>
      </c>
      <c r="G8" s="3" t="e">
        <f t="shared" si="50"/>
        <v>#REF!</v>
      </c>
      <c r="H8" s="3" t="e">
        <f t="shared" si="50"/>
        <v>#REF!</v>
      </c>
      <c r="I8" s="3" t="e">
        <f t="shared" si="50"/>
        <v>#REF!</v>
      </c>
      <c r="J8" s="3" t="e">
        <f t="shared" si="50"/>
        <v>#REF!</v>
      </c>
      <c r="K8" s="3" t="e">
        <f t="shared" si="50"/>
        <v>#REF!</v>
      </c>
      <c r="L8" s="3" t="e">
        <f t="shared" si="50"/>
        <v>#REF!</v>
      </c>
      <c r="M8" s="3" t="e">
        <f t="shared" si="50"/>
        <v>#REF!</v>
      </c>
      <c r="N8" s="3" t="e">
        <f t="shared" si="50"/>
        <v>#REF!</v>
      </c>
      <c r="O8" s="63" t="e">
        <f>SUM(C8:N8)</f>
        <v>#REF!</v>
      </c>
      <c r="P8" s="3" t="e">
        <f>P6*P7</f>
        <v>#REF!</v>
      </c>
      <c r="Q8" s="3" t="e">
        <f t="shared" ref="Q8" si="51">Q6*Q7</f>
        <v>#REF!</v>
      </c>
      <c r="R8" s="3" t="e">
        <f t="shared" ref="R8" si="52">R6*R7</f>
        <v>#REF!</v>
      </c>
      <c r="S8" s="3" t="e">
        <f t="shared" ref="S8" si="53">S6*S7</f>
        <v>#REF!</v>
      </c>
      <c r="T8" s="3" t="e">
        <f t="shared" ref="T8" si="54">T6*T7</f>
        <v>#REF!</v>
      </c>
      <c r="U8" s="3" t="e">
        <f t="shared" ref="U8" si="55">U6*U7</f>
        <v>#REF!</v>
      </c>
      <c r="V8" s="3" t="e">
        <f t="shared" ref="V8" si="56">V6*V7</f>
        <v>#REF!</v>
      </c>
      <c r="W8" s="3" t="e">
        <f t="shared" ref="W8" si="57">W6*W7</f>
        <v>#REF!</v>
      </c>
      <c r="X8" s="3" t="e">
        <f t="shared" ref="X8" si="58">X6*X7</f>
        <v>#REF!</v>
      </c>
      <c r="Y8" s="3" t="e">
        <f t="shared" ref="Y8" si="59">Y6*Y7</f>
        <v>#REF!</v>
      </c>
      <c r="Z8" s="3" t="e">
        <f t="shared" ref="Z8" si="60">Z6*Z7</f>
        <v>#REF!</v>
      </c>
      <c r="AA8" s="3" t="e">
        <f t="shared" ref="AA8" si="61">AA6*AA7</f>
        <v>#REF!</v>
      </c>
      <c r="AB8" s="63" t="e">
        <f>SUM(P8:AA8)</f>
        <v>#REF!</v>
      </c>
      <c r="AC8" s="3" t="e">
        <f>AC6*AC7</f>
        <v>#REF!</v>
      </c>
      <c r="AD8" s="3" t="e">
        <f t="shared" ref="AD8" si="62">AD6*AD7</f>
        <v>#REF!</v>
      </c>
      <c r="AE8" s="3" t="e">
        <f t="shared" ref="AE8" si="63">AE6*AE7</f>
        <v>#REF!</v>
      </c>
      <c r="AF8" s="3" t="e">
        <f t="shared" ref="AF8" si="64">AF6*AF7</f>
        <v>#REF!</v>
      </c>
      <c r="AG8" s="3" t="e">
        <f t="shared" ref="AG8" si="65">AG6*AG7</f>
        <v>#REF!</v>
      </c>
      <c r="AH8" s="3" t="e">
        <f t="shared" ref="AH8" si="66">AH6*AH7</f>
        <v>#REF!</v>
      </c>
      <c r="AI8" s="3" t="e">
        <f t="shared" ref="AI8" si="67">AI6*AI7</f>
        <v>#REF!</v>
      </c>
      <c r="AJ8" s="3" t="e">
        <f t="shared" ref="AJ8" si="68">AJ6*AJ7</f>
        <v>#REF!</v>
      </c>
      <c r="AK8" s="3" t="e">
        <f t="shared" ref="AK8" si="69">AK6*AK7</f>
        <v>#REF!</v>
      </c>
      <c r="AL8" s="3" t="e">
        <f t="shared" ref="AL8" si="70">AL6*AL7</f>
        <v>#REF!</v>
      </c>
      <c r="AM8" s="3" t="e">
        <f t="shared" ref="AM8" si="71">AM6*AM7</f>
        <v>#REF!</v>
      </c>
      <c r="AN8" s="3" t="e">
        <f t="shared" ref="AN8" si="72">AN6*AN7</f>
        <v>#REF!</v>
      </c>
      <c r="AO8" s="63" t="e">
        <f>SUM(AC8:AN8)</f>
        <v>#REF!</v>
      </c>
      <c r="AP8" s="3" t="e">
        <f>AP6*AP7</f>
        <v>#REF!</v>
      </c>
      <c r="AQ8" s="3" t="e">
        <f t="shared" ref="AQ8" si="73">AQ6*AQ7</f>
        <v>#REF!</v>
      </c>
      <c r="AR8" s="3" t="e">
        <f t="shared" ref="AR8" si="74">AR6*AR7</f>
        <v>#REF!</v>
      </c>
      <c r="AS8" s="3" t="e">
        <f t="shared" ref="AS8" si="75">AS6*AS7</f>
        <v>#REF!</v>
      </c>
      <c r="AT8" s="3" t="e">
        <f t="shared" ref="AT8" si="76">AT6*AT7</f>
        <v>#REF!</v>
      </c>
      <c r="AU8" s="3" t="e">
        <f t="shared" ref="AU8" si="77">AU6*AU7</f>
        <v>#REF!</v>
      </c>
      <c r="AV8" s="3" t="e">
        <f t="shared" ref="AV8" si="78">AV6*AV7</f>
        <v>#REF!</v>
      </c>
      <c r="AW8" s="3" t="e">
        <f t="shared" ref="AW8" si="79">AW6*AW7</f>
        <v>#REF!</v>
      </c>
      <c r="AX8" s="3" t="e">
        <f t="shared" ref="AX8" si="80">AX6*AX7</f>
        <v>#REF!</v>
      </c>
      <c r="AY8" s="3" t="e">
        <f t="shared" ref="AY8" si="81">AY6*AY7</f>
        <v>#REF!</v>
      </c>
      <c r="AZ8" s="3" t="e">
        <f t="shared" ref="AZ8" si="82">AZ6*AZ7</f>
        <v>#REF!</v>
      </c>
      <c r="BA8" s="3" t="e">
        <f t="shared" ref="BA8" si="83">BA6*BA7</f>
        <v>#REF!</v>
      </c>
      <c r="BB8" s="63" t="e">
        <f>SUM(AP8:BA8)</f>
        <v>#REF!</v>
      </c>
      <c r="BC8" s="3" t="e">
        <f>BC6*BC7</f>
        <v>#REF!</v>
      </c>
      <c r="BD8" s="3" t="e">
        <f t="shared" ref="BD8" si="84">BD6*BD7</f>
        <v>#REF!</v>
      </c>
      <c r="BE8" s="3" t="e">
        <f t="shared" ref="BE8" si="85">BE6*BE7</f>
        <v>#REF!</v>
      </c>
      <c r="BF8" s="3" t="e">
        <f t="shared" ref="BF8" si="86">BF6*BF7</f>
        <v>#REF!</v>
      </c>
      <c r="BG8" s="3" t="e">
        <f t="shared" ref="BG8" si="87">BG6*BG7</f>
        <v>#REF!</v>
      </c>
      <c r="BH8" s="3" t="e">
        <f t="shared" ref="BH8" si="88">BH6*BH7</f>
        <v>#REF!</v>
      </c>
      <c r="BI8" s="3" t="e">
        <f t="shared" ref="BI8" si="89">BI6*BI7</f>
        <v>#REF!</v>
      </c>
      <c r="BJ8" s="3" t="e">
        <f t="shared" ref="BJ8" si="90">BJ6*BJ7</f>
        <v>#REF!</v>
      </c>
      <c r="BK8" s="3" t="e">
        <f t="shared" ref="BK8" si="91">BK6*BK7</f>
        <v>#REF!</v>
      </c>
      <c r="BL8" s="3" t="e">
        <f t="shared" ref="BL8" si="92">BL6*BL7</f>
        <v>#REF!</v>
      </c>
      <c r="BM8" s="3" t="e">
        <f t="shared" ref="BM8" si="93">BM6*BM7</f>
        <v>#REF!</v>
      </c>
      <c r="BN8" s="3" t="e">
        <f t="shared" ref="BN8" si="94">BN6*BN7</f>
        <v>#REF!</v>
      </c>
      <c r="BO8" s="63" t="e">
        <f>SUM(BC8:BN8)</f>
        <v>#REF!</v>
      </c>
    </row>
    <row r="9" spans="1:67" s="3" customFormat="1">
      <c r="A9" s="3" t="s">
        <v>17</v>
      </c>
      <c r="C9" s="3" t="e">
        <f>O9</f>
        <v>#REF!</v>
      </c>
      <c r="D9" s="3" t="e">
        <f>O9</f>
        <v>#REF!</v>
      </c>
      <c r="E9" s="3" t="e">
        <f>O9</f>
        <v>#REF!</v>
      </c>
      <c r="F9" s="3" t="e">
        <f>O9</f>
        <v>#REF!</v>
      </c>
      <c r="G9" s="3" t="e">
        <f>O9</f>
        <v>#REF!</v>
      </c>
      <c r="H9" s="3" t="e">
        <f>O9</f>
        <v>#REF!</v>
      </c>
      <c r="I9" s="3" t="e">
        <f>O9</f>
        <v>#REF!</v>
      </c>
      <c r="J9" s="3" t="e">
        <f>O9</f>
        <v>#REF!</v>
      </c>
      <c r="K9" s="3" t="e">
        <f>O9</f>
        <v>#REF!</v>
      </c>
      <c r="L9" s="3" t="e">
        <f>O9</f>
        <v>#REF!</v>
      </c>
      <c r="M9" s="3" t="e">
        <f>O9</f>
        <v>#REF!</v>
      </c>
      <c r="N9" s="3" t="e">
        <f>O9</f>
        <v>#REF!</v>
      </c>
      <c r="O9" s="66" t="e">
        <f>#REF!</f>
        <v>#REF!</v>
      </c>
      <c r="P9" s="3" t="e">
        <f>AB9</f>
        <v>#REF!</v>
      </c>
      <c r="Q9" s="3" t="e">
        <f>AB9</f>
        <v>#REF!</v>
      </c>
      <c r="R9" s="3" t="e">
        <f>AB9</f>
        <v>#REF!</v>
      </c>
      <c r="S9" s="3" t="e">
        <f>AB9</f>
        <v>#REF!</v>
      </c>
      <c r="T9" s="3" t="e">
        <f>AB9</f>
        <v>#REF!</v>
      </c>
      <c r="U9" s="3" t="e">
        <f>AB9</f>
        <v>#REF!</v>
      </c>
      <c r="V9" s="3" t="e">
        <f>AB9</f>
        <v>#REF!</v>
      </c>
      <c r="W9" s="3" t="e">
        <f>AB9</f>
        <v>#REF!</v>
      </c>
      <c r="X9" s="3" t="e">
        <f>AB9</f>
        <v>#REF!</v>
      </c>
      <c r="Y9" s="3" t="e">
        <f>AB9</f>
        <v>#REF!</v>
      </c>
      <c r="Z9" s="3" t="e">
        <f>AB9</f>
        <v>#REF!</v>
      </c>
      <c r="AA9" s="3" t="e">
        <f>AB9</f>
        <v>#REF!</v>
      </c>
      <c r="AB9" s="66" t="e">
        <f>#REF!</f>
        <v>#REF!</v>
      </c>
      <c r="AC9" s="3" t="e">
        <f>AO9</f>
        <v>#REF!</v>
      </c>
      <c r="AD9" s="3" t="e">
        <f>AO9</f>
        <v>#REF!</v>
      </c>
      <c r="AE9" s="3" t="e">
        <f>AO9</f>
        <v>#REF!</v>
      </c>
      <c r="AF9" s="3" t="e">
        <f>AO9</f>
        <v>#REF!</v>
      </c>
      <c r="AG9" s="3" t="e">
        <f>AO9</f>
        <v>#REF!</v>
      </c>
      <c r="AH9" s="3" t="e">
        <f>AO9</f>
        <v>#REF!</v>
      </c>
      <c r="AI9" s="3" t="e">
        <f>AO9</f>
        <v>#REF!</v>
      </c>
      <c r="AJ9" s="3" t="e">
        <f>AO9</f>
        <v>#REF!</v>
      </c>
      <c r="AK9" s="3" t="e">
        <f>AO9</f>
        <v>#REF!</v>
      </c>
      <c r="AL9" s="3" t="e">
        <f>AO9</f>
        <v>#REF!</v>
      </c>
      <c r="AM9" s="3" t="e">
        <f>AO9</f>
        <v>#REF!</v>
      </c>
      <c r="AN9" s="3" t="e">
        <f>AO9</f>
        <v>#REF!</v>
      </c>
      <c r="AO9" s="66" t="e">
        <f>#REF!</f>
        <v>#REF!</v>
      </c>
      <c r="AP9" s="3" t="e">
        <f>BB9</f>
        <v>#REF!</v>
      </c>
      <c r="AQ9" s="3" t="e">
        <f>BB9</f>
        <v>#REF!</v>
      </c>
      <c r="AR9" s="3" t="e">
        <f>BB9</f>
        <v>#REF!</v>
      </c>
      <c r="AS9" s="3" t="e">
        <f>BB9</f>
        <v>#REF!</v>
      </c>
      <c r="AT9" s="3" t="e">
        <f>BB9</f>
        <v>#REF!</v>
      </c>
      <c r="AU9" s="3" t="e">
        <f>BB9</f>
        <v>#REF!</v>
      </c>
      <c r="AV9" s="3" t="e">
        <f>BB9</f>
        <v>#REF!</v>
      </c>
      <c r="AW9" s="3" t="e">
        <f>BB9</f>
        <v>#REF!</v>
      </c>
      <c r="AX9" s="3" t="e">
        <f>BB9</f>
        <v>#REF!</v>
      </c>
      <c r="AY9" s="3" t="e">
        <f>BB9</f>
        <v>#REF!</v>
      </c>
      <c r="AZ9" s="3" t="e">
        <f>BB9</f>
        <v>#REF!</v>
      </c>
      <c r="BA9" s="3" t="e">
        <f>BB9</f>
        <v>#REF!</v>
      </c>
      <c r="BB9" s="66" t="e">
        <f>#REF!</f>
        <v>#REF!</v>
      </c>
      <c r="BC9" s="3" t="e">
        <f>BO9</f>
        <v>#REF!</v>
      </c>
      <c r="BD9" s="3" t="e">
        <f>BO9</f>
        <v>#REF!</v>
      </c>
      <c r="BE9" s="3" t="e">
        <f>BO9</f>
        <v>#REF!</v>
      </c>
      <c r="BF9" s="3" t="e">
        <f>BO9</f>
        <v>#REF!</v>
      </c>
      <c r="BG9" s="3" t="e">
        <f>BO9</f>
        <v>#REF!</v>
      </c>
      <c r="BH9" s="3" t="e">
        <f>BO9</f>
        <v>#REF!</v>
      </c>
      <c r="BI9" s="3" t="e">
        <f>BO9</f>
        <v>#REF!</v>
      </c>
      <c r="BJ9" s="3" t="e">
        <f>BO9</f>
        <v>#REF!</v>
      </c>
      <c r="BK9" s="3" t="e">
        <f>BO9</f>
        <v>#REF!</v>
      </c>
      <c r="BL9" s="3" t="e">
        <f>BO9</f>
        <v>#REF!</v>
      </c>
      <c r="BM9" s="3" t="e">
        <f>BO9</f>
        <v>#REF!</v>
      </c>
      <c r="BN9" s="3" t="e">
        <f>BO9</f>
        <v>#REF!</v>
      </c>
      <c r="BO9" s="66" t="e">
        <f>#REF!</f>
        <v>#REF!</v>
      </c>
    </row>
    <row r="10" spans="1:67" s="3" customFormat="1">
      <c r="A10" s="3" t="s">
        <v>108</v>
      </c>
      <c r="C10" s="3" t="e">
        <f>C8*C9/1000000</f>
        <v>#REF!</v>
      </c>
      <c r="D10" s="3" t="e">
        <f t="shared" ref="D10:N10" si="95">D8*D9/1000000</f>
        <v>#REF!</v>
      </c>
      <c r="E10" s="3" t="e">
        <f t="shared" si="95"/>
        <v>#REF!</v>
      </c>
      <c r="F10" s="3" t="e">
        <f t="shared" si="95"/>
        <v>#REF!</v>
      </c>
      <c r="G10" s="3" t="e">
        <f t="shared" si="95"/>
        <v>#REF!</v>
      </c>
      <c r="H10" s="3" t="e">
        <f t="shared" si="95"/>
        <v>#REF!</v>
      </c>
      <c r="I10" s="3" t="e">
        <f t="shared" si="95"/>
        <v>#REF!</v>
      </c>
      <c r="J10" s="3" t="e">
        <f t="shared" si="95"/>
        <v>#REF!</v>
      </c>
      <c r="K10" s="3" t="e">
        <f t="shared" si="95"/>
        <v>#REF!</v>
      </c>
      <c r="L10" s="3" t="e">
        <f t="shared" si="95"/>
        <v>#REF!</v>
      </c>
      <c r="M10" s="3" t="e">
        <f t="shared" si="95"/>
        <v>#REF!</v>
      </c>
      <c r="N10" s="3" t="e">
        <f t="shared" si="95"/>
        <v>#REF!</v>
      </c>
      <c r="O10" s="63" t="e">
        <f>SUM(C10:N10)</f>
        <v>#REF!</v>
      </c>
      <c r="P10" s="3" t="e">
        <f>P8*P9/1000000</f>
        <v>#REF!</v>
      </c>
      <c r="Q10" s="3" t="e">
        <f t="shared" ref="Q10" si="96">Q8*Q9/1000000</f>
        <v>#REF!</v>
      </c>
      <c r="R10" s="3" t="e">
        <f t="shared" ref="R10" si="97">R8*R9/1000000</f>
        <v>#REF!</v>
      </c>
      <c r="S10" s="3" t="e">
        <f t="shared" ref="S10" si="98">S8*S9/1000000</f>
        <v>#REF!</v>
      </c>
      <c r="T10" s="3" t="e">
        <f t="shared" ref="T10" si="99">T8*T9/1000000</f>
        <v>#REF!</v>
      </c>
      <c r="U10" s="3" t="e">
        <f t="shared" ref="U10" si="100">U8*U9/1000000</f>
        <v>#REF!</v>
      </c>
      <c r="V10" s="3" t="e">
        <f t="shared" ref="V10" si="101">V8*V9/1000000</f>
        <v>#REF!</v>
      </c>
      <c r="W10" s="3" t="e">
        <f t="shared" ref="W10" si="102">W8*W9/1000000</f>
        <v>#REF!</v>
      </c>
      <c r="X10" s="3" t="e">
        <f t="shared" ref="X10" si="103">X8*X9/1000000</f>
        <v>#REF!</v>
      </c>
      <c r="Y10" s="3" t="e">
        <f t="shared" ref="Y10" si="104">Y8*Y9/1000000</f>
        <v>#REF!</v>
      </c>
      <c r="Z10" s="3" t="e">
        <f t="shared" ref="Z10" si="105">Z8*Z9/1000000</f>
        <v>#REF!</v>
      </c>
      <c r="AA10" s="3" t="e">
        <f t="shared" ref="AA10" si="106">AA8*AA9/1000000</f>
        <v>#REF!</v>
      </c>
      <c r="AB10" s="63" t="e">
        <f>SUM(P10:AA10)</f>
        <v>#REF!</v>
      </c>
      <c r="AC10" s="3" t="e">
        <f>AC8*AC9/1000000</f>
        <v>#REF!</v>
      </c>
      <c r="AD10" s="3" t="e">
        <f t="shared" ref="AD10" si="107">AD8*AD9/1000000</f>
        <v>#REF!</v>
      </c>
      <c r="AE10" s="3" t="e">
        <f t="shared" ref="AE10" si="108">AE8*AE9/1000000</f>
        <v>#REF!</v>
      </c>
      <c r="AF10" s="3" t="e">
        <f t="shared" ref="AF10" si="109">AF8*AF9/1000000</f>
        <v>#REF!</v>
      </c>
      <c r="AG10" s="3" t="e">
        <f t="shared" ref="AG10" si="110">AG8*AG9/1000000</f>
        <v>#REF!</v>
      </c>
      <c r="AH10" s="3" t="e">
        <f t="shared" ref="AH10" si="111">AH8*AH9/1000000</f>
        <v>#REF!</v>
      </c>
      <c r="AI10" s="3" t="e">
        <f t="shared" ref="AI10" si="112">AI8*AI9/1000000</f>
        <v>#REF!</v>
      </c>
      <c r="AJ10" s="3" t="e">
        <f t="shared" ref="AJ10" si="113">AJ8*AJ9/1000000</f>
        <v>#REF!</v>
      </c>
      <c r="AK10" s="3" t="e">
        <f t="shared" ref="AK10" si="114">AK8*AK9/1000000</f>
        <v>#REF!</v>
      </c>
      <c r="AL10" s="3" t="e">
        <f t="shared" ref="AL10" si="115">AL8*AL9/1000000</f>
        <v>#REF!</v>
      </c>
      <c r="AM10" s="3" t="e">
        <f t="shared" ref="AM10" si="116">AM8*AM9/1000000</f>
        <v>#REF!</v>
      </c>
      <c r="AN10" s="3" t="e">
        <f t="shared" ref="AN10" si="117">AN8*AN9/1000000</f>
        <v>#REF!</v>
      </c>
      <c r="AO10" s="63" t="e">
        <f>SUM(AC10:AN10)</f>
        <v>#REF!</v>
      </c>
      <c r="AP10" s="3" t="e">
        <f>AP8*AP9/1000000</f>
        <v>#REF!</v>
      </c>
      <c r="AQ10" s="3" t="e">
        <f t="shared" ref="AQ10" si="118">AQ8*AQ9/1000000</f>
        <v>#REF!</v>
      </c>
      <c r="AR10" s="3" t="e">
        <f t="shared" ref="AR10" si="119">AR8*AR9/1000000</f>
        <v>#REF!</v>
      </c>
      <c r="AS10" s="3" t="e">
        <f t="shared" ref="AS10" si="120">AS8*AS9/1000000</f>
        <v>#REF!</v>
      </c>
      <c r="AT10" s="3" t="e">
        <f t="shared" ref="AT10" si="121">AT8*AT9/1000000</f>
        <v>#REF!</v>
      </c>
      <c r="AU10" s="3" t="e">
        <f t="shared" ref="AU10" si="122">AU8*AU9/1000000</f>
        <v>#REF!</v>
      </c>
      <c r="AV10" s="3" t="e">
        <f t="shared" ref="AV10" si="123">AV8*AV9/1000000</f>
        <v>#REF!</v>
      </c>
      <c r="AW10" s="3" t="e">
        <f t="shared" ref="AW10" si="124">AW8*AW9/1000000</f>
        <v>#REF!</v>
      </c>
      <c r="AX10" s="3" t="e">
        <f t="shared" ref="AX10" si="125">AX8*AX9/1000000</f>
        <v>#REF!</v>
      </c>
      <c r="AY10" s="3" t="e">
        <f t="shared" ref="AY10" si="126">AY8*AY9/1000000</f>
        <v>#REF!</v>
      </c>
      <c r="AZ10" s="3" t="e">
        <f t="shared" ref="AZ10" si="127">AZ8*AZ9/1000000</f>
        <v>#REF!</v>
      </c>
      <c r="BA10" s="3" t="e">
        <f t="shared" ref="BA10" si="128">BA8*BA9/1000000</f>
        <v>#REF!</v>
      </c>
      <c r="BB10" s="63" t="e">
        <f>SUM(AP10:BA10)</f>
        <v>#REF!</v>
      </c>
      <c r="BC10" s="3" t="e">
        <f>BC8*BC9/1000000</f>
        <v>#REF!</v>
      </c>
      <c r="BD10" s="3" t="e">
        <f t="shared" ref="BD10" si="129">BD8*BD9/1000000</f>
        <v>#REF!</v>
      </c>
      <c r="BE10" s="3" t="e">
        <f t="shared" ref="BE10" si="130">BE8*BE9/1000000</f>
        <v>#REF!</v>
      </c>
      <c r="BF10" s="3" t="e">
        <f t="shared" ref="BF10" si="131">BF8*BF9/1000000</f>
        <v>#REF!</v>
      </c>
      <c r="BG10" s="3" t="e">
        <f t="shared" ref="BG10" si="132">BG8*BG9/1000000</f>
        <v>#REF!</v>
      </c>
      <c r="BH10" s="3" t="e">
        <f t="shared" ref="BH10" si="133">BH8*BH9/1000000</f>
        <v>#REF!</v>
      </c>
      <c r="BI10" s="3" t="e">
        <f t="shared" ref="BI10" si="134">BI8*BI9/1000000</f>
        <v>#REF!</v>
      </c>
      <c r="BJ10" s="3" t="e">
        <f t="shared" ref="BJ10" si="135">BJ8*BJ9/1000000</f>
        <v>#REF!</v>
      </c>
      <c r="BK10" s="3" t="e">
        <f t="shared" ref="BK10" si="136">BK8*BK9/1000000</f>
        <v>#REF!</v>
      </c>
      <c r="BL10" s="3" t="e">
        <f t="shared" ref="BL10" si="137">BL8*BL9/1000000</f>
        <v>#REF!</v>
      </c>
      <c r="BM10" s="3" t="e">
        <f t="shared" ref="BM10" si="138">BM8*BM9/1000000</f>
        <v>#REF!</v>
      </c>
      <c r="BN10" s="3" t="e">
        <f t="shared" ref="BN10" si="139">BN8*BN9/1000000</f>
        <v>#REF!</v>
      </c>
      <c r="BO10" s="63" t="e">
        <f>SUM(BC10:BN10)</f>
        <v>#REF!</v>
      </c>
    </row>
    <row r="11" spans="1:67" s="68" customFormat="1">
      <c r="A11" s="68" t="s">
        <v>150</v>
      </c>
      <c r="C11" s="68">
        <f>O11</f>
        <v>-0.04</v>
      </c>
      <c r="D11" s="68">
        <f>O11</f>
        <v>-0.04</v>
      </c>
      <c r="E11" s="68">
        <f>O11</f>
        <v>-0.04</v>
      </c>
      <c r="F11" s="68">
        <f>O11</f>
        <v>-0.04</v>
      </c>
      <c r="G11" s="68">
        <f>O11</f>
        <v>-0.04</v>
      </c>
      <c r="H11" s="68">
        <f>O11</f>
        <v>-0.04</v>
      </c>
      <c r="I11" s="68">
        <f>O11</f>
        <v>-0.04</v>
      </c>
      <c r="J11" s="68">
        <f>O11</f>
        <v>-0.04</v>
      </c>
      <c r="K11" s="68">
        <f>O11</f>
        <v>-0.04</v>
      </c>
      <c r="L11" s="68">
        <f>O11</f>
        <v>-0.04</v>
      </c>
      <c r="M11" s="68">
        <f>O11</f>
        <v>-0.04</v>
      </c>
      <c r="N11" s="68">
        <f>O11</f>
        <v>-0.04</v>
      </c>
      <c r="O11" s="69">
        <v>-0.04</v>
      </c>
      <c r="P11" s="68">
        <f>AB11</f>
        <v>-0.04</v>
      </c>
      <c r="Q11" s="68">
        <f>AB11</f>
        <v>-0.04</v>
      </c>
      <c r="R11" s="68">
        <f>AB11</f>
        <v>-0.04</v>
      </c>
      <c r="S11" s="68">
        <f>AB11</f>
        <v>-0.04</v>
      </c>
      <c r="T11" s="68">
        <f>AB11</f>
        <v>-0.04</v>
      </c>
      <c r="U11" s="68">
        <f>AB11</f>
        <v>-0.04</v>
      </c>
      <c r="V11" s="68">
        <f>AB11</f>
        <v>-0.04</v>
      </c>
      <c r="W11" s="68">
        <f>AB11</f>
        <v>-0.04</v>
      </c>
      <c r="X11" s="68">
        <f>AB11</f>
        <v>-0.04</v>
      </c>
      <c r="Y11" s="68">
        <f>AB11</f>
        <v>-0.04</v>
      </c>
      <c r="Z11" s="68">
        <f>AB11</f>
        <v>-0.04</v>
      </c>
      <c r="AA11" s="68">
        <f>AB11</f>
        <v>-0.04</v>
      </c>
      <c r="AB11" s="69">
        <v>-0.04</v>
      </c>
      <c r="AC11" s="68">
        <f>AO11</f>
        <v>-0.04</v>
      </c>
      <c r="AD11" s="68">
        <f>AO11</f>
        <v>-0.04</v>
      </c>
      <c r="AE11" s="68">
        <f>AO11</f>
        <v>-0.04</v>
      </c>
      <c r="AF11" s="68">
        <f>AO11</f>
        <v>-0.04</v>
      </c>
      <c r="AG11" s="68">
        <f>AO11</f>
        <v>-0.04</v>
      </c>
      <c r="AH11" s="68">
        <f>AO11</f>
        <v>-0.04</v>
      </c>
      <c r="AI11" s="68">
        <f>AO11</f>
        <v>-0.04</v>
      </c>
      <c r="AJ11" s="68">
        <f>AO11</f>
        <v>-0.04</v>
      </c>
      <c r="AK11" s="68">
        <f>AO11</f>
        <v>-0.04</v>
      </c>
      <c r="AL11" s="68">
        <f>AO11</f>
        <v>-0.04</v>
      </c>
      <c r="AM11" s="68">
        <f>AO11</f>
        <v>-0.04</v>
      </c>
      <c r="AN11" s="68">
        <f>AO11</f>
        <v>-0.04</v>
      </c>
      <c r="AO11" s="69">
        <v>-0.04</v>
      </c>
      <c r="AP11" s="68">
        <f>BB11</f>
        <v>-0.04</v>
      </c>
      <c r="AQ11" s="68">
        <f>BB11</f>
        <v>-0.04</v>
      </c>
      <c r="AR11" s="68">
        <f>BB11</f>
        <v>-0.04</v>
      </c>
      <c r="AS11" s="68">
        <f>BB11</f>
        <v>-0.04</v>
      </c>
      <c r="AT11" s="68">
        <f>BB11</f>
        <v>-0.04</v>
      </c>
      <c r="AU11" s="68">
        <f>BB11</f>
        <v>-0.04</v>
      </c>
      <c r="AV11" s="68">
        <f>BB11</f>
        <v>-0.04</v>
      </c>
      <c r="AW11" s="68">
        <f>BB11</f>
        <v>-0.04</v>
      </c>
      <c r="AX11" s="68">
        <f>BB11</f>
        <v>-0.04</v>
      </c>
      <c r="AY11" s="68">
        <f>BB11</f>
        <v>-0.04</v>
      </c>
      <c r="AZ11" s="68">
        <f>BB11</f>
        <v>-0.04</v>
      </c>
      <c r="BA11" s="68">
        <f>BB11</f>
        <v>-0.04</v>
      </c>
      <c r="BB11" s="69">
        <v>-0.04</v>
      </c>
      <c r="BC11" s="68">
        <f>BO11</f>
        <v>-0.04</v>
      </c>
      <c r="BD11" s="68">
        <f>BO11</f>
        <v>-0.04</v>
      </c>
      <c r="BE11" s="68">
        <f>BO11</f>
        <v>-0.04</v>
      </c>
      <c r="BF11" s="68">
        <f>BO11</f>
        <v>-0.04</v>
      </c>
      <c r="BG11" s="68">
        <f>BO11</f>
        <v>-0.04</v>
      </c>
      <c r="BH11" s="68">
        <f>BO11</f>
        <v>-0.04</v>
      </c>
      <c r="BI11" s="68">
        <f>BO11</f>
        <v>-0.04</v>
      </c>
      <c r="BJ11" s="68">
        <f>BO11</f>
        <v>-0.04</v>
      </c>
      <c r="BK11" s="68">
        <f>BO11</f>
        <v>-0.04</v>
      </c>
      <c r="BL11" s="68">
        <f>BO11</f>
        <v>-0.04</v>
      </c>
      <c r="BM11" s="68">
        <f>BO11</f>
        <v>-0.04</v>
      </c>
      <c r="BN11" s="68">
        <f>BO11</f>
        <v>-0.04</v>
      </c>
      <c r="BO11" s="69">
        <v>-0.04</v>
      </c>
    </row>
    <row r="12" spans="1:67" s="3" customFormat="1">
      <c r="A12" s="3" t="s">
        <v>147</v>
      </c>
      <c r="D12" s="3" t="e">
        <f>C14*D11</f>
        <v>#REF!</v>
      </c>
      <c r="E12" s="3" t="e">
        <f t="shared" ref="E12:N12" si="140">D14*E11</f>
        <v>#REF!</v>
      </c>
      <c r="F12" s="3" t="e">
        <f t="shared" si="140"/>
        <v>#REF!</v>
      </c>
      <c r="G12" s="3" t="e">
        <f t="shared" si="140"/>
        <v>#REF!</v>
      </c>
      <c r="H12" s="3" t="e">
        <f t="shared" si="140"/>
        <v>#REF!</v>
      </c>
      <c r="I12" s="3" t="e">
        <f t="shared" si="140"/>
        <v>#REF!</v>
      </c>
      <c r="J12" s="3" t="e">
        <f t="shared" si="140"/>
        <v>#REF!</v>
      </c>
      <c r="K12" s="3" t="e">
        <f t="shared" si="140"/>
        <v>#REF!</v>
      </c>
      <c r="L12" s="3" t="e">
        <f t="shared" si="140"/>
        <v>#REF!</v>
      </c>
      <c r="M12" s="3" t="e">
        <f t="shared" si="140"/>
        <v>#REF!</v>
      </c>
      <c r="N12" s="3" t="e">
        <f t="shared" si="140"/>
        <v>#REF!</v>
      </c>
      <c r="O12" s="63" t="e">
        <f>SUM(C12:N12)</f>
        <v>#REF!</v>
      </c>
      <c r="Q12" s="3" t="e">
        <f>P14*Q11</f>
        <v>#REF!</v>
      </c>
      <c r="R12" s="3" t="e">
        <f t="shared" ref="R12" si="141">Q14*R11</f>
        <v>#REF!</v>
      </c>
      <c r="S12" s="3" t="e">
        <f t="shared" ref="S12" si="142">R14*S11</f>
        <v>#REF!</v>
      </c>
      <c r="T12" s="3" t="e">
        <f t="shared" ref="T12" si="143">S14*T11</f>
        <v>#REF!</v>
      </c>
      <c r="U12" s="3" t="e">
        <f t="shared" ref="U12" si="144">T14*U11</f>
        <v>#REF!</v>
      </c>
      <c r="V12" s="3" t="e">
        <f t="shared" ref="V12" si="145">U14*V11</f>
        <v>#REF!</v>
      </c>
      <c r="W12" s="3" t="e">
        <f t="shared" ref="W12" si="146">V14*W11</f>
        <v>#REF!</v>
      </c>
      <c r="X12" s="3" t="e">
        <f t="shared" ref="X12" si="147">W14*X11</f>
        <v>#REF!</v>
      </c>
      <c r="Y12" s="3" t="e">
        <f t="shared" ref="Y12" si="148">X14*Y11</f>
        <v>#REF!</v>
      </c>
      <c r="Z12" s="3" t="e">
        <f t="shared" ref="Z12" si="149">Y14*Z11</f>
        <v>#REF!</v>
      </c>
      <c r="AA12" s="3" t="e">
        <f t="shared" ref="AA12" si="150">Z14*AA11</f>
        <v>#REF!</v>
      </c>
      <c r="AB12" s="63" t="e">
        <f>SUM(P12:AA12)</f>
        <v>#REF!</v>
      </c>
      <c r="AD12" s="3" t="e">
        <f>AC14*AD11</f>
        <v>#REF!</v>
      </c>
      <c r="AE12" s="3" t="e">
        <f t="shared" ref="AE12" si="151">AD14*AE11</f>
        <v>#REF!</v>
      </c>
      <c r="AF12" s="3" t="e">
        <f t="shared" ref="AF12" si="152">AE14*AF11</f>
        <v>#REF!</v>
      </c>
      <c r="AG12" s="3" t="e">
        <f t="shared" ref="AG12" si="153">AF14*AG11</f>
        <v>#REF!</v>
      </c>
      <c r="AH12" s="3" t="e">
        <f t="shared" ref="AH12" si="154">AG14*AH11</f>
        <v>#REF!</v>
      </c>
      <c r="AI12" s="3" t="e">
        <f t="shared" ref="AI12" si="155">AH14*AI11</f>
        <v>#REF!</v>
      </c>
      <c r="AJ12" s="3" t="e">
        <f t="shared" ref="AJ12" si="156">AI14*AJ11</f>
        <v>#REF!</v>
      </c>
      <c r="AK12" s="3" t="e">
        <f t="shared" ref="AK12" si="157">AJ14*AK11</f>
        <v>#REF!</v>
      </c>
      <c r="AL12" s="3" t="e">
        <f t="shared" ref="AL12" si="158">AK14*AL11</f>
        <v>#REF!</v>
      </c>
      <c r="AM12" s="3" t="e">
        <f t="shared" ref="AM12" si="159">AL14*AM11</f>
        <v>#REF!</v>
      </c>
      <c r="AN12" s="3" t="e">
        <f t="shared" ref="AN12" si="160">AM14*AN11</f>
        <v>#REF!</v>
      </c>
      <c r="AO12" s="63" t="e">
        <f>SUM(AC12:AN12)</f>
        <v>#REF!</v>
      </c>
      <c r="AQ12" s="3" t="e">
        <f>AP14*AQ11</f>
        <v>#REF!</v>
      </c>
      <c r="AR12" s="3" t="e">
        <f t="shared" ref="AR12" si="161">AQ14*AR11</f>
        <v>#REF!</v>
      </c>
      <c r="AS12" s="3" t="e">
        <f t="shared" ref="AS12" si="162">AR14*AS11</f>
        <v>#REF!</v>
      </c>
      <c r="AT12" s="3" t="e">
        <f t="shared" ref="AT12" si="163">AS14*AT11</f>
        <v>#REF!</v>
      </c>
      <c r="AU12" s="3" t="e">
        <f t="shared" ref="AU12" si="164">AT14*AU11</f>
        <v>#REF!</v>
      </c>
      <c r="AV12" s="3" t="e">
        <f t="shared" ref="AV12" si="165">AU14*AV11</f>
        <v>#REF!</v>
      </c>
      <c r="AW12" s="3" t="e">
        <f t="shared" ref="AW12" si="166">AV14*AW11</f>
        <v>#REF!</v>
      </c>
      <c r="AX12" s="3" t="e">
        <f t="shared" ref="AX12" si="167">AW14*AX11</f>
        <v>#REF!</v>
      </c>
      <c r="AY12" s="3" t="e">
        <f t="shared" ref="AY12" si="168">AX14*AY11</f>
        <v>#REF!</v>
      </c>
      <c r="AZ12" s="3" t="e">
        <f t="shared" ref="AZ12" si="169">AY14*AZ11</f>
        <v>#REF!</v>
      </c>
      <c r="BA12" s="3" t="e">
        <f t="shared" ref="BA12" si="170">AZ14*BA11</f>
        <v>#REF!</v>
      </c>
      <c r="BB12" s="63" t="e">
        <f>SUM(AP12:BA12)</f>
        <v>#REF!</v>
      </c>
      <c r="BD12" s="3" t="e">
        <f>BC14*BD11</f>
        <v>#REF!</v>
      </c>
      <c r="BE12" s="3" t="e">
        <f t="shared" ref="BE12" si="171">BD14*BE11</f>
        <v>#REF!</v>
      </c>
      <c r="BF12" s="3" t="e">
        <f t="shared" ref="BF12" si="172">BE14*BF11</f>
        <v>#REF!</v>
      </c>
      <c r="BG12" s="3" t="e">
        <f t="shared" ref="BG12" si="173">BF14*BG11</f>
        <v>#REF!</v>
      </c>
      <c r="BH12" s="3" t="e">
        <f t="shared" ref="BH12" si="174">BG14*BH11</f>
        <v>#REF!</v>
      </c>
      <c r="BI12" s="3" t="e">
        <f t="shared" ref="BI12" si="175">BH14*BI11</f>
        <v>#REF!</v>
      </c>
      <c r="BJ12" s="3" t="e">
        <f t="shared" ref="BJ12" si="176">BI14*BJ11</f>
        <v>#REF!</v>
      </c>
      <c r="BK12" s="3" t="e">
        <f t="shared" ref="BK12" si="177">BJ14*BK11</f>
        <v>#REF!</v>
      </c>
      <c r="BL12" s="3" t="e">
        <f t="shared" ref="BL12" si="178">BK14*BL11</f>
        <v>#REF!</v>
      </c>
      <c r="BM12" s="3" t="e">
        <f t="shared" ref="BM12" si="179">BL14*BM11</f>
        <v>#REF!</v>
      </c>
      <c r="BN12" s="3" t="e">
        <f t="shared" ref="BN12" si="180">BM14*BN11</f>
        <v>#REF!</v>
      </c>
      <c r="BO12" s="63" t="e">
        <f>SUM(BC12:BN12)</f>
        <v>#REF!</v>
      </c>
    </row>
    <row r="13" spans="1:67" s="3" customFormat="1">
      <c r="A13" s="3" t="s">
        <v>148</v>
      </c>
      <c r="O13" s="63">
        <f>N13</f>
        <v>0</v>
      </c>
      <c r="AB13" s="63">
        <f>AA13</f>
        <v>0</v>
      </c>
      <c r="AO13" s="63">
        <f>AN13</f>
        <v>0</v>
      </c>
      <c r="BB13" s="63">
        <f>BA13</f>
        <v>0</v>
      </c>
      <c r="BO13" s="63">
        <f>BN13</f>
        <v>0</v>
      </c>
    </row>
    <row r="14" spans="1:67" s="3" customFormat="1">
      <c r="A14" s="3" t="s">
        <v>149</v>
      </c>
      <c r="C14" s="3" t="e">
        <f>C10+C12+C13</f>
        <v>#REF!</v>
      </c>
      <c r="D14" s="3" t="e">
        <f>C14+D10+D12+D13</f>
        <v>#REF!</v>
      </c>
      <c r="E14" s="3" t="e">
        <f t="shared" ref="E14:N14" si="181">D14+E10+E12+E13</f>
        <v>#REF!</v>
      </c>
      <c r="F14" s="3" t="e">
        <f t="shared" si="181"/>
        <v>#REF!</v>
      </c>
      <c r="G14" s="3" t="e">
        <f t="shared" si="181"/>
        <v>#REF!</v>
      </c>
      <c r="H14" s="3" t="e">
        <f t="shared" si="181"/>
        <v>#REF!</v>
      </c>
      <c r="I14" s="3" t="e">
        <f t="shared" si="181"/>
        <v>#REF!</v>
      </c>
      <c r="J14" s="3" t="e">
        <f t="shared" si="181"/>
        <v>#REF!</v>
      </c>
      <c r="K14" s="3" t="e">
        <f t="shared" si="181"/>
        <v>#REF!</v>
      </c>
      <c r="L14" s="3" t="e">
        <f t="shared" si="181"/>
        <v>#REF!</v>
      </c>
      <c r="M14" s="3" t="e">
        <f t="shared" si="181"/>
        <v>#REF!</v>
      </c>
      <c r="N14" s="3" t="e">
        <f t="shared" si="181"/>
        <v>#REF!</v>
      </c>
      <c r="O14" s="63" t="e">
        <f>N14</f>
        <v>#REF!</v>
      </c>
      <c r="P14" s="3" t="e">
        <f>P10+P12+P13</f>
        <v>#REF!</v>
      </c>
      <c r="Q14" s="3" t="e">
        <f>P14+Q10+Q12+Q13</f>
        <v>#REF!</v>
      </c>
      <c r="R14" s="3" t="e">
        <f t="shared" ref="R14" si="182">Q14+R10+R12+R13</f>
        <v>#REF!</v>
      </c>
      <c r="S14" s="3" t="e">
        <f t="shared" ref="S14" si="183">R14+S10+S12+S13</f>
        <v>#REF!</v>
      </c>
      <c r="T14" s="3" t="e">
        <f t="shared" ref="T14" si="184">S14+T10+T12+T13</f>
        <v>#REF!</v>
      </c>
      <c r="U14" s="3" t="e">
        <f t="shared" ref="U14" si="185">T14+U10+U12+U13</f>
        <v>#REF!</v>
      </c>
      <c r="V14" s="3" t="e">
        <f t="shared" ref="V14" si="186">U14+V10+V12+V13</f>
        <v>#REF!</v>
      </c>
      <c r="W14" s="3" t="e">
        <f t="shared" ref="W14" si="187">V14+W10+W12+W13</f>
        <v>#REF!</v>
      </c>
      <c r="X14" s="3" t="e">
        <f t="shared" ref="X14" si="188">W14+X10+X12+X13</f>
        <v>#REF!</v>
      </c>
      <c r="Y14" s="3" t="e">
        <f t="shared" ref="Y14" si="189">X14+Y10+Y12+Y13</f>
        <v>#REF!</v>
      </c>
      <c r="Z14" s="3" t="e">
        <f t="shared" ref="Z14" si="190">Y14+Z10+Z12+Z13</f>
        <v>#REF!</v>
      </c>
      <c r="AA14" s="3" t="e">
        <f t="shared" ref="AA14" si="191">Z14+AA10+AA12+AA13</f>
        <v>#REF!</v>
      </c>
      <c r="AB14" s="63" t="e">
        <f>AA14</f>
        <v>#REF!</v>
      </c>
      <c r="AC14" s="3" t="e">
        <f>AC10+AC12+AC13</f>
        <v>#REF!</v>
      </c>
      <c r="AD14" s="3" t="e">
        <f>AC14+AD10+AD12+AD13</f>
        <v>#REF!</v>
      </c>
      <c r="AE14" s="3" t="e">
        <f t="shared" ref="AE14" si="192">AD14+AE10+AE12+AE13</f>
        <v>#REF!</v>
      </c>
      <c r="AF14" s="3" t="e">
        <f t="shared" ref="AF14" si="193">AE14+AF10+AF12+AF13</f>
        <v>#REF!</v>
      </c>
      <c r="AG14" s="3" t="e">
        <f t="shared" ref="AG14" si="194">AF14+AG10+AG12+AG13</f>
        <v>#REF!</v>
      </c>
      <c r="AH14" s="3" t="e">
        <f t="shared" ref="AH14" si="195">AG14+AH10+AH12+AH13</f>
        <v>#REF!</v>
      </c>
      <c r="AI14" s="3" t="e">
        <f t="shared" ref="AI14" si="196">AH14+AI10+AI12+AI13</f>
        <v>#REF!</v>
      </c>
      <c r="AJ14" s="3" t="e">
        <f t="shared" ref="AJ14" si="197">AI14+AJ10+AJ12+AJ13</f>
        <v>#REF!</v>
      </c>
      <c r="AK14" s="3" t="e">
        <f t="shared" ref="AK14" si="198">AJ14+AK10+AK12+AK13</f>
        <v>#REF!</v>
      </c>
      <c r="AL14" s="3" t="e">
        <f t="shared" ref="AL14" si="199">AK14+AL10+AL12+AL13</f>
        <v>#REF!</v>
      </c>
      <c r="AM14" s="3" t="e">
        <f t="shared" ref="AM14" si="200">AL14+AM10+AM12+AM13</f>
        <v>#REF!</v>
      </c>
      <c r="AN14" s="3" t="e">
        <f t="shared" ref="AN14" si="201">AM14+AN10+AN12+AN13</f>
        <v>#REF!</v>
      </c>
      <c r="AO14" s="63" t="e">
        <f>AN14</f>
        <v>#REF!</v>
      </c>
      <c r="AP14" s="3" t="e">
        <f>AP10+AP12+AP13</f>
        <v>#REF!</v>
      </c>
      <c r="AQ14" s="3" t="e">
        <f>AP14+AQ10+AQ12+AQ13</f>
        <v>#REF!</v>
      </c>
      <c r="AR14" s="3" t="e">
        <f t="shared" ref="AR14" si="202">AQ14+AR10+AR12+AR13</f>
        <v>#REF!</v>
      </c>
      <c r="AS14" s="3" t="e">
        <f t="shared" ref="AS14" si="203">AR14+AS10+AS12+AS13</f>
        <v>#REF!</v>
      </c>
      <c r="AT14" s="3" t="e">
        <f t="shared" ref="AT14" si="204">AS14+AT10+AT12+AT13</f>
        <v>#REF!</v>
      </c>
      <c r="AU14" s="3" t="e">
        <f t="shared" ref="AU14" si="205">AT14+AU10+AU12+AU13</f>
        <v>#REF!</v>
      </c>
      <c r="AV14" s="3" t="e">
        <f t="shared" ref="AV14" si="206">AU14+AV10+AV12+AV13</f>
        <v>#REF!</v>
      </c>
      <c r="AW14" s="3" t="e">
        <f t="shared" ref="AW14" si="207">AV14+AW10+AW12+AW13</f>
        <v>#REF!</v>
      </c>
      <c r="AX14" s="3" t="e">
        <f t="shared" ref="AX14" si="208">AW14+AX10+AX12+AX13</f>
        <v>#REF!</v>
      </c>
      <c r="AY14" s="3" t="e">
        <f t="shared" ref="AY14" si="209">AX14+AY10+AY12+AY13</f>
        <v>#REF!</v>
      </c>
      <c r="AZ14" s="3" t="e">
        <f t="shared" ref="AZ14" si="210">AY14+AZ10+AZ12+AZ13</f>
        <v>#REF!</v>
      </c>
      <c r="BA14" s="3" t="e">
        <f t="shared" ref="BA14" si="211">AZ14+BA10+BA12+BA13</f>
        <v>#REF!</v>
      </c>
      <c r="BB14" s="63" t="e">
        <f>BA14</f>
        <v>#REF!</v>
      </c>
      <c r="BC14" s="3" t="e">
        <f>BC10+BC12+BC13</f>
        <v>#REF!</v>
      </c>
      <c r="BD14" s="3" t="e">
        <f>BC14+BD10+BD12+BD13</f>
        <v>#REF!</v>
      </c>
      <c r="BE14" s="3" t="e">
        <f t="shared" ref="BE14" si="212">BD14+BE10+BE12+BE13</f>
        <v>#REF!</v>
      </c>
      <c r="BF14" s="3" t="e">
        <f t="shared" ref="BF14" si="213">BE14+BF10+BF12+BF13</f>
        <v>#REF!</v>
      </c>
      <c r="BG14" s="3" t="e">
        <f t="shared" ref="BG14" si="214">BF14+BG10+BG12+BG13</f>
        <v>#REF!</v>
      </c>
      <c r="BH14" s="3" t="e">
        <f t="shared" ref="BH14" si="215">BG14+BH10+BH12+BH13</f>
        <v>#REF!</v>
      </c>
      <c r="BI14" s="3" t="e">
        <f t="shared" ref="BI14" si="216">BH14+BI10+BI12+BI13</f>
        <v>#REF!</v>
      </c>
      <c r="BJ14" s="3" t="e">
        <f t="shared" ref="BJ14" si="217">BI14+BJ10+BJ12+BJ13</f>
        <v>#REF!</v>
      </c>
      <c r="BK14" s="3" t="e">
        <f t="shared" ref="BK14" si="218">BJ14+BK10+BK12+BK13</f>
        <v>#REF!</v>
      </c>
      <c r="BL14" s="3" t="e">
        <f t="shared" ref="BL14" si="219">BK14+BL10+BL12+BL13</f>
        <v>#REF!</v>
      </c>
      <c r="BM14" s="3" t="e">
        <f t="shared" ref="BM14" si="220">BL14+BM10+BM12+BM13</f>
        <v>#REF!</v>
      </c>
      <c r="BN14" s="3" t="e">
        <f t="shared" ref="BN14" si="221">BM14+BN10+BN12+BN13</f>
        <v>#REF!</v>
      </c>
      <c r="BO14" s="63" t="e">
        <f>BN14</f>
        <v>#REF!</v>
      </c>
    </row>
    <row r="15" spans="1:67" s="3" customFormat="1">
      <c r="A15" s="3" t="s">
        <v>159</v>
      </c>
      <c r="O15" s="63"/>
      <c r="AB15" s="63"/>
      <c r="AO15" s="63"/>
      <c r="BB15" s="63"/>
      <c r="BO15" s="63"/>
    </row>
    <row r="16" spans="1:67" s="3" customFormat="1">
      <c r="O16" s="63"/>
      <c r="AB16" s="63"/>
      <c r="AO16" s="63"/>
      <c r="BB16" s="63"/>
      <c r="BO16" s="63"/>
    </row>
    <row r="17" spans="1:67" s="3" customFormat="1">
      <c r="O17" s="63"/>
      <c r="AB17" s="63"/>
      <c r="AO17" s="63"/>
      <c r="BB17" s="63"/>
      <c r="BO17" s="63"/>
    </row>
    <row r="18" spans="1:67">
      <c r="A18" s="4" t="s">
        <v>156</v>
      </c>
    </row>
    <row r="19" spans="1:67">
      <c r="A19" s="4" t="s">
        <v>157</v>
      </c>
    </row>
    <row r="20" spans="1:67">
      <c r="A20" s="4" t="s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O14"/>
  <sheetViews>
    <sheetView workbookViewId="0">
      <selection activeCell="AB3" sqref="AB3"/>
    </sheetView>
  </sheetViews>
  <sheetFormatPr defaultColWidth="9.109375" defaultRowHeight="13.8" outlineLevelCol="1"/>
  <cols>
    <col min="1" max="1" width="90.44140625" style="4" bestFit="1" customWidth="1"/>
    <col min="2" max="2" width="9.109375" style="4"/>
    <col min="3" max="12" width="6.44140625" style="4" hidden="1" customWidth="1" outlineLevel="1"/>
    <col min="13" max="14" width="7.44140625" style="4" hidden="1" customWidth="1" outlineLevel="1"/>
    <col min="15" max="15" width="7.44140625" style="34" bestFit="1" customWidth="1" collapsed="1"/>
    <col min="16" max="16" width="7.44140625" style="4" hidden="1" customWidth="1" outlineLevel="1"/>
    <col min="17" max="27" width="7.33203125" style="4" hidden="1" customWidth="1" outlineLevel="1"/>
    <col min="28" max="28" width="8" style="4" bestFit="1" customWidth="1" collapsed="1"/>
    <col min="29" max="40" width="7.33203125" style="4" hidden="1" customWidth="1" outlineLevel="1"/>
    <col min="41" max="41" width="7.44140625" style="4" bestFit="1" customWidth="1" collapsed="1"/>
    <col min="42" max="53" width="7.33203125" style="4" hidden="1" customWidth="1" outlineLevel="1"/>
    <col min="54" max="54" width="7.44140625" style="4" bestFit="1" customWidth="1" collapsed="1"/>
    <col min="55" max="66" width="7.33203125" style="4" hidden="1" customWidth="1" outlineLevel="1"/>
    <col min="67" max="67" width="7.44140625" style="4" bestFit="1" customWidth="1" collapsed="1"/>
    <col min="68" max="16384" width="9.109375" style="4"/>
  </cols>
  <sheetData>
    <row r="1" spans="1:67" s="1" customFormat="1">
      <c r="C1" s="1" t="s">
        <v>107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62" t="s">
        <v>146</v>
      </c>
      <c r="P1" s="1" t="s">
        <v>107</v>
      </c>
      <c r="Q1" s="1" t="s">
        <v>135</v>
      </c>
      <c r="R1" s="1" t="s">
        <v>136</v>
      </c>
      <c r="S1" s="1" t="s">
        <v>137</v>
      </c>
      <c r="T1" s="1" t="s">
        <v>138</v>
      </c>
      <c r="U1" s="1" t="s">
        <v>139</v>
      </c>
      <c r="V1" s="1" t="s">
        <v>140</v>
      </c>
      <c r="W1" s="1" t="s">
        <v>141</v>
      </c>
      <c r="X1" s="1" t="s">
        <v>142</v>
      </c>
      <c r="Y1" s="1" t="s">
        <v>143</v>
      </c>
      <c r="Z1" s="1" t="s">
        <v>144</v>
      </c>
      <c r="AA1" s="1" t="s">
        <v>145</v>
      </c>
      <c r="AB1" s="62" t="s">
        <v>151</v>
      </c>
      <c r="AC1" s="1" t="s">
        <v>107</v>
      </c>
      <c r="AD1" s="1" t="s">
        <v>135</v>
      </c>
      <c r="AE1" s="1" t="s">
        <v>136</v>
      </c>
      <c r="AF1" s="1" t="s">
        <v>137</v>
      </c>
      <c r="AG1" s="1" t="s">
        <v>138</v>
      </c>
      <c r="AH1" s="1" t="s">
        <v>139</v>
      </c>
      <c r="AI1" s="1" t="s">
        <v>140</v>
      </c>
      <c r="AJ1" s="1" t="s">
        <v>141</v>
      </c>
      <c r="AK1" s="1" t="s">
        <v>142</v>
      </c>
      <c r="AL1" s="1" t="s">
        <v>143</v>
      </c>
      <c r="AM1" s="1" t="s">
        <v>144</v>
      </c>
      <c r="AN1" s="1" t="s">
        <v>145</v>
      </c>
      <c r="AO1" s="62" t="s">
        <v>152</v>
      </c>
      <c r="AP1" s="1" t="s">
        <v>107</v>
      </c>
      <c r="AQ1" s="1" t="s">
        <v>135</v>
      </c>
      <c r="AR1" s="1" t="s">
        <v>136</v>
      </c>
      <c r="AS1" s="1" t="s">
        <v>137</v>
      </c>
      <c r="AT1" s="1" t="s">
        <v>138</v>
      </c>
      <c r="AU1" s="1" t="s">
        <v>139</v>
      </c>
      <c r="AV1" s="1" t="s">
        <v>140</v>
      </c>
      <c r="AW1" s="1" t="s">
        <v>141</v>
      </c>
      <c r="AX1" s="1" t="s">
        <v>142</v>
      </c>
      <c r="AY1" s="1" t="s">
        <v>143</v>
      </c>
      <c r="AZ1" s="1" t="s">
        <v>144</v>
      </c>
      <c r="BA1" s="1" t="s">
        <v>145</v>
      </c>
      <c r="BB1" s="62" t="s">
        <v>153</v>
      </c>
      <c r="BC1" s="1" t="s">
        <v>107</v>
      </c>
      <c r="BD1" s="1" t="s">
        <v>135</v>
      </c>
      <c r="BE1" s="1" t="s">
        <v>136</v>
      </c>
      <c r="BF1" s="1" t="s">
        <v>137</v>
      </c>
      <c r="BG1" s="1" t="s">
        <v>138</v>
      </c>
      <c r="BH1" s="1" t="s">
        <v>139</v>
      </c>
      <c r="BI1" s="1" t="s">
        <v>140</v>
      </c>
      <c r="BJ1" s="1" t="s">
        <v>141</v>
      </c>
      <c r="BK1" s="1" t="s">
        <v>142</v>
      </c>
      <c r="BL1" s="1" t="s">
        <v>143</v>
      </c>
      <c r="BM1" s="1" t="s">
        <v>144</v>
      </c>
      <c r="BN1" s="1" t="s">
        <v>145</v>
      </c>
      <c r="BO1" s="62" t="s">
        <v>154</v>
      </c>
    </row>
    <row r="3" spans="1:67" s="3" customFormat="1">
      <c r="A3" s="3" t="s">
        <v>112</v>
      </c>
      <c r="C3" s="3" t="e">
        <f>B3+C4</f>
        <v>#REF!</v>
      </c>
      <c r="D3" s="3" t="e">
        <f t="shared" ref="D3:N3" si="0">C3+D4</f>
        <v>#REF!</v>
      </c>
      <c r="E3" s="3" t="e">
        <f t="shared" si="0"/>
        <v>#REF!</v>
      </c>
      <c r="F3" s="3" t="e">
        <f t="shared" si="0"/>
        <v>#REF!</v>
      </c>
      <c r="G3" s="3" t="e">
        <f t="shared" si="0"/>
        <v>#REF!</v>
      </c>
      <c r="H3" s="3" t="e">
        <f t="shared" si="0"/>
        <v>#REF!</v>
      </c>
      <c r="I3" s="3" t="e">
        <f t="shared" si="0"/>
        <v>#REF!</v>
      </c>
      <c r="J3" s="3" t="e">
        <f t="shared" si="0"/>
        <v>#REF!</v>
      </c>
      <c r="K3" s="3" t="e">
        <f t="shared" si="0"/>
        <v>#REF!</v>
      </c>
      <c r="L3" s="3" t="e">
        <f t="shared" si="0"/>
        <v>#REF!</v>
      </c>
      <c r="M3" s="3" t="e">
        <f t="shared" si="0"/>
        <v>#REF!</v>
      </c>
      <c r="N3" s="3" t="e">
        <f t="shared" si="0"/>
        <v>#REF!</v>
      </c>
      <c r="O3" s="66" t="e">
        <f>#REF!</f>
        <v>#REF!</v>
      </c>
      <c r="P3" s="3" t="e">
        <f>O3+P4</f>
        <v>#REF!</v>
      </c>
      <c r="Q3" s="3" t="e">
        <f t="shared" ref="Q3" si="1">P3+Q4</f>
        <v>#REF!</v>
      </c>
      <c r="R3" s="3" t="e">
        <f t="shared" ref="R3" si="2">Q3+R4</f>
        <v>#REF!</v>
      </c>
      <c r="S3" s="3" t="e">
        <f t="shared" ref="S3" si="3">R3+S4</f>
        <v>#REF!</v>
      </c>
      <c r="T3" s="3" t="e">
        <f t="shared" ref="T3" si="4">S3+T4</f>
        <v>#REF!</v>
      </c>
      <c r="U3" s="3" t="e">
        <f t="shared" ref="U3" si="5">T3+U4</f>
        <v>#REF!</v>
      </c>
      <c r="V3" s="3" t="e">
        <f t="shared" ref="V3" si="6">U3+V4</f>
        <v>#REF!</v>
      </c>
      <c r="W3" s="3" t="e">
        <f t="shared" ref="W3" si="7">V3+W4</f>
        <v>#REF!</v>
      </c>
      <c r="X3" s="3" t="e">
        <f t="shared" ref="X3" si="8">W3+X4</f>
        <v>#REF!</v>
      </c>
      <c r="Y3" s="3" t="e">
        <f t="shared" ref="Y3" si="9">X3+Y4</f>
        <v>#REF!</v>
      </c>
      <c r="Z3" s="3" t="e">
        <f t="shared" ref="Z3" si="10">Y3+Z4</f>
        <v>#REF!</v>
      </c>
      <c r="AA3" s="3" t="e">
        <f t="shared" ref="AA3" si="11">Z3+AA4</f>
        <v>#REF!</v>
      </c>
      <c r="AB3" s="66" t="e">
        <f>#REF!</f>
        <v>#REF!</v>
      </c>
      <c r="AC3" s="3" t="e">
        <f>AB3+AC4</f>
        <v>#REF!</v>
      </c>
      <c r="AD3" s="3" t="e">
        <f t="shared" ref="AD3" si="12">AC3+AD4</f>
        <v>#REF!</v>
      </c>
      <c r="AE3" s="3" t="e">
        <f t="shared" ref="AE3" si="13">AD3+AE4</f>
        <v>#REF!</v>
      </c>
      <c r="AF3" s="3" t="e">
        <f t="shared" ref="AF3" si="14">AE3+AF4</f>
        <v>#REF!</v>
      </c>
      <c r="AG3" s="3" t="e">
        <f t="shared" ref="AG3" si="15">AF3+AG4</f>
        <v>#REF!</v>
      </c>
      <c r="AH3" s="3" t="e">
        <f t="shared" ref="AH3" si="16">AG3+AH4</f>
        <v>#REF!</v>
      </c>
      <c r="AI3" s="3" t="e">
        <f t="shared" ref="AI3" si="17">AH3+AI4</f>
        <v>#REF!</v>
      </c>
      <c r="AJ3" s="3" t="e">
        <f t="shared" ref="AJ3" si="18">AI3+AJ4</f>
        <v>#REF!</v>
      </c>
      <c r="AK3" s="3" t="e">
        <f t="shared" ref="AK3" si="19">AJ3+AK4</f>
        <v>#REF!</v>
      </c>
      <c r="AL3" s="3" t="e">
        <f t="shared" ref="AL3" si="20">AK3+AL4</f>
        <v>#REF!</v>
      </c>
      <c r="AM3" s="3" t="e">
        <f t="shared" ref="AM3" si="21">AL3+AM4</f>
        <v>#REF!</v>
      </c>
      <c r="AN3" s="3" t="e">
        <f t="shared" ref="AN3" si="22">AM3+AN4</f>
        <v>#REF!</v>
      </c>
      <c r="AO3" s="66" t="e">
        <f>#REF!</f>
        <v>#REF!</v>
      </c>
      <c r="AP3" s="3" t="e">
        <f>AO3+AP4</f>
        <v>#REF!</v>
      </c>
      <c r="AQ3" s="3" t="e">
        <f t="shared" ref="AQ3" si="23">AP3+AQ4</f>
        <v>#REF!</v>
      </c>
      <c r="AR3" s="3" t="e">
        <f t="shared" ref="AR3" si="24">AQ3+AR4</f>
        <v>#REF!</v>
      </c>
      <c r="AS3" s="3" t="e">
        <f t="shared" ref="AS3" si="25">AR3+AS4</f>
        <v>#REF!</v>
      </c>
      <c r="AT3" s="3" t="e">
        <f t="shared" ref="AT3" si="26">AS3+AT4</f>
        <v>#REF!</v>
      </c>
      <c r="AU3" s="3" t="e">
        <f t="shared" ref="AU3" si="27">AT3+AU4</f>
        <v>#REF!</v>
      </c>
      <c r="AV3" s="3" t="e">
        <f t="shared" ref="AV3" si="28">AU3+AV4</f>
        <v>#REF!</v>
      </c>
      <c r="AW3" s="3" t="e">
        <f t="shared" ref="AW3" si="29">AV3+AW4</f>
        <v>#REF!</v>
      </c>
      <c r="AX3" s="3" t="e">
        <f t="shared" ref="AX3" si="30">AW3+AX4</f>
        <v>#REF!</v>
      </c>
      <c r="AY3" s="3" t="e">
        <f t="shared" ref="AY3" si="31">AX3+AY4</f>
        <v>#REF!</v>
      </c>
      <c r="AZ3" s="3" t="e">
        <f t="shared" ref="AZ3" si="32">AY3+AZ4</f>
        <v>#REF!</v>
      </c>
      <c r="BA3" s="3" t="e">
        <f t="shared" ref="BA3" si="33">AZ3+BA4</f>
        <v>#REF!</v>
      </c>
      <c r="BB3" s="66" t="e">
        <f>#REF!</f>
        <v>#REF!</v>
      </c>
      <c r="BC3" s="3" t="e">
        <f>BB3+BC4</f>
        <v>#REF!</v>
      </c>
      <c r="BD3" s="3" t="e">
        <f t="shared" ref="BD3" si="34">BC3+BD4</f>
        <v>#REF!</v>
      </c>
      <c r="BE3" s="3" t="e">
        <f t="shared" ref="BE3" si="35">BD3+BE4</f>
        <v>#REF!</v>
      </c>
      <c r="BF3" s="3" t="e">
        <f t="shared" ref="BF3" si="36">BE3+BF4</f>
        <v>#REF!</v>
      </c>
      <c r="BG3" s="3" t="e">
        <f t="shared" ref="BG3" si="37">BF3+BG4</f>
        <v>#REF!</v>
      </c>
      <c r="BH3" s="3" t="e">
        <f t="shared" ref="BH3" si="38">BG3+BH4</f>
        <v>#REF!</v>
      </c>
      <c r="BI3" s="3" t="e">
        <f t="shared" ref="BI3" si="39">BH3+BI4</f>
        <v>#REF!</v>
      </c>
      <c r="BJ3" s="3" t="e">
        <f t="shared" ref="BJ3" si="40">BI3+BJ4</f>
        <v>#REF!</v>
      </c>
      <c r="BK3" s="3" t="e">
        <f t="shared" ref="BK3" si="41">BJ3+BK4</f>
        <v>#REF!</v>
      </c>
      <c r="BL3" s="3" t="e">
        <f t="shared" ref="BL3" si="42">BK3+BL4</f>
        <v>#REF!</v>
      </c>
      <c r="BM3" s="3" t="e">
        <f t="shared" ref="BM3" si="43">BL3+BM4</f>
        <v>#REF!</v>
      </c>
      <c r="BN3" s="3" t="e">
        <f t="shared" ref="BN3" si="44">BM3+BN4</f>
        <v>#REF!</v>
      </c>
      <c r="BO3" s="66" t="e">
        <f>#REF!</f>
        <v>#REF!</v>
      </c>
    </row>
    <row r="4" spans="1:67" s="3" customFormat="1">
      <c r="A4" s="3" t="s">
        <v>166</v>
      </c>
      <c r="C4" s="3" t="e">
        <f>O4*C5</f>
        <v>#REF!</v>
      </c>
      <c r="D4" s="3" t="e">
        <f>O4*D5</f>
        <v>#REF!</v>
      </c>
      <c r="E4" s="3" t="e">
        <f>O4*E5</f>
        <v>#REF!</v>
      </c>
      <c r="F4" s="3" t="e">
        <f>O4*F5</f>
        <v>#REF!</v>
      </c>
      <c r="G4" s="3" t="e">
        <f>O4*G5</f>
        <v>#REF!</v>
      </c>
      <c r="H4" s="3" t="e">
        <f>O4*H5</f>
        <v>#REF!</v>
      </c>
      <c r="I4" s="3" t="e">
        <f>O4*I5</f>
        <v>#REF!</v>
      </c>
      <c r="J4" s="3" t="e">
        <f>O4*J5</f>
        <v>#REF!</v>
      </c>
      <c r="K4" s="3" t="e">
        <f>O4*K5</f>
        <v>#REF!</v>
      </c>
      <c r="L4" s="3" t="e">
        <f>O4*L5</f>
        <v>#REF!</v>
      </c>
      <c r="M4" s="3" t="e">
        <f>O4*M5</f>
        <v>#REF!</v>
      </c>
      <c r="N4" s="3" t="e">
        <f>O4*N5</f>
        <v>#REF!</v>
      </c>
      <c r="O4" s="63" t="e">
        <f>O3-B3</f>
        <v>#REF!</v>
      </c>
      <c r="P4" s="3" t="e">
        <f>AB4*P5</f>
        <v>#REF!</v>
      </c>
      <c r="Q4" s="3" t="e">
        <f>AB4*Q5</f>
        <v>#REF!</v>
      </c>
      <c r="R4" s="3" t="e">
        <f>AB4*R5</f>
        <v>#REF!</v>
      </c>
      <c r="S4" s="3" t="e">
        <f>AB4*S5</f>
        <v>#REF!</v>
      </c>
      <c r="T4" s="3" t="e">
        <f>AB4*T5</f>
        <v>#REF!</v>
      </c>
      <c r="U4" s="3" t="e">
        <f>AB4*U5</f>
        <v>#REF!</v>
      </c>
      <c r="V4" s="3" t="e">
        <f>AB4*V5</f>
        <v>#REF!</v>
      </c>
      <c r="W4" s="3" t="e">
        <f>AB4*W5</f>
        <v>#REF!</v>
      </c>
      <c r="X4" s="3" t="e">
        <f>AB4*X5</f>
        <v>#REF!</v>
      </c>
      <c r="Y4" s="3" t="e">
        <f>AB4*Y5</f>
        <v>#REF!</v>
      </c>
      <c r="Z4" s="3" t="e">
        <f>AB4*Z5</f>
        <v>#REF!</v>
      </c>
      <c r="AA4" s="3" t="e">
        <f>AB4*AA5</f>
        <v>#REF!</v>
      </c>
      <c r="AB4" s="63" t="e">
        <f>AB3-O3</f>
        <v>#REF!</v>
      </c>
      <c r="AC4" s="3" t="e">
        <f>AO4*AC5</f>
        <v>#REF!</v>
      </c>
      <c r="AD4" s="3" t="e">
        <f>AO4*AD5</f>
        <v>#REF!</v>
      </c>
      <c r="AE4" s="3" t="e">
        <f>AO4*AE5</f>
        <v>#REF!</v>
      </c>
      <c r="AF4" s="3" t="e">
        <f>AO4*AF5</f>
        <v>#REF!</v>
      </c>
      <c r="AG4" s="3" t="e">
        <f>AO4*AG5</f>
        <v>#REF!</v>
      </c>
      <c r="AH4" s="3" t="e">
        <f>AO4*AH5</f>
        <v>#REF!</v>
      </c>
      <c r="AI4" s="3" t="e">
        <f>AO4*AI5</f>
        <v>#REF!</v>
      </c>
      <c r="AJ4" s="3" t="e">
        <f>AO4*AJ5</f>
        <v>#REF!</v>
      </c>
      <c r="AK4" s="3" t="e">
        <f>AO4*AK5</f>
        <v>#REF!</v>
      </c>
      <c r="AL4" s="3" t="e">
        <f>AO4*AL5</f>
        <v>#REF!</v>
      </c>
      <c r="AM4" s="3" t="e">
        <f>AO4*AM5</f>
        <v>#REF!</v>
      </c>
      <c r="AN4" s="3" t="e">
        <f>AO4*AN5</f>
        <v>#REF!</v>
      </c>
      <c r="AO4" s="63" t="e">
        <f>AO3-AB3</f>
        <v>#REF!</v>
      </c>
      <c r="AP4" s="3" t="e">
        <f>BB4*AP5</f>
        <v>#REF!</v>
      </c>
      <c r="AQ4" s="3" t="e">
        <f>BB4*AQ5</f>
        <v>#REF!</v>
      </c>
      <c r="AR4" s="3" t="e">
        <f>BB4*AR5</f>
        <v>#REF!</v>
      </c>
      <c r="AS4" s="3" t="e">
        <f>BB4*AS5</f>
        <v>#REF!</v>
      </c>
      <c r="AT4" s="3" t="e">
        <f>BB4*AT5</f>
        <v>#REF!</v>
      </c>
      <c r="AU4" s="3" t="e">
        <f>BB4*AU5</f>
        <v>#REF!</v>
      </c>
      <c r="AV4" s="3" t="e">
        <f>BB4*AV5</f>
        <v>#REF!</v>
      </c>
      <c r="AW4" s="3" t="e">
        <f>BB4*AW5</f>
        <v>#REF!</v>
      </c>
      <c r="AX4" s="3" t="e">
        <f>BB4*AX5</f>
        <v>#REF!</v>
      </c>
      <c r="AY4" s="3" t="e">
        <f>BB4*AY5</f>
        <v>#REF!</v>
      </c>
      <c r="AZ4" s="3" t="e">
        <f>BB4*AZ5</f>
        <v>#REF!</v>
      </c>
      <c r="BA4" s="3" t="e">
        <f>BB4*BA5</f>
        <v>#REF!</v>
      </c>
      <c r="BB4" s="63" t="e">
        <f>BB3-AO3</f>
        <v>#REF!</v>
      </c>
      <c r="BC4" s="3" t="e">
        <f>BO4*BC5</f>
        <v>#REF!</v>
      </c>
      <c r="BD4" s="3" t="e">
        <f>BO4*BD5</f>
        <v>#REF!</v>
      </c>
      <c r="BE4" s="3" t="e">
        <f>BO4*BE5</f>
        <v>#REF!</v>
      </c>
      <c r="BF4" s="3" t="e">
        <f>BO4*BF5</f>
        <v>#REF!</v>
      </c>
      <c r="BG4" s="3" t="e">
        <f>BO4*BG5</f>
        <v>#REF!</v>
      </c>
      <c r="BH4" s="3" t="e">
        <f>BO4*BH5</f>
        <v>#REF!</v>
      </c>
      <c r="BI4" s="3" t="e">
        <f>BO4*BI5</f>
        <v>#REF!</v>
      </c>
      <c r="BJ4" s="3" t="e">
        <f>BO4*BJ5</f>
        <v>#REF!</v>
      </c>
      <c r="BK4" s="3" t="e">
        <f>BO4*BK5</f>
        <v>#REF!</v>
      </c>
      <c r="BL4" s="3" t="e">
        <f>BO4*BL5</f>
        <v>#REF!</v>
      </c>
      <c r="BM4" s="3" t="e">
        <f>BO4*BM5</f>
        <v>#REF!</v>
      </c>
      <c r="BN4" s="3" t="e">
        <f>BO4*BN5</f>
        <v>#REF!</v>
      </c>
      <c r="BO4" s="63" t="e">
        <f>BO3-BB3</f>
        <v>#REF!</v>
      </c>
    </row>
    <row r="5" spans="1:67" s="40" customFormat="1">
      <c r="A5" s="40" t="s">
        <v>155</v>
      </c>
      <c r="C5" s="40">
        <f>100%/12</f>
        <v>8.3333333333333329E-2</v>
      </c>
      <c r="D5" s="40">
        <f t="shared" ref="D5:M5" si="45">100%/12</f>
        <v>8.3333333333333329E-2</v>
      </c>
      <c r="E5" s="40">
        <f t="shared" si="45"/>
        <v>8.3333333333333329E-2</v>
      </c>
      <c r="F5" s="40">
        <f t="shared" si="45"/>
        <v>8.3333333333333329E-2</v>
      </c>
      <c r="G5" s="40">
        <f t="shared" si="45"/>
        <v>8.3333333333333329E-2</v>
      </c>
      <c r="H5" s="40">
        <f t="shared" si="45"/>
        <v>8.3333333333333329E-2</v>
      </c>
      <c r="I5" s="40">
        <f t="shared" si="45"/>
        <v>8.3333333333333329E-2</v>
      </c>
      <c r="J5" s="40">
        <f t="shared" si="45"/>
        <v>8.3333333333333329E-2</v>
      </c>
      <c r="K5" s="40">
        <f t="shared" si="45"/>
        <v>8.3333333333333329E-2</v>
      </c>
      <c r="L5" s="40">
        <f t="shared" si="45"/>
        <v>8.3333333333333329E-2</v>
      </c>
      <c r="M5" s="40">
        <f t="shared" si="45"/>
        <v>8.3333333333333329E-2</v>
      </c>
      <c r="N5" s="40">
        <f>100%-SUM(C5:M5)</f>
        <v>8.3333333333333259E-2</v>
      </c>
      <c r="O5" s="77">
        <f>SUM(C5:N5)</f>
        <v>1</v>
      </c>
      <c r="P5" s="40">
        <f>100%/12</f>
        <v>8.3333333333333329E-2</v>
      </c>
      <c r="Q5" s="40">
        <f t="shared" ref="Q5:Z5" si="46">100%/12</f>
        <v>8.3333333333333329E-2</v>
      </c>
      <c r="R5" s="40">
        <f t="shared" si="46"/>
        <v>8.3333333333333329E-2</v>
      </c>
      <c r="S5" s="40">
        <f t="shared" si="46"/>
        <v>8.3333333333333329E-2</v>
      </c>
      <c r="T5" s="40">
        <f t="shared" si="46"/>
        <v>8.3333333333333329E-2</v>
      </c>
      <c r="U5" s="40">
        <f t="shared" si="46"/>
        <v>8.3333333333333329E-2</v>
      </c>
      <c r="V5" s="40">
        <f t="shared" si="46"/>
        <v>8.3333333333333329E-2</v>
      </c>
      <c r="W5" s="40">
        <f t="shared" si="46"/>
        <v>8.3333333333333329E-2</v>
      </c>
      <c r="X5" s="40">
        <f t="shared" si="46"/>
        <v>8.3333333333333329E-2</v>
      </c>
      <c r="Y5" s="40">
        <f t="shared" si="46"/>
        <v>8.3333333333333329E-2</v>
      </c>
      <c r="Z5" s="40">
        <f t="shared" si="46"/>
        <v>8.3333333333333329E-2</v>
      </c>
      <c r="AA5" s="40">
        <f>100%-SUM(P5:Z5)</f>
        <v>8.3333333333333259E-2</v>
      </c>
      <c r="AB5" s="77">
        <f>SUM(P5:AA5)</f>
        <v>1</v>
      </c>
      <c r="AC5" s="40">
        <f>100%/12</f>
        <v>8.3333333333333329E-2</v>
      </c>
      <c r="AD5" s="40">
        <f t="shared" ref="AD5:AM5" si="47">100%/12</f>
        <v>8.3333333333333329E-2</v>
      </c>
      <c r="AE5" s="40">
        <f t="shared" si="47"/>
        <v>8.3333333333333329E-2</v>
      </c>
      <c r="AF5" s="40">
        <f t="shared" si="47"/>
        <v>8.3333333333333329E-2</v>
      </c>
      <c r="AG5" s="40">
        <f t="shared" si="47"/>
        <v>8.3333333333333329E-2</v>
      </c>
      <c r="AH5" s="40">
        <f t="shared" si="47"/>
        <v>8.3333333333333329E-2</v>
      </c>
      <c r="AI5" s="40">
        <f t="shared" si="47"/>
        <v>8.3333333333333329E-2</v>
      </c>
      <c r="AJ5" s="40">
        <f t="shared" si="47"/>
        <v>8.3333333333333329E-2</v>
      </c>
      <c r="AK5" s="40">
        <f t="shared" si="47"/>
        <v>8.3333333333333329E-2</v>
      </c>
      <c r="AL5" s="40">
        <f t="shared" si="47"/>
        <v>8.3333333333333329E-2</v>
      </c>
      <c r="AM5" s="40">
        <f t="shared" si="47"/>
        <v>8.3333333333333329E-2</v>
      </c>
      <c r="AN5" s="40">
        <f>100%-SUM(AC5:AM5)</f>
        <v>8.3333333333333259E-2</v>
      </c>
      <c r="AO5" s="77">
        <f>SUM(AC5:AN5)</f>
        <v>1</v>
      </c>
      <c r="AP5" s="40">
        <f>100%/12</f>
        <v>8.3333333333333329E-2</v>
      </c>
      <c r="AQ5" s="40">
        <f t="shared" ref="AQ5:AZ5" si="48">100%/12</f>
        <v>8.3333333333333329E-2</v>
      </c>
      <c r="AR5" s="40">
        <f t="shared" si="48"/>
        <v>8.3333333333333329E-2</v>
      </c>
      <c r="AS5" s="40">
        <f t="shared" si="48"/>
        <v>8.3333333333333329E-2</v>
      </c>
      <c r="AT5" s="40">
        <f t="shared" si="48"/>
        <v>8.3333333333333329E-2</v>
      </c>
      <c r="AU5" s="40">
        <f t="shared" si="48"/>
        <v>8.3333333333333329E-2</v>
      </c>
      <c r="AV5" s="40">
        <f t="shared" si="48"/>
        <v>8.3333333333333329E-2</v>
      </c>
      <c r="AW5" s="40">
        <f t="shared" si="48"/>
        <v>8.3333333333333329E-2</v>
      </c>
      <c r="AX5" s="40">
        <f t="shared" si="48"/>
        <v>8.3333333333333329E-2</v>
      </c>
      <c r="AY5" s="40">
        <f t="shared" si="48"/>
        <v>8.3333333333333329E-2</v>
      </c>
      <c r="AZ5" s="40">
        <f t="shared" si="48"/>
        <v>8.3333333333333329E-2</v>
      </c>
      <c r="BA5" s="40">
        <f>100%-SUM(AP5:AZ5)</f>
        <v>8.3333333333333259E-2</v>
      </c>
      <c r="BB5" s="77">
        <f>SUM(AP5:BA5)</f>
        <v>1</v>
      </c>
      <c r="BC5" s="40">
        <f>100%/12</f>
        <v>8.3333333333333329E-2</v>
      </c>
      <c r="BD5" s="40">
        <f t="shared" ref="BD5:BM5" si="49">100%/12</f>
        <v>8.3333333333333329E-2</v>
      </c>
      <c r="BE5" s="40">
        <f t="shared" si="49"/>
        <v>8.3333333333333329E-2</v>
      </c>
      <c r="BF5" s="40">
        <f t="shared" si="49"/>
        <v>8.3333333333333329E-2</v>
      </c>
      <c r="BG5" s="40">
        <f t="shared" si="49"/>
        <v>8.3333333333333329E-2</v>
      </c>
      <c r="BH5" s="40">
        <f t="shared" si="49"/>
        <v>8.3333333333333329E-2</v>
      </c>
      <c r="BI5" s="40">
        <f t="shared" si="49"/>
        <v>8.3333333333333329E-2</v>
      </c>
      <c r="BJ5" s="40">
        <f t="shared" si="49"/>
        <v>8.3333333333333329E-2</v>
      </c>
      <c r="BK5" s="40">
        <f t="shared" si="49"/>
        <v>8.3333333333333329E-2</v>
      </c>
      <c r="BL5" s="40">
        <f t="shared" si="49"/>
        <v>8.3333333333333329E-2</v>
      </c>
      <c r="BM5" s="40">
        <f t="shared" si="49"/>
        <v>8.3333333333333329E-2</v>
      </c>
      <c r="BN5" s="40">
        <f>100%-SUM(BC5:BM5)</f>
        <v>8.3333333333333259E-2</v>
      </c>
      <c r="BO5" s="77">
        <f>SUM(BC5:BN5)</f>
        <v>1</v>
      </c>
    </row>
    <row r="6" spans="1:67" s="78" customFormat="1">
      <c r="A6" s="78" t="s">
        <v>124</v>
      </c>
      <c r="C6" s="78" t="e">
        <f>O6</f>
        <v>#REF!</v>
      </c>
      <c r="D6" s="78" t="e">
        <f>O6</f>
        <v>#REF!</v>
      </c>
      <c r="E6" s="78" t="e">
        <f>O6</f>
        <v>#REF!</v>
      </c>
      <c r="F6" s="78" t="e">
        <f>O6</f>
        <v>#REF!</v>
      </c>
      <c r="G6" s="78" t="e">
        <f>O6</f>
        <v>#REF!</v>
      </c>
      <c r="H6" s="78" t="e">
        <f>O6</f>
        <v>#REF!</v>
      </c>
      <c r="I6" s="78" t="e">
        <f>O6</f>
        <v>#REF!</v>
      </c>
      <c r="J6" s="78" t="e">
        <f>O6</f>
        <v>#REF!</v>
      </c>
      <c r="K6" s="78" t="e">
        <f>O6</f>
        <v>#REF!</v>
      </c>
      <c r="L6" s="78" t="e">
        <f>O6</f>
        <v>#REF!</v>
      </c>
      <c r="M6" s="78" t="e">
        <f>O6</f>
        <v>#REF!</v>
      </c>
      <c r="N6" s="78" t="e">
        <f>O6</f>
        <v>#REF!</v>
      </c>
      <c r="O6" s="80" t="e">
        <f>#REF!</f>
        <v>#REF!</v>
      </c>
      <c r="P6" s="78" t="e">
        <f>AB6</f>
        <v>#REF!</v>
      </c>
      <c r="Q6" s="78" t="e">
        <f>AB6</f>
        <v>#REF!</v>
      </c>
      <c r="R6" s="78" t="e">
        <f>AB6</f>
        <v>#REF!</v>
      </c>
      <c r="S6" s="78" t="e">
        <f>AB6</f>
        <v>#REF!</v>
      </c>
      <c r="T6" s="78" t="e">
        <f>AB6</f>
        <v>#REF!</v>
      </c>
      <c r="U6" s="78" t="e">
        <f>AB6</f>
        <v>#REF!</v>
      </c>
      <c r="V6" s="78" t="e">
        <f>AB6</f>
        <v>#REF!</v>
      </c>
      <c r="W6" s="78" t="e">
        <f>AB6</f>
        <v>#REF!</v>
      </c>
      <c r="X6" s="78" t="e">
        <f>AB6</f>
        <v>#REF!</v>
      </c>
      <c r="Y6" s="78" t="e">
        <f>AB6</f>
        <v>#REF!</v>
      </c>
      <c r="Z6" s="78" t="e">
        <f>AB6</f>
        <v>#REF!</v>
      </c>
      <c r="AA6" s="78" t="e">
        <f>AB6</f>
        <v>#REF!</v>
      </c>
      <c r="AB6" s="80" t="e">
        <f>#REF!</f>
        <v>#REF!</v>
      </c>
      <c r="AC6" s="78" t="e">
        <f>AO6</f>
        <v>#REF!</v>
      </c>
      <c r="AD6" s="78" t="e">
        <f>AO6</f>
        <v>#REF!</v>
      </c>
      <c r="AE6" s="78" t="e">
        <f>AO6</f>
        <v>#REF!</v>
      </c>
      <c r="AF6" s="78" t="e">
        <f>AO6</f>
        <v>#REF!</v>
      </c>
      <c r="AG6" s="78" t="e">
        <f>AO6</f>
        <v>#REF!</v>
      </c>
      <c r="AH6" s="78" t="e">
        <f>AO6</f>
        <v>#REF!</v>
      </c>
      <c r="AI6" s="78" t="e">
        <f>AO6</f>
        <v>#REF!</v>
      </c>
      <c r="AJ6" s="78" t="e">
        <f>AO6</f>
        <v>#REF!</v>
      </c>
      <c r="AK6" s="78" t="e">
        <f>AO6</f>
        <v>#REF!</v>
      </c>
      <c r="AL6" s="78" t="e">
        <f>AO6</f>
        <v>#REF!</v>
      </c>
      <c r="AM6" s="78" t="e">
        <f>AO6</f>
        <v>#REF!</v>
      </c>
      <c r="AN6" s="78" t="e">
        <f>AO6</f>
        <v>#REF!</v>
      </c>
      <c r="AO6" s="80" t="e">
        <f>#REF!</f>
        <v>#REF!</v>
      </c>
      <c r="AP6" s="78" t="e">
        <f>BB6</f>
        <v>#REF!</v>
      </c>
      <c r="AQ6" s="78" t="e">
        <f>BB6</f>
        <v>#REF!</v>
      </c>
      <c r="AR6" s="78" t="e">
        <f>BB6</f>
        <v>#REF!</v>
      </c>
      <c r="AS6" s="78" t="e">
        <f>BB6</f>
        <v>#REF!</v>
      </c>
      <c r="AT6" s="78" t="e">
        <f>BB6</f>
        <v>#REF!</v>
      </c>
      <c r="AU6" s="78" t="e">
        <f>BB6</f>
        <v>#REF!</v>
      </c>
      <c r="AV6" s="78" t="e">
        <f>BB6</f>
        <v>#REF!</v>
      </c>
      <c r="AW6" s="78" t="e">
        <f>BB6</f>
        <v>#REF!</v>
      </c>
      <c r="AX6" s="78" t="e">
        <f>BB6</f>
        <v>#REF!</v>
      </c>
      <c r="AY6" s="78" t="e">
        <f>BB6</f>
        <v>#REF!</v>
      </c>
      <c r="AZ6" s="78" t="e">
        <f>BB6</f>
        <v>#REF!</v>
      </c>
      <c r="BA6" s="78" t="e">
        <f>BB6</f>
        <v>#REF!</v>
      </c>
      <c r="BB6" s="80" t="e">
        <f>#REF!</f>
        <v>#REF!</v>
      </c>
      <c r="BC6" s="78" t="e">
        <f>BO6</f>
        <v>#REF!</v>
      </c>
      <c r="BD6" s="78" t="e">
        <f>BO6</f>
        <v>#REF!</v>
      </c>
      <c r="BE6" s="78" t="e">
        <f>BO6</f>
        <v>#REF!</v>
      </c>
      <c r="BF6" s="78" t="e">
        <f>BO6</f>
        <v>#REF!</v>
      </c>
      <c r="BG6" s="78" t="e">
        <f>BO6</f>
        <v>#REF!</v>
      </c>
      <c r="BH6" s="78" t="e">
        <f>BO6</f>
        <v>#REF!</v>
      </c>
      <c r="BI6" s="78" t="e">
        <f>BO6</f>
        <v>#REF!</v>
      </c>
      <c r="BJ6" s="78" t="e">
        <f>BO6</f>
        <v>#REF!</v>
      </c>
      <c r="BK6" s="78" t="e">
        <f>BO6</f>
        <v>#REF!</v>
      </c>
      <c r="BL6" s="78" t="e">
        <f>BO6</f>
        <v>#REF!</v>
      </c>
      <c r="BM6" s="78" t="e">
        <f>BO6</f>
        <v>#REF!</v>
      </c>
      <c r="BN6" s="78" t="e">
        <f>BO6</f>
        <v>#REF!</v>
      </c>
      <c r="BO6" s="80" t="e">
        <f>#REF!</f>
        <v>#REF!</v>
      </c>
    </row>
    <row r="7" spans="1:67" s="3" customFormat="1">
      <c r="A7" s="3" t="s">
        <v>162</v>
      </c>
      <c r="C7" s="63" t="e">
        <f t="shared" ref="C7:N7" si="50">C3*C6/1000000</f>
        <v>#REF!</v>
      </c>
      <c r="D7" s="63" t="e">
        <f t="shared" si="50"/>
        <v>#REF!</v>
      </c>
      <c r="E7" s="63" t="e">
        <f t="shared" si="50"/>
        <v>#REF!</v>
      </c>
      <c r="F7" s="63" t="e">
        <f t="shared" si="50"/>
        <v>#REF!</v>
      </c>
      <c r="G7" s="63" t="e">
        <f t="shared" si="50"/>
        <v>#REF!</v>
      </c>
      <c r="H7" s="63" t="e">
        <f t="shared" si="50"/>
        <v>#REF!</v>
      </c>
      <c r="I7" s="63" t="e">
        <f t="shared" si="50"/>
        <v>#REF!</v>
      </c>
      <c r="J7" s="63" t="e">
        <f t="shared" si="50"/>
        <v>#REF!</v>
      </c>
      <c r="K7" s="63" t="e">
        <f t="shared" si="50"/>
        <v>#REF!</v>
      </c>
      <c r="L7" s="63" t="e">
        <f t="shared" si="50"/>
        <v>#REF!</v>
      </c>
      <c r="M7" s="63" t="e">
        <f t="shared" si="50"/>
        <v>#REF!</v>
      </c>
      <c r="N7" s="63" t="e">
        <f t="shared" si="50"/>
        <v>#REF!</v>
      </c>
      <c r="O7" s="63" t="e">
        <f>O3*O6/1000000</f>
        <v>#REF!</v>
      </c>
      <c r="P7" s="63" t="e">
        <f t="shared" ref="P7" si="51">P3*P6/1000000</f>
        <v>#REF!</v>
      </c>
      <c r="Q7" s="63" t="e">
        <f t="shared" ref="Q7" si="52">Q3*Q6/1000000</f>
        <v>#REF!</v>
      </c>
      <c r="R7" s="63" t="e">
        <f t="shared" ref="R7" si="53">R3*R6/1000000</f>
        <v>#REF!</v>
      </c>
      <c r="S7" s="63" t="e">
        <f t="shared" ref="S7" si="54">S3*S6/1000000</f>
        <v>#REF!</v>
      </c>
      <c r="T7" s="63" t="e">
        <f t="shared" ref="T7" si="55">T3*T6/1000000</f>
        <v>#REF!</v>
      </c>
      <c r="U7" s="63" t="e">
        <f t="shared" ref="U7" si="56">U3*U6/1000000</f>
        <v>#REF!</v>
      </c>
      <c r="V7" s="63" t="e">
        <f t="shared" ref="V7" si="57">V3*V6/1000000</f>
        <v>#REF!</v>
      </c>
      <c r="W7" s="63" t="e">
        <f t="shared" ref="W7" si="58">W3*W6/1000000</f>
        <v>#REF!</v>
      </c>
      <c r="X7" s="63" t="e">
        <f t="shared" ref="X7" si="59">X3*X6/1000000</f>
        <v>#REF!</v>
      </c>
      <c r="Y7" s="63" t="e">
        <f t="shared" ref="Y7" si="60">Y3*Y6/1000000</f>
        <v>#REF!</v>
      </c>
      <c r="Z7" s="63" t="e">
        <f t="shared" ref="Z7" si="61">Z3*Z6/1000000</f>
        <v>#REF!</v>
      </c>
      <c r="AA7" s="63" t="e">
        <f t="shared" ref="AA7" si="62">AA3*AA6/1000000</f>
        <v>#REF!</v>
      </c>
      <c r="AB7" s="63" t="e">
        <f>AB3*AB6/1000000</f>
        <v>#REF!</v>
      </c>
      <c r="AC7" s="63" t="e">
        <f t="shared" ref="AC7" si="63">AC3*AC6/1000000</f>
        <v>#REF!</v>
      </c>
      <c r="AD7" s="63" t="e">
        <f t="shared" ref="AD7" si="64">AD3*AD6/1000000</f>
        <v>#REF!</v>
      </c>
      <c r="AE7" s="63" t="e">
        <f t="shared" ref="AE7" si="65">AE3*AE6/1000000</f>
        <v>#REF!</v>
      </c>
      <c r="AF7" s="63" t="e">
        <f t="shared" ref="AF7" si="66">AF3*AF6/1000000</f>
        <v>#REF!</v>
      </c>
      <c r="AG7" s="63" t="e">
        <f t="shared" ref="AG7" si="67">AG3*AG6/1000000</f>
        <v>#REF!</v>
      </c>
      <c r="AH7" s="63" t="e">
        <f t="shared" ref="AH7" si="68">AH3*AH6/1000000</f>
        <v>#REF!</v>
      </c>
      <c r="AI7" s="63" t="e">
        <f t="shared" ref="AI7" si="69">AI3*AI6/1000000</f>
        <v>#REF!</v>
      </c>
      <c r="AJ7" s="63" t="e">
        <f t="shared" ref="AJ7" si="70">AJ3*AJ6/1000000</f>
        <v>#REF!</v>
      </c>
      <c r="AK7" s="63" t="e">
        <f t="shared" ref="AK7" si="71">AK3*AK6/1000000</f>
        <v>#REF!</v>
      </c>
      <c r="AL7" s="63" t="e">
        <f t="shared" ref="AL7" si="72">AL3*AL6/1000000</f>
        <v>#REF!</v>
      </c>
      <c r="AM7" s="63" t="e">
        <f t="shared" ref="AM7" si="73">AM3*AM6/1000000</f>
        <v>#REF!</v>
      </c>
      <c r="AN7" s="63" t="e">
        <f t="shared" ref="AN7" si="74">AN3*AN6/1000000</f>
        <v>#REF!</v>
      </c>
      <c r="AO7" s="63" t="e">
        <f>AO3*AO6/1000000</f>
        <v>#REF!</v>
      </c>
      <c r="AP7" s="63" t="e">
        <f t="shared" ref="AP7" si="75">AP3*AP6/1000000</f>
        <v>#REF!</v>
      </c>
      <c r="AQ7" s="63" t="e">
        <f t="shared" ref="AQ7" si="76">AQ3*AQ6/1000000</f>
        <v>#REF!</v>
      </c>
      <c r="AR7" s="63" t="e">
        <f t="shared" ref="AR7" si="77">AR3*AR6/1000000</f>
        <v>#REF!</v>
      </c>
      <c r="AS7" s="63" t="e">
        <f t="shared" ref="AS7" si="78">AS3*AS6/1000000</f>
        <v>#REF!</v>
      </c>
      <c r="AT7" s="63" t="e">
        <f t="shared" ref="AT7" si="79">AT3*AT6/1000000</f>
        <v>#REF!</v>
      </c>
      <c r="AU7" s="63" t="e">
        <f t="shared" ref="AU7" si="80">AU3*AU6/1000000</f>
        <v>#REF!</v>
      </c>
      <c r="AV7" s="63" t="e">
        <f t="shared" ref="AV7" si="81">AV3*AV6/1000000</f>
        <v>#REF!</v>
      </c>
      <c r="AW7" s="63" t="e">
        <f t="shared" ref="AW7" si="82">AW3*AW6/1000000</f>
        <v>#REF!</v>
      </c>
      <c r="AX7" s="63" t="e">
        <f t="shared" ref="AX7" si="83">AX3*AX6/1000000</f>
        <v>#REF!</v>
      </c>
      <c r="AY7" s="63" t="e">
        <f t="shared" ref="AY7" si="84">AY3*AY6/1000000</f>
        <v>#REF!</v>
      </c>
      <c r="AZ7" s="63" t="e">
        <f t="shared" ref="AZ7" si="85">AZ3*AZ6/1000000</f>
        <v>#REF!</v>
      </c>
      <c r="BA7" s="63" t="e">
        <f t="shared" ref="BA7" si="86">BA3*BA6/1000000</f>
        <v>#REF!</v>
      </c>
      <c r="BB7" s="63" t="e">
        <f>BB3*BB6/1000000</f>
        <v>#REF!</v>
      </c>
      <c r="BC7" s="63" t="e">
        <f t="shared" ref="BC7" si="87">BC3*BC6/1000000</f>
        <v>#REF!</v>
      </c>
      <c r="BD7" s="63" t="e">
        <f t="shared" ref="BD7" si="88">BD3*BD6/1000000</f>
        <v>#REF!</v>
      </c>
      <c r="BE7" s="63" t="e">
        <f t="shared" ref="BE7" si="89">BE3*BE6/1000000</f>
        <v>#REF!</v>
      </c>
      <c r="BF7" s="63" t="e">
        <f t="shared" ref="BF7" si="90">BF3*BF6/1000000</f>
        <v>#REF!</v>
      </c>
      <c r="BG7" s="63" t="e">
        <f t="shared" ref="BG7" si="91">BG3*BG6/1000000</f>
        <v>#REF!</v>
      </c>
      <c r="BH7" s="63" t="e">
        <f t="shared" ref="BH7" si="92">BH3*BH6/1000000</f>
        <v>#REF!</v>
      </c>
      <c r="BI7" s="63" t="e">
        <f t="shared" ref="BI7" si="93">BI3*BI6/1000000</f>
        <v>#REF!</v>
      </c>
      <c r="BJ7" s="63" t="e">
        <f t="shared" ref="BJ7" si="94">BJ3*BJ6/1000000</f>
        <v>#REF!</v>
      </c>
      <c r="BK7" s="63" t="e">
        <f t="shared" ref="BK7" si="95">BK3*BK6/1000000</f>
        <v>#REF!</v>
      </c>
      <c r="BL7" s="63" t="e">
        <f t="shared" ref="BL7" si="96">BL3*BL6/1000000</f>
        <v>#REF!</v>
      </c>
      <c r="BM7" s="63" t="e">
        <f t="shared" ref="BM7" si="97">BM3*BM6/1000000</f>
        <v>#REF!</v>
      </c>
      <c r="BN7" s="63" t="e">
        <f t="shared" ref="BN7" si="98">BN3*BN6/1000000</f>
        <v>#REF!</v>
      </c>
      <c r="BO7" s="63" t="e">
        <f>BO3*BO6/1000000</f>
        <v>#REF!</v>
      </c>
    </row>
    <row r="8" spans="1:67" s="65" customFormat="1">
      <c r="A8" s="65" t="s">
        <v>113</v>
      </c>
      <c r="C8" s="65" t="e">
        <f>O8</f>
        <v>#REF!</v>
      </c>
      <c r="D8" s="65" t="e">
        <f>O8</f>
        <v>#REF!</v>
      </c>
      <c r="E8" s="65" t="e">
        <f>O8</f>
        <v>#REF!</v>
      </c>
      <c r="F8" s="65" t="e">
        <f>O8</f>
        <v>#REF!</v>
      </c>
      <c r="G8" s="65" t="e">
        <f>O8</f>
        <v>#REF!</v>
      </c>
      <c r="H8" s="65" t="e">
        <f>O8</f>
        <v>#REF!</v>
      </c>
      <c r="I8" s="65" t="e">
        <f>O8</f>
        <v>#REF!</v>
      </c>
      <c r="J8" s="65" t="e">
        <f>O8</f>
        <v>#REF!</v>
      </c>
      <c r="K8" s="65" t="e">
        <f>O8</f>
        <v>#REF!</v>
      </c>
      <c r="L8" s="65" t="e">
        <f>O8</f>
        <v>#REF!</v>
      </c>
      <c r="M8" s="65" t="e">
        <f>O8</f>
        <v>#REF!</v>
      </c>
      <c r="N8" s="65" t="e">
        <f>O8</f>
        <v>#REF!</v>
      </c>
      <c r="O8" s="67" t="e">
        <f>#REF!</f>
        <v>#REF!</v>
      </c>
      <c r="P8" s="65" t="e">
        <f>AB8</f>
        <v>#REF!</v>
      </c>
      <c r="Q8" s="65" t="e">
        <f>AB8</f>
        <v>#REF!</v>
      </c>
      <c r="R8" s="65" t="e">
        <f>AB8</f>
        <v>#REF!</v>
      </c>
      <c r="S8" s="65" t="e">
        <f>AB8</f>
        <v>#REF!</v>
      </c>
      <c r="T8" s="65" t="e">
        <f>AB8</f>
        <v>#REF!</v>
      </c>
      <c r="U8" s="65" t="e">
        <f>AB8</f>
        <v>#REF!</v>
      </c>
      <c r="V8" s="65" t="e">
        <f>AB8</f>
        <v>#REF!</v>
      </c>
      <c r="W8" s="65" t="e">
        <f>AB8</f>
        <v>#REF!</v>
      </c>
      <c r="X8" s="65" t="e">
        <f>AB8</f>
        <v>#REF!</v>
      </c>
      <c r="Y8" s="65" t="e">
        <f>AB8</f>
        <v>#REF!</v>
      </c>
      <c r="Z8" s="65" t="e">
        <f>AB8</f>
        <v>#REF!</v>
      </c>
      <c r="AA8" s="65" t="e">
        <f>AB8</f>
        <v>#REF!</v>
      </c>
      <c r="AB8" s="67" t="e">
        <f>#REF!</f>
        <v>#REF!</v>
      </c>
      <c r="AC8" s="65" t="e">
        <f>AO8</f>
        <v>#REF!</v>
      </c>
      <c r="AD8" s="65" t="e">
        <f>AO8</f>
        <v>#REF!</v>
      </c>
      <c r="AE8" s="65" t="e">
        <f>AO8</f>
        <v>#REF!</v>
      </c>
      <c r="AF8" s="65" t="e">
        <f>AO8</f>
        <v>#REF!</v>
      </c>
      <c r="AG8" s="65" t="e">
        <f>AO8</f>
        <v>#REF!</v>
      </c>
      <c r="AH8" s="65" t="e">
        <f>AO8</f>
        <v>#REF!</v>
      </c>
      <c r="AI8" s="65" t="e">
        <f>AO8</f>
        <v>#REF!</v>
      </c>
      <c r="AJ8" s="65" t="e">
        <f>AO8</f>
        <v>#REF!</v>
      </c>
      <c r="AK8" s="65" t="e">
        <f>AO8</f>
        <v>#REF!</v>
      </c>
      <c r="AL8" s="65" t="e">
        <f>AO8</f>
        <v>#REF!</v>
      </c>
      <c r="AM8" s="65" t="e">
        <f>AO8</f>
        <v>#REF!</v>
      </c>
      <c r="AN8" s="65" t="e">
        <f>AO8</f>
        <v>#REF!</v>
      </c>
      <c r="AO8" s="67" t="e">
        <f>#REF!</f>
        <v>#REF!</v>
      </c>
      <c r="AP8" s="65" t="e">
        <f>BB8</f>
        <v>#REF!</v>
      </c>
      <c r="AQ8" s="65" t="e">
        <f>BB8</f>
        <v>#REF!</v>
      </c>
      <c r="AR8" s="65" t="e">
        <f>BB8</f>
        <v>#REF!</v>
      </c>
      <c r="AS8" s="65" t="e">
        <f>BB8</f>
        <v>#REF!</v>
      </c>
      <c r="AT8" s="65" t="e">
        <f>BB8</f>
        <v>#REF!</v>
      </c>
      <c r="AU8" s="65" t="e">
        <f>BB8</f>
        <v>#REF!</v>
      </c>
      <c r="AV8" s="65" t="e">
        <f>BB8</f>
        <v>#REF!</v>
      </c>
      <c r="AW8" s="65" t="e">
        <f>BB8</f>
        <v>#REF!</v>
      </c>
      <c r="AX8" s="65" t="e">
        <f>BB8</f>
        <v>#REF!</v>
      </c>
      <c r="AY8" s="65" t="e">
        <f>BB8</f>
        <v>#REF!</v>
      </c>
      <c r="AZ8" s="65" t="e">
        <f>BB8</f>
        <v>#REF!</v>
      </c>
      <c r="BA8" s="65" t="e">
        <f>BB8</f>
        <v>#REF!</v>
      </c>
      <c r="BB8" s="67" t="e">
        <f>#REF!</f>
        <v>#REF!</v>
      </c>
      <c r="BC8" s="65" t="e">
        <f>BO8</f>
        <v>#REF!</v>
      </c>
      <c r="BD8" s="65" t="e">
        <f>BO8</f>
        <v>#REF!</v>
      </c>
      <c r="BE8" s="65" t="e">
        <f>BO8</f>
        <v>#REF!</v>
      </c>
      <c r="BF8" s="65" t="e">
        <f>BO8</f>
        <v>#REF!</v>
      </c>
      <c r="BG8" s="65" t="e">
        <f>BO8</f>
        <v>#REF!</v>
      </c>
      <c r="BH8" s="65" t="e">
        <f>BO8</f>
        <v>#REF!</v>
      </c>
      <c r="BI8" s="65" t="e">
        <f>BO8</f>
        <v>#REF!</v>
      </c>
      <c r="BJ8" s="65" t="e">
        <f>BO8</f>
        <v>#REF!</v>
      </c>
      <c r="BK8" s="65" t="e">
        <f>BO8</f>
        <v>#REF!</v>
      </c>
      <c r="BL8" s="65" t="e">
        <f>BO8</f>
        <v>#REF!</v>
      </c>
      <c r="BM8" s="65" t="e">
        <f>BO8</f>
        <v>#REF!</v>
      </c>
      <c r="BN8" s="65" t="e">
        <f>BO8</f>
        <v>#REF!</v>
      </c>
      <c r="BO8" s="67" t="e">
        <f>#REF!</f>
        <v>#REF!</v>
      </c>
    </row>
    <row r="9" spans="1:67" s="3" customFormat="1">
      <c r="A9" s="3" t="s">
        <v>128</v>
      </c>
      <c r="C9" s="3" t="e">
        <f t="shared" ref="C9:N9" si="99">C3*C8</f>
        <v>#REF!</v>
      </c>
      <c r="D9" s="3" t="e">
        <f t="shared" si="99"/>
        <v>#REF!</v>
      </c>
      <c r="E9" s="3" t="e">
        <f t="shared" si="99"/>
        <v>#REF!</v>
      </c>
      <c r="F9" s="3" t="e">
        <f t="shared" si="99"/>
        <v>#REF!</v>
      </c>
      <c r="G9" s="3" t="e">
        <f t="shared" si="99"/>
        <v>#REF!</v>
      </c>
      <c r="H9" s="3" t="e">
        <f t="shared" si="99"/>
        <v>#REF!</v>
      </c>
      <c r="I9" s="3" t="e">
        <f t="shared" si="99"/>
        <v>#REF!</v>
      </c>
      <c r="J9" s="3" t="e">
        <f t="shared" si="99"/>
        <v>#REF!</v>
      </c>
      <c r="K9" s="3" t="e">
        <f t="shared" si="99"/>
        <v>#REF!</v>
      </c>
      <c r="L9" s="3" t="e">
        <f t="shared" si="99"/>
        <v>#REF!</v>
      </c>
      <c r="M9" s="3" t="e">
        <f t="shared" si="99"/>
        <v>#REF!</v>
      </c>
      <c r="N9" s="3" t="e">
        <f t="shared" si="99"/>
        <v>#REF!</v>
      </c>
      <c r="O9" s="63" t="e">
        <f>O3*O8</f>
        <v>#REF!</v>
      </c>
      <c r="P9" s="3" t="e">
        <f t="shared" ref="P9" si="100">P3*P8</f>
        <v>#REF!</v>
      </c>
      <c r="Q9" s="3" t="e">
        <f t="shared" ref="Q9" si="101">Q3*Q8</f>
        <v>#REF!</v>
      </c>
      <c r="R9" s="3" t="e">
        <f t="shared" ref="R9" si="102">R3*R8</f>
        <v>#REF!</v>
      </c>
      <c r="S9" s="3" t="e">
        <f t="shared" ref="S9" si="103">S3*S8</f>
        <v>#REF!</v>
      </c>
      <c r="T9" s="3" t="e">
        <f t="shared" ref="T9" si="104">T3*T8</f>
        <v>#REF!</v>
      </c>
      <c r="U9" s="3" t="e">
        <f t="shared" ref="U9" si="105">U3*U8</f>
        <v>#REF!</v>
      </c>
      <c r="V9" s="3" t="e">
        <f t="shared" ref="V9" si="106">V3*V8</f>
        <v>#REF!</v>
      </c>
      <c r="W9" s="3" t="e">
        <f t="shared" ref="W9" si="107">W3*W8</f>
        <v>#REF!</v>
      </c>
      <c r="X9" s="3" t="e">
        <f t="shared" ref="X9" si="108">X3*X8</f>
        <v>#REF!</v>
      </c>
      <c r="Y9" s="3" t="e">
        <f t="shared" ref="Y9" si="109">Y3*Y8</f>
        <v>#REF!</v>
      </c>
      <c r="Z9" s="3" t="e">
        <f t="shared" ref="Z9" si="110">Z3*Z8</f>
        <v>#REF!</v>
      </c>
      <c r="AA9" s="3" t="e">
        <f t="shared" ref="AA9" si="111">AA3*AA8</f>
        <v>#REF!</v>
      </c>
      <c r="AB9" s="63" t="e">
        <f>AB3*AB8</f>
        <v>#REF!</v>
      </c>
      <c r="AC9" s="3" t="e">
        <f t="shared" ref="AC9" si="112">AC3*AC8</f>
        <v>#REF!</v>
      </c>
      <c r="AD9" s="3" t="e">
        <f t="shared" ref="AD9" si="113">AD3*AD8</f>
        <v>#REF!</v>
      </c>
      <c r="AE9" s="3" t="e">
        <f t="shared" ref="AE9" si="114">AE3*AE8</f>
        <v>#REF!</v>
      </c>
      <c r="AF9" s="3" t="e">
        <f t="shared" ref="AF9" si="115">AF3*AF8</f>
        <v>#REF!</v>
      </c>
      <c r="AG9" s="3" t="e">
        <f t="shared" ref="AG9" si="116">AG3*AG8</f>
        <v>#REF!</v>
      </c>
      <c r="AH9" s="3" t="e">
        <f t="shared" ref="AH9" si="117">AH3*AH8</f>
        <v>#REF!</v>
      </c>
      <c r="AI9" s="3" t="e">
        <f t="shared" ref="AI9" si="118">AI3*AI8</f>
        <v>#REF!</v>
      </c>
      <c r="AJ9" s="3" t="e">
        <f t="shared" ref="AJ9" si="119">AJ3*AJ8</f>
        <v>#REF!</v>
      </c>
      <c r="AK9" s="3" t="e">
        <f t="shared" ref="AK9" si="120">AK3*AK8</f>
        <v>#REF!</v>
      </c>
      <c r="AL9" s="3" t="e">
        <f t="shared" ref="AL9" si="121">AL3*AL8</f>
        <v>#REF!</v>
      </c>
      <c r="AM9" s="3" t="e">
        <f t="shared" ref="AM9" si="122">AM3*AM8</f>
        <v>#REF!</v>
      </c>
      <c r="AN9" s="3" t="e">
        <f t="shared" ref="AN9" si="123">AN3*AN8</f>
        <v>#REF!</v>
      </c>
      <c r="AO9" s="63" t="e">
        <f>AO3*AO8</f>
        <v>#REF!</v>
      </c>
      <c r="AP9" s="3" t="e">
        <f t="shared" ref="AP9" si="124">AP3*AP8</f>
        <v>#REF!</v>
      </c>
      <c r="AQ9" s="3" t="e">
        <f t="shared" ref="AQ9" si="125">AQ3*AQ8</f>
        <v>#REF!</v>
      </c>
      <c r="AR9" s="3" t="e">
        <f t="shared" ref="AR9" si="126">AR3*AR8</f>
        <v>#REF!</v>
      </c>
      <c r="AS9" s="3" t="e">
        <f t="shared" ref="AS9" si="127">AS3*AS8</f>
        <v>#REF!</v>
      </c>
      <c r="AT9" s="3" t="e">
        <f t="shared" ref="AT9" si="128">AT3*AT8</f>
        <v>#REF!</v>
      </c>
      <c r="AU9" s="3" t="e">
        <f t="shared" ref="AU9" si="129">AU3*AU8</f>
        <v>#REF!</v>
      </c>
      <c r="AV9" s="3" t="e">
        <f t="shared" ref="AV9" si="130">AV3*AV8</f>
        <v>#REF!</v>
      </c>
      <c r="AW9" s="3" t="e">
        <f t="shared" ref="AW9" si="131">AW3*AW8</f>
        <v>#REF!</v>
      </c>
      <c r="AX9" s="3" t="e">
        <f t="shared" ref="AX9" si="132">AX3*AX8</f>
        <v>#REF!</v>
      </c>
      <c r="AY9" s="3" t="e">
        <f t="shared" ref="AY9" si="133">AY3*AY8</f>
        <v>#REF!</v>
      </c>
      <c r="AZ9" s="3" t="e">
        <f t="shared" ref="AZ9" si="134">AZ3*AZ8</f>
        <v>#REF!</v>
      </c>
      <c r="BA9" s="3" t="e">
        <f t="shared" ref="BA9" si="135">BA3*BA8</f>
        <v>#REF!</v>
      </c>
      <c r="BB9" s="63" t="e">
        <f>BB3*BB8</f>
        <v>#REF!</v>
      </c>
      <c r="BC9" s="3" t="e">
        <f t="shared" ref="BC9" si="136">BC3*BC8</f>
        <v>#REF!</v>
      </c>
      <c r="BD9" s="3" t="e">
        <f t="shared" ref="BD9" si="137">BD3*BD8</f>
        <v>#REF!</v>
      </c>
      <c r="BE9" s="3" t="e">
        <f t="shared" ref="BE9" si="138">BE3*BE8</f>
        <v>#REF!</v>
      </c>
      <c r="BF9" s="3" t="e">
        <f t="shared" ref="BF9" si="139">BF3*BF8</f>
        <v>#REF!</v>
      </c>
      <c r="BG9" s="3" t="e">
        <f t="shared" ref="BG9" si="140">BG3*BG8</f>
        <v>#REF!</v>
      </c>
      <c r="BH9" s="3" t="e">
        <f t="shared" ref="BH9" si="141">BH3*BH8</f>
        <v>#REF!</v>
      </c>
      <c r="BI9" s="3" t="e">
        <f t="shared" ref="BI9" si="142">BI3*BI8</f>
        <v>#REF!</v>
      </c>
      <c r="BJ9" s="3" t="e">
        <f t="shared" ref="BJ9" si="143">BJ3*BJ8</f>
        <v>#REF!</v>
      </c>
      <c r="BK9" s="3" t="e">
        <f t="shared" ref="BK9" si="144">BK3*BK8</f>
        <v>#REF!</v>
      </c>
      <c r="BL9" s="3" t="e">
        <f t="shared" ref="BL9" si="145">BL3*BL8</f>
        <v>#REF!</v>
      </c>
      <c r="BM9" s="3" t="e">
        <f t="shared" ref="BM9" si="146">BM3*BM8</f>
        <v>#REF!</v>
      </c>
      <c r="BN9" s="3" t="e">
        <f t="shared" ref="BN9" si="147">BN3*BN8</f>
        <v>#REF!</v>
      </c>
      <c r="BO9" s="63" t="e">
        <f>BO3*BO8</f>
        <v>#REF!</v>
      </c>
    </row>
    <row r="10" spans="1:67" s="65" customFormat="1">
      <c r="A10" s="65" t="s">
        <v>161</v>
      </c>
      <c r="C10" s="65" t="e">
        <f>O10</f>
        <v>#REF!</v>
      </c>
      <c r="D10" s="65" t="e">
        <f>O10</f>
        <v>#REF!</v>
      </c>
      <c r="E10" s="65" t="e">
        <f>O10</f>
        <v>#REF!</v>
      </c>
      <c r="F10" s="65" t="e">
        <f>O10</f>
        <v>#REF!</v>
      </c>
      <c r="G10" s="65" t="e">
        <f>O10</f>
        <v>#REF!</v>
      </c>
      <c r="H10" s="65" t="e">
        <f>O10</f>
        <v>#REF!</v>
      </c>
      <c r="I10" s="65" t="e">
        <f>O10</f>
        <v>#REF!</v>
      </c>
      <c r="J10" s="65" t="e">
        <f>O10</f>
        <v>#REF!</v>
      </c>
      <c r="K10" s="65" t="e">
        <f>O10</f>
        <v>#REF!</v>
      </c>
      <c r="L10" s="65" t="e">
        <f>O10</f>
        <v>#REF!</v>
      </c>
      <c r="M10" s="65" t="e">
        <f>O10</f>
        <v>#REF!</v>
      </c>
      <c r="N10" s="65" t="e">
        <f>O10</f>
        <v>#REF!</v>
      </c>
      <c r="O10" s="67" t="e">
        <f>#REF!</f>
        <v>#REF!</v>
      </c>
      <c r="P10" s="65" t="e">
        <f>AB10</f>
        <v>#REF!</v>
      </c>
      <c r="Q10" s="65" t="e">
        <f>AB10</f>
        <v>#REF!</v>
      </c>
      <c r="R10" s="65" t="e">
        <f>AB10</f>
        <v>#REF!</v>
      </c>
      <c r="S10" s="65" t="e">
        <f>AB10</f>
        <v>#REF!</v>
      </c>
      <c r="T10" s="65" t="e">
        <f>AB10</f>
        <v>#REF!</v>
      </c>
      <c r="U10" s="65" t="e">
        <f>AB10</f>
        <v>#REF!</v>
      </c>
      <c r="V10" s="65" t="e">
        <f>AB10</f>
        <v>#REF!</v>
      </c>
      <c r="W10" s="65" t="e">
        <f>AB10</f>
        <v>#REF!</v>
      </c>
      <c r="X10" s="65" t="e">
        <f>AB10</f>
        <v>#REF!</v>
      </c>
      <c r="Y10" s="65" t="e">
        <f>AB10</f>
        <v>#REF!</v>
      </c>
      <c r="Z10" s="65" t="e">
        <f>AB10</f>
        <v>#REF!</v>
      </c>
      <c r="AA10" s="65" t="e">
        <f>AB10</f>
        <v>#REF!</v>
      </c>
      <c r="AB10" s="67" t="e">
        <f>#REF!</f>
        <v>#REF!</v>
      </c>
      <c r="AC10" s="65" t="e">
        <f>AO10</f>
        <v>#REF!</v>
      </c>
      <c r="AD10" s="65" t="e">
        <f>AO10</f>
        <v>#REF!</v>
      </c>
      <c r="AE10" s="65" t="e">
        <f>AO10</f>
        <v>#REF!</v>
      </c>
      <c r="AF10" s="65" t="e">
        <f>AO10</f>
        <v>#REF!</v>
      </c>
      <c r="AG10" s="65" t="e">
        <f>AO10</f>
        <v>#REF!</v>
      </c>
      <c r="AH10" s="65" t="e">
        <f>AO10</f>
        <v>#REF!</v>
      </c>
      <c r="AI10" s="65" t="e">
        <f>AO10</f>
        <v>#REF!</v>
      </c>
      <c r="AJ10" s="65" t="e">
        <f>AO10</f>
        <v>#REF!</v>
      </c>
      <c r="AK10" s="65" t="e">
        <f>AO10</f>
        <v>#REF!</v>
      </c>
      <c r="AL10" s="65" t="e">
        <f>AO10</f>
        <v>#REF!</v>
      </c>
      <c r="AM10" s="65" t="e">
        <f>AO10</f>
        <v>#REF!</v>
      </c>
      <c r="AN10" s="65" t="e">
        <f>AO10</f>
        <v>#REF!</v>
      </c>
      <c r="AO10" s="67" t="e">
        <f>#REF!</f>
        <v>#REF!</v>
      </c>
      <c r="AP10" s="65" t="e">
        <f>BB10</f>
        <v>#REF!</v>
      </c>
      <c r="AQ10" s="65" t="e">
        <f>BB10</f>
        <v>#REF!</v>
      </c>
      <c r="AR10" s="65" t="e">
        <f>BB10</f>
        <v>#REF!</v>
      </c>
      <c r="AS10" s="65" t="e">
        <f>BB10</f>
        <v>#REF!</v>
      </c>
      <c r="AT10" s="65" t="e">
        <f>BB10</f>
        <v>#REF!</v>
      </c>
      <c r="AU10" s="65" t="e">
        <f>BB10</f>
        <v>#REF!</v>
      </c>
      <c r="AV10" s="65" t="e">
        <f>BB10</f>
        <v>#REF!</v>
      </c>
      <c r="AW10" s="65" t="e">
        <f>BB10</f>
        <v>#REF!</v>
      </c>
      <c r="AX10" s="65" t="e">
        <f>BB10</f>
        <v>#REF!</v>
      </c>
      <c r="AY10" s="65" t="e">
        <f>BB10</f>
        <v>#REF!</v>
      </c>
      <c r="AZ10" s="65" t="e">
        <f>BB10</f>
        <v>#REF!</v>
      </c>
      <c r="BA10" s="65" t="e">
        <f>BB10</f>
        <v>#REF!</v>
      </c>
      <c r="BB10" s="67" t="e">
        <f>#REF!</f>
        <v>#REF!</v>
      </c>
      <c r="BC10" s="65" t="e">
        <f>BO10</f>
        <v>#REF!</v>
      </c>
      <c r="BD10" s="65" t="e">
        <f>BO10</f>
        <v>#REF!</v>
      </c>
      <c r="BE10" s="65" t="e">
        <f>BO10</f>
        <v>#REF!</v>
      </c>
      <c r="BF10" s="65" t="e">
        <f>BO10</f>
        <v>#REF!</v>
      </c>
      <c r="BG10" s="65" t="e">
        <f>BO10</f>
        <v>#REF!</v>
      </c>
      <c r="BH10" s="65" t="e">
        <f>BO10</f>
        <v>#REF!</v>
      </c>
      <c r="BI10" s="65" t="e">
        <f>BO10</f>
        <v>#REF!</v>
      </c>
      <c r="BJ10" s="65" t="e">
        <f>BO10</f>
        <v>#REF!</v>
      </c>
      <c r="BK10" s="65" t="e">
        <f>BO10</f>
        <v>#REF!</v>
      </c>
      <c r="BL10" s="65" t="e">
        <f>BO10</f>
        <v>#REF!</v>
      </c>
      <c r="BM10" s="65" t="e">
        <f>BO10</f>
        <v>#REF!</v>
      </c>
      <c r="BN10" s="65" t="e">
        <f>BO10</f>
        <v>#REF!</v>
      </c>
      <c r="BO10" s="67" t="e">
        <f>#REF!</f>
        <v>#REF!</v>
      </c>
    </row>
    <row r="11" spans="1:67" s="3" customFormat="1">
      <c r="A11" s="3" t="s">
        <v>165</v>
      </c>
      <c r="C11" s="3" t="e">
        <f t="shared" ref="C11:N11" si="148">C7*C10</f>
        <v>#REF!</v>
      </c>
      <c r="D11" s="3" t="e">
        <f t="shared" si="148"/>
        <v>#REF!</v>
      </c>
      <c r="E11" s="3" t="e">
        <f t="shared" si="148"/>
        <v>#REF!</v>
      </c>
      <c r="F11" s="3" t="e">
        <f t="shared" si="148"/>
        <v>#REF!</v>
      </c>
      <c r="G11" s="3" t="e">
        <f t="shared" si="148"/>
        <v>#REF!</v>
      </c>
      <c r="H11" s="3" t="e">
        <f t="shared" si="148"/>
        <v>#REF!</v>
      </c>
      <c r="I11" s="3" t="e">
        <f t="shared" si="148"/>
        <v>#REF!</v>
      </c>
      <c r="J11" s="3" t="e">
        <f t="shared" si="148"/>
        <v>#REF!</v>
      </c>
      <c r="K11" s="3" t="e">
        <f t="shared" si="148"/>
        <v>#REF!</v>
      </c>
      <c r="L11" s="3" t="e">
        <f t="shared" si="148"/>
        <v>#REF!</v>
      </c>
      <c r="M11" s="3" t="e">
        <f t="shared" si="148"/>
        <v>#REF!</v>
      </c>
      <c r="N11" s="3" t="e">
        <f t="shared" si="148"/>
        <v>#REF!</v>
      </c>
      <c r="O11" s="63" t="e">
        <f>O7*O10</f>
        <v>#REF!</v>
      </c>
      <c r="P11" s="3" t="e">
        <f t="shared" ref="P11" si="149">P7*P10</f>
        <v>#REF!</v>
      </c>
      <c r="Q11" s="3" t="e">
        <f t="shared" ref="Q11" si="150">Q7*Q10</f>
        <v>#REF!</v>
      </c>
      <c r="R11" s="3" t="e">
        <f t="shared" ref="R11" si="151">R7*R10</f>
        <v>#REF!</v>
      </c>
      <c r="S11" s="3" t="e">
        <f t="shared" ref="S11" si="152">S7*S10</f>
        <v>#REF!</v>
      </c>
      <c r="T11" s="3" t="e">
        <f t="shared" ref="T11" si="153">T7*T10</f>
        <v>#REF!</v>
      </c>
      <c r="U11" s="3" t="e">
        <f t="shared" ref="U11" si="154">U7*U10</f>
        <v>#REF!</v>
      </c>
      <c r="V11" s="3" t="e">
        <f t="shared" ref="V11" si="155">V7*V10</f>
        <v>#REF!</v>
      </c>
      <c r="W11" s="3" t="e">
        <f t="shared" ref="W11" si="156">W7*W10</f>
        <v>#REF!</v>
      </c>
      <c r="X11" s="3" t="e">
        <f t="shared" ref="X11" si="157">X7*X10</f>
        <v>#REF!</v>
      </c>
      <c r="Y11" s="3" t="e">
        <f t="shared" ref="Y11" si="158">Y7*Y10</f>
        <v>#REF!</v>
      </c>
      <c r="Z11" s="3" t="e">
        <f t="shared" ref="Z11" si="159">Z7*Z10</f>
        <v>#REF!</v>
      </c>
      <c r="AA11" s="3" t="e">
        <f t="shared" ref="AA11" si="160">AA7*AA10</f>
        <v>#REF!</v>
      </c>
      <c r="AB11" s="63" t="e">
        <f>AB7*AB10</f>
        <v>#REF!</v>
      </c>
      <c r="AC11" s="3" t="e">
        <f t="shared" ref="AC11" si="161">AC7*AC10</f>
        <v>#REF!</v>
      </c>
      <c r="AD11" s="3" t="e">
        <f t="shared" ref="AD11" si="162">AD7*AD10</f>
        <v>#REF!</v>
      </c>
      <c r="AE11" s="3" t="e">
        <f t="shared" ref="AE11" si="163">AE7*AE10</f>
        <v>#REF!</v>
      </c>
      <c r="AF11" s="3" t="e">
        <f t="shared" ref="AF11" si="164">AF7*AF10</f>
        <v>#REF!</v>
      </c>
      <c r="AG11" s="3" t="e">
        <f t="shared" ref="AG11" si="165">AG7*AG10</f>
        <v>#REF!</v>
      </c>
      <c r="AH11" s="3" t="e">
        <f t="shared" ref="AH11" si="166">AH7*AH10</f>
        <v>#REF!</v>
      </c>
      <c r="AI11" s="3" t="e">
        <f t="shared" ref="AI11" si="167">AI7*AI10</f>
        <v>#REF!</v>
      </c>
      <c r="AJ11" s="3" t="e">
        <f t="shared" ref="AJ11" si="168">AJ7*AJ10</f>
        <v>#REF!</v>
      </c>
      <c r="AK11" s="3" t="e">
        <f t="shared" ref="AK11" si="169">AK7*AK10</f>
        <v>#REF!</v>
      </c>
      <c r="AL11" s="3" t="e">
        <f t="shared" ref="AL11" si="170">AL7*AL10</f>
        <v>#REF!</v>
      </c>
      <c r="AM11" s="3" t="e">
        <f t="shared" ref="AM11" si="171">AM7*AM10</f>
        <v>#REF!</v>
      </c>
      <c r="AN11" s="3" t="e">
        <f t="shared" ref="AN11" si="172">AN7*AN10</f>
        <v>#REF!</v>
      </c>
      <c r="AO11" s="63" t="e">
        <f>AO7*AO10</f>
        <v>#REF!</v>
      </c>
      <c r="AP11" s="3" t="e">
        <f t="shared" ref="AP11" si="173">AP7*AP10</f>
        <v>#REF!</v>
      </c>
      <c r="AQ11" s="3" t="e">
        <f t="shared" ref="AQ11" si="174">AQ7*AQ10</f>
        <v>#REF!</v>
      </c>
      <c r="AR11" s="3" t="e">
        <f t="shared" ref="AR11" si="175">AR7*AR10</f>
        <v>#REF!</v>
      </c>
      <c r="AS11" s="3" t="e">
        <f t="shared" ref="AS11" si="176">AS7*AS10</f>
        <v>#REF!</v>
      </c>
      <c r="AT11" s="3" t="e">
        <f t="shared" ref="AT11" si="177">AT7*AT10</f>
        <v>#REF!</v>
      </c>
      <c r="AU11" s="3" t="e">
        <f t="shared" ref="AU11" si="178">AU7*AU10</f>
        <v>#REF!</v>
      </c>
      <c r="AV11" s="3" t="e">
        <f t="shared" ref="AV11" si="179">AV7*AV10</f>
        <v>#REF!</v>
      </c>
      <c r="AW11" s="3" t="e">
        <f t="shared" ref="AW11" si="180">AW7*AW10</f>
        <v>#REF!</v>
      </c>
      <c r="AX11" s="3" t="e">
        <f t="shared" ref="AX11" si="181">AX7*AX10</f>
        <v>#REF!</v>
      </c>
      <c r="AY11" s="3" t="e">
        <f t="shared" ref="AY11" si="182">AY7*AY10</f>
        <v>#REF!</v>
      </c>
      <c r="AZ11" s="3" t="e">
        <f t="shared" ref="AZ11" si="183">AZ7*AZ10</f>
        <v>#REF!</v>
      </c>
      <c r="BA11" s="3" t="e">
        <f t="shared" ref="BA11" si="184">BA7*BA10</f>
        <v>#REF!</v>
      </c>
      <c r="BB11" s="63" t="e">
        <f>BB7*BB10</f>
        <v>#REF!</v>
      </c>
      <c r="BC11" s="3" t="e">
        <f t="shared" ref="BC11" si="185">BC7*BC10</f>
        <v>#REF!</v>
      </c>
      <c r="BD11" s="3" t="e">
        <f t="shared" ref="BD11" si="186">BD7*BD10</f>
        <v>#REF!</v>
      </c>
      <c r="BE11" s="3" t="e">
        <f t="shared" ref="BE11" si="187">BE7*BE10</f>
        <v>#REF!</v>
      </c>
      <c r="BF11" s="3" t="e">
        <f t="shared" ref="BF11" si="188">BF7*BF10</f>
        <v>#REF!</v>
      </c>
      <c r="BG11" s="3" t="e">
        <f t="shared" ref="BG11" si="189">BG7*BG10</f>
        <v>#REF!</v>
      </c>
      <c r="BH11" s="3" t="e">
        <f t="shared" ref="BH11" si="190">BH7*BH10</f>
        <v>#REF!</v>
      </c>
      <c r="BI11" s="3" t="e">
        <f t="shared" ref="BI11" si="191">BI7*BI10</f>
        <v>#REF!</v>
      </c>
      <c r="BJ11" s="3" t="e">
        <f t="shared" ref="BJ11" si="192">BJ7*BJ10</f>
        <v>#REF!</v>
      </c>
      <c r="BK11" s="3" t="e">
        <f t="shared" ref="BK11" si="193">BK7*BK10</f>
        <v>#REF!</v>
      </c>
      <c r="BL11" s="3" t="e">
        <f t="shared" ref="BL11" si="194">BL7*BL10</f>
        <v>#REF!</v>
      </c>
      <c r="BM11" s="3" t="e">
        <f t="shared" ref="BM11" si="195">BM7*BM10</f>
        <v>#REF!</v>
      </c>
      <c r="BN11" s="3" t="e">
        <f t="shared" ref="BN11" si="196">BN7*BN10</f>
        <v>#REF!</v>
      </c>
      <c r="BO11" s="63" t="e">
        <f>BO7*BO10</f>
        <v>#REF!</v>
      </c>
    </row>
    <row r="12" spans="1:67" s="78" customFormat="1">
      <c r="A12" s="78" t="s">
        <v>114</v>
      </c>
      <c r="C12" s="78" t="e">
        <f t="shared" ref="C12:N12" si="197">C11*1000000/C9</f>
        <v>#REF!</v>
      </c>
      <c r="D12" s="78" t="e">
        <f t="shared" si="197"/>
        <v>#REF!</v>
      </c>
      <c r="E12" s="78" t="e">
        <f t="shared" si="197"/>
        <v>#REF!</v>
      </c>
      <c r="F12" s="78" t="e">
        <f t="shared" si="197"/>
        <v>#REF!</v>
      </c>
      <c r="G12" s="78" t="e">
        <f t="shared" si="197"/>
        <v>#REF!</v>
      </c>
      <c r="H12" s="78" t="e">
        <f t="shared" si="197"/>
        <v>#REF!</v>
      </c>
      <c r="I12" s="78" t="e">
        <f t="shared" si="197"/>
        <v>#REF!</v>
      </c>
      <c r="J12" s="78" t="e">
        <f t="shared" si="197"/>
        <v>#REF!</v>
      </c>
      <c r="K12" s="78" t="e">
        <f t="shared" si="197"/>
        <v>#REF!</v>
      </c>
      <c r="L12" s="78" t="e">
        <f t="shared" si="197"/>
        <v>#REF!</v>
      </c>
      <c r="M12" s="78" t="e">
        <f t="shared" si="197"/>
        <v>#REF!</v>
      </c>
      <c r="N12" s="78" t="e">
        <f t="shared" si="197"/>
        <v>#REF!</v>
      </c>
      <c r="O12" s="79" t="e">
        <f>O11*1000000/O9</f>
        <v>#REF!</v>
      </c>
      <c r="P12" s="78" t="e">
        <f t="shared" ref="P12" si="198">P11*1000000/P9</f>
        <v>#REF!</v>
      </c>
      <c r="Q12" s="78" t="e">
        <f t="shared" ref="Q12" si="199">Q11*1000000/Q9</f>
        <v>#REF!</v>
      </c>
      <c r="R12" s="78" t="e">
        <f t="shared" ref="R12" si="200">R11*1000000/R9</f>
        <v>#REF!</v>
      </c>
      <c r="S12" s="78" t="e">
        <f t="shared" ref="S12" si="201">S11*1000000/S9</f>
        <v>#REF!</v>
      </c>
      <c r="T12" s="78" t="e">
        <f t="shared" ref="T12" si="202">T11*1000000/T9</f>
        <v>#REF!</v>
      </c>
      <c r="U12" s="78" t="e">
        <f t="shared" ref="U12" si="203">U11*1000000/U9</f>
        <v>#REF!</v>
      </c>
      <c r="V12" s="78" t="e">
        <f t="shared" ref="V12" si="204">V11*1000000/V9</f>
        <v>#REF!</v>
      </c>
      <c r="W12" s="78" t="e">
        <f t="shared" ref="W12" si="205">W11*1000000/W9</f>
        <v>#REF!</v>
      </c>
      <c r="X12" s="78" t="e">
        <f t="shared" ref="X12" si="206">X11*1000000/X9</f>
        <v>#REF!</v>
      </c>
      <c r="Y12" s="78" t="e">
        <f t="shared" ref="Y12" si="207">Y11*1000000/Y9</f>
        <v>#REF!</v>
      </c>
      <c r="Z12" s="78" t="e">
        <f t="shared" ref="Z12" si="208">Z11*1000000/Z9</f>
        <v>#REF!</v>
      </c>
      <c r="AA12" s="78" t="e">
        <f t="shared" ref="AA12" si="209">AA11*1000000/AA9</f>
        <v>#REF!</v>
      </c>
      <c r="AB12" s="79" t="e">
        <f>AB11*1000000/AB9</f>
        <v>#REF!</v>
      </c>
      <c r="AC12" s="78" t="e">
        <f t="shared" ref="AC12" si="210">AC11*1000000/AC9</f>
        <v>#REF!</v>
      </c>
      <c r="AD12" s="78" t="e">
        <f t="shared" ref="AD12" si="211">AD11*1000000/AD9</f>
        <v>#REF!</v>
      </c>
      <c r="AE12" s="78" t="e">
        <f t="shared" ref="AE12" si="212">AE11*1000000/AE9</f>
        <v>#REF!</v>
      </c>
      <c r="AF12" s="78" t="e">
        <f t="shared" ref="AF12" si="213">AF11*1000000/AF9</f>
        <v>#REF!</v>
      </c>
      <c r="AG12" s="78" t="e">
        <f t="shared" ref="AG12" si="214">AG11*1000000/AG9</f>
        <v>#REF!</v>
      </c>
      <c r="AH12" s="78" t="e">
        <f t="shared" ref="AH12" si="215">AH11*1000000/AH9</f>
        <v>#REF!</v>
      </c>
      <c r="AI12" s="78" t="e">
        <f t="shared" ref="AI12" si="216">AI11*1000000/AI9</f>
        <v>#REF!</v>
      </c>
      <c r="AJ12" s="78" t="e">
        <f t="shared" ref="AJ12" si="217">AJ11*1000000/AJ9</f>
        <v>#REF!</v>
      </c>
      <c r="AK12" s="78" t="e">
        <f t="shared" ref="AK12" si="218">AK11*1000000/AK9</f>
        <v>#REF!</v>
      </c>
      <c r="AL12" s="78" t="e">
        <f t="shared" ref="AL12" si="219">AL11*1000000/AL9</f>
        <v>#REF!</v>
      </c>
      <c r="AM12" s="78" t="e">
        <f t="shared" ref="AM12" si="220">AM11*1000000/AM9</f>
        <v>#REF!</v>
      </c>
      <c r="AN12" s="78" t="e">
        <f t="shared" ref="AN12" si="221">AN11*1000000/AN9</f>
        <v>#REF!</v>
      </c>
      <c r="AO12" s="79" t="e">
        <f>AO11*1000000/AO9</f>
        <v>#REF!</v>
      </c>
      <c r="AP12" s="78" t="e">
        <f t="shared" ref="AP12" si="222">AP11*1000000/AP9</f>
        <v>#REF!</v>
      </c>
      <c r="AQ12" s="78" t="e">
        <f t="shared" ref="AQ12" si="223">AQ11*1000000/AQ9</f>
        <v>#REF!</v>
      </c>
      <c r="AR12" s="78" t="e">
        <f t="shared" ref="AR12" si="224">AR11*1000000/AR9</f>
        <v>#REF!</v>
      </c>
      <c r="AS12" s="78" t="e">
        <f t="shared" ref="AS12" si="225">AS11*1000000/AS9</f>
        <v>#REF!</v>
      </c>
      <c r="AT12" s="78" t="e">
        <f t="shared" ref="AT12" si="226">AT11*1000000/AT9</f>
        <v>#REF!</v>
      </c>
      <c r="AU12" s="78" t="e">
        <f t="shared" ref="AU12" si="227">AU11*1000000/AU9</f>
        <v>#REF!</v>
      </c>
      <c r="AV12" s="78" t="e">
        <f t="shared" ref="AV12" si="228">AV11*1000000/AV9</f>
        <v>#REF!</v>
      </c>
      <c r="AW12" s="78" t="e">
        <f t="shared" ref="AW12" si="229">AW11*1000000/AW9</f>
        <v>#REF!</v>
      </c>
      <c r="AX12" s="78" t="e">
        <f t="shared" ref="AX12" si="230">AX11*1000000/AX9</f>
        <v>#REF!</v>
      </c>
      <c r="AY12" s="78" t="e">
        <f t="shared" ref="AY12" si="231">AY11*1000000/AY9</f>
        <v>#REF!</v>
      </c>
      <c r="AZ12" s="78" t="e">
        <f t="shared" ref="AZ12" si="232">AZ11*1000000/AZ9</f>
        <v>#REF!</v>
      </c>
      <c r="BA12" s="78" t="e">
        <f t="shared" ref="BA12" si="233">BA11*1000000/BA9</f>
        <v>#REF!</v>
      </c>
      <c r="BB12" s="79" t="e">
        <f>BB11*1000000/BB9</f>
        <v>#REF!</v>
      </c>
      <c r="BC12" s="78" t="e">
        <f t="shared" ref="BC12" si="234">BC11*1000000/BC9</f>
        <v>#REF!</v>
      </c>
      <c r="BD12" s="78" t="e">
        <f t="shared" ref="BD12" si="235">BD11*1000000/BD9</f>
        <v>#REF!</v>
      </c>
      <c r="BE12" s="78" t="e">
        <f t="shared" ref="BE12" si="236">BE11*1000000/BE9</f>
        <v>#REF!</v>
      </c>
      <c r="BF12" s="78" t="e">
        <f t="shared" ref="BF12" si="237">BF11*1000000/BF9</f>
        <v>#REF!</v>
      </c>
      <c r="BG12" s="78" t="e">
        <f t="shared" ref="BG12" si="238">BG11*1000000/BG9</f>
        <v>#REF!</v>
      </c>
      <c r="BH12" s="78" t="e">
        <f t="shared" ref="BH12" si="239">BH11*1000000/BH9</f>
        <v>#REF!</v>
      </c>
      <c r="BI12" s="78" t="e">
        <f t="shared" ref="BI12" si="240">BI11*1000000/BI9</f>
        <v>#REF!</v>
      </c>
      <c r="BJ12" s="78" t="e">
        <f t="shared" ref="BJ12" si="241">BJ11*1000000/BJ9</f>
        <v>#REF!</v>
      </c>
      <c r="BK12" s="78" t="e">
        <f t="shared" ref="BK12" si="242">BK11*1000000/BK9</f>
        <v>#REF!</v>
      </c>
      <c r="BL12" s="78" t="e">
        <f t="shared" ref="BL12" si="243">BL11*1000000/BL9</f>
        <v>#REF!</v>
      </c>
      <c r="BM12" s="78" t="e">
        <f t="shared" ref="BM12" si="244">BM11*1000000/BM9</f>
        <v>#REF!</v>
      </c>
      <c r="BN12" s="78" t="e">
        <f t="shared" ref="BN12" si="245">BN11*1000000/BN9</f>
        <v>#REF!</v>
      </c>
      <c r="BO12" s="79" t="e">
        <f>BO11*1000000/BO9</f>
        <v>#REF!</v>
      </c>
    </row>
    <row r="13" spans="1:67" s="43" customFormat="1">
      <c r="A13" s="43" t="s">
        <v>163</v>
      </c>
      <c r="C13" s="43" t="e">
        <f>C7*C8</f>
        <v>#REF!</v>
      </c>
      <c r="D13" s="43" t="e">
        <f t="shared" ref="D13:N13" si="246">D7*D8</f>
        <v>#REF!</v>
      </c>
      <c r="E13" s="43" t="e">
        <f t="shared" si="246"/>
        <v>#REF!</v>
      </c>
      <c r="F13" s="43" t="e">
        <f t="shared" si="246"/>
        <v>#REF!</v>
      </c>
      <c r="G13" s="43" t="e">
        <f t="shared" si="246"/>
        <v>#REF!</v>
      </c>
      <c r="H13" s="43" t="e">
        <f t="shared" si="246"/>
        <v>#REF!</v>
      </c>
      <c r="I13" s="43" t="e">
        <f t="shared" si="246"/>
        <v>#REF!</v>
      </c>
      <c r="J13" s="43" t="e">
        <f t="shared" si="246"/>
        <v>#REF!</v>
      </c>
      <c r="K13" s="43" t="e">
        <f t="shared" si="246"/>
        <v>#REF!</v>
      </c>
      <c r="L13" s="43" t="e">
        <f t="shared" si="246"/>
        <v>#REF!</v>
      </c>
      <c r="M13" s="43" t="e">
        <f t="shared" si="246"/>
        <v>#REF!</v>
      </c>
      <c r="N13" s="43" t="e">
        <f t="shared" si="246"/>
        <v>#REF!</v>
      </c>
      <c r="O13" s="75" t="e">
        <f>SUM(C13:N13)</f>
        <v>#REF!</v>
      </c>
      <c r="P13" s="43" t="e">
        <f>P7*P8</f>
        <v>#REF!</v>
      </c>
      <c r="Q13" s="43" t="e">
        <f t="shared" ref="Q13:AA13" si="247">Q7*Q8</f>
        <v>#REF!</v>
      </c>
      <c r="R13" s="43" t="e">
        <f t="shared" si="247"/>
        <v>#REF!</v>
      </c>
      <c r="S13" s="43" t="e">
        <f t="shared" si="247"/>
        <v>#REF!</v>
      </c>
      <c r="T13" s="43" t="e">
        <f t="shared" si="247"/>
        <v>#REF!</v>
      </c>
      <c r="U13" s="43" t="e">
        <f t="shared" si="247"/>
        <v>#REF!</v>
      </c>
      <c r="V13" s="43" t="e">
        <f t="shared" si="247"/>
        <v>#REF!</v>
      </c>
      <c r="W13" s="43" t="e">
        <f t="shared" si="247"/>
        <v>#REF!</v>
      </c>
      <c r="X13" s="43" t="e">
        <f t="shared" si="247"/>
        <v>#REF!</v>
      </c>
      <c r="Y13" s="43" t="e">
        <f t="shared" si="247"/>
        <v>#REF!</v>
      </c>
      <c r="Z13" s="43" t="e">
        <f t="shared" si="247"/>
        <v>#REF!</v>
      </c>
      <c r="AA13" s="43" t="e">
        <f t="shared" si="247"/>
        <v>#REF!</v>
      </c>
      <c r="AB13" s="75" t="e">
        <f>SUM(P13:AA13)</f>
        <v>#REF!</v>
      </c>
      <c r="AC13" s="43" t="e">
        <f>AC7*AC8</f>
        <v>#REF!</v>
      </c>
      <c r="AD13" s="43" t="e">
        <f t="shared" ref="AD13:AN13" si="248">AD7*AD8</f>
        <v>#REF!</v>
      </c>
      <c r="AE13" s="43" t="e">
        <f t="shared" si="248"/>
        <v>#REF!</v>
      </c>
      <c r="AF13" s="43" t="e">
        <f t="shared" si="248"/>
        <v>#REF!</v>
      </c>
      <c r="AG13" s="43" t="e">
        <f t="shared" si="248"/>
        <v>#REF!</v>
      </c>
      <c r="AH13" s="43" t="e">
        <f t="shared" si="248"/>
        <v>#REF!</v>
      </c>
      <c r="AI13" s="43" t="e">
        <f t="shared" si="248"/>
        <v>#REF!</v>
      </c>
      <c r="AJ13" s="43" t="e">
        <f t="shared" si="248"/>
        <v>#REF!</v>
      </c>
      <c r="AK13" s="43" t="e">
        <f t="shared" si="248"/>
        <v>#REF!</v>
      </c>
      <c r="AL13" s="43" t="e">
        <f t="shared" si="248"/>
        <v>#REF!</v>
      </c>
      <c r="AM13" s="43" t="e">
        <f t="shared" si="248"/>
        <v>#REF!</v>
      </c>
      <c r="AN13" s="43" t="e">
        <f t="shared" si="248"/>
        <v>#REF!</v>
      </c>
      <c r="AO13" s="75" t="e">
        <f>SUM(AC13:AN13)</f>
        <v>#REF!</v>
      </c>
      <c r="AP13" s="43" t="e">
        <f>AP7*AP8</f>
        <v>#REF!</v>
      </c>
      <c r="AQ13" s="43" t="e">
        <f t="shared" ref="AQ13:BA13" si="249">AQ7*AQ8</f>
        <v>#REF!</v>
      </c>
      <c r="AR13" s="43" t="e">
        <f t="shared" si="249"/>
        <v>#REF!</v>
      </c>
      <c r="AS13" s="43" t="e">
        <f t="shared" si="249"/>
        <v>#REF!</v>
      </c>
      <c r="AT13" s="43" t="e">
        <f t="shared" si="249"/>
        <v>#REF!</v>
      </c>
      <c r="AU13" s="43" t="e">
        <f t="shared" si="249"/>
        <v>#REF!</v>
      </c>
      <c r="AV13" s="43" t="e">
        <f t="shared" si="249"/>
        <v>#REF!</v>
      </c>
      <c r="AW13" s="43" t="e">
        <f t="shared" si="249"/>
        <v>#REF!</v>
      </c>
      <c r="AX13" s="43" t="e">
        <f t="shared" si="249"/>
        <v>#REF!</v>
      </c>
      <c r="AY13" s="43" t="e">
        <f t="shared" si="249"/>
        <v>#REF!</v>
      </c>
      <c r="AZ13" s="43" t="e">
        <f t="shared" si="249"/>
        <v>#REF!</v>
      </c>
      <c r="BA13" s="43" t="e">
        <f t="shared" si="249"/>
        <v>#REF!</v>
      </c>
      <c r="BB13" s="75" t="e">
        <f>SUM(AP13:BA13)</f>
        <v>#REF!</v>
      </c>
      <c r="BC13" s="43" t="e">
        <f>BC7*BC8</f>
        <v>#REF!</v>
      </c>
      <c r="BD13" s="43" t="e">
        <f t="shared" ref="BD13:BN13" si="250">BD7*BD8</f>
        <v>#REF!</v>
      </c>
      <c r="BE13" s="43" t="e">
        <f t="shared" si="250"/>
        <v>#REF!</v>
      </c>
      <c r="BF13" s="43" t="e">
        <f t="shared" si="250"/>
        <v>#REF!</v>
      </c>
      <c r="BG13" s="43" t="e">
        <f t="shared" si="250"/>
        <v>#REF!</v>
      </c>
      <c r="BH13" s="43" t="e">
        <f t="shared" si="250"/>
        <v>#REF!</v>
      </c>
      <c r="BI13" s="43" t="e">
        <f t="shared" si="250"/>
        <v>#REF!</v>
      </c>
      <c r="BJ13" s="43" t="e">
        <f t="shared" si="250"/>
        <v>#REF!</v>
      </c>
      <c r="BK13" s="43" t="e">
        <f t="shared" si="250"/>
        <v>#REF!</v>
      </c>
      <c r="BL13" s="43" t="e">
        <f t="shared" si="250"/>
        <v>#REF!</v>
      </c>
      <c r="BM13" s="43" t="e">
        <f t="shared" si="250"/>
        <v>#REF!</v>
      </c>
      <c r="BN13" s="43" t="e">
        <f t="shared" si="250"/>
        <v>#REF!</v>
      </c>
      <c r="BO13" s="75" t="e">
        <f>SUM(BC13:BN13)</f>
        <v>#REF!</v>
      </c>
    </row>
    <row r="14" spans="1:67" s="3" customFormat="1">
      <c r="A14" s="3" t="s">
        <v>164</v>
      </c>
      <c r="C14" s="3" t="e">
        <f>C11-B11-C13</f>
        <v>#REF!</v>
      </c>
      <c r="D14" s="3" t="e">
        <f t="shared" ref="D14:N14" si="251">D11-C11-D13</f>
        <v>#REF!</v>
      </c>
      <c r="E14" s="3" t="e">
        <f t="shared" si="251"/>
        <v>#REF!</v>
      </c>
      <c r="F14" s="3" t="e">
        <f t="shared" si="251"/>
        <v>#REF!</v>
      </c>
      <c r="G14" s="3" t="e">
        <f t="shared" si="251"/>
        <v>#REF!</v>
      </c>
      <c r="H14" s="3" t="e">
        <f t="shared" si="251"/>
        <v>#REF!</v>
      </c>
      <c r="I14" s="3" t="e">
        <f t="shared" si="251"/>
        <v>#REF!</v>
      </c>
      <c r="J14" s="3" t="e">
        <f t="shared" si="251"/>
        <v>#REF!</v>
      </c>
      <c r="K14" s="3" t="e">
        <f t="shared" si="251"/>
        <v>#REF!</v>
      </c>
      <c r="L14" s="3" t="e">
        <f t="shared" si="251"/>
        <v>#REF!</v>
      </c>
      <c r="M14" s="3" t="e">
        <f t="shared" si="251"/>
        <v>#REF!</v>
      </c>
      <c r="N14" s="3" t="e">
        <f t="shared" si="251"/>
        <v>#REF!</v>
      </c>
      <c r="O14" s="63" t="e">
        <f>SUM(C14:N14)</f>
        <v>#REF!</v>
      </c>
      <c r="P14" s="3" t="e">
        <f>P11-O11-P13</f>
        <v>#REF!</v>
      </c>
      <c r="Q14" s="3" t="e">
        <f t="shared" ref="Q14" si="252">Q11-P11-Q13</f>
        <v>#REF!</v>
      </c>
      <c r="R14" s="3" t="e">
        <f t="shared" ref="R14" si="253">R11-Q11-R13</f>
        <v>#REF!</v>
      </c>
      <c r="S14" s="3" t="e">
        <f t="shared" ref="S14" si="254">S11-R11-S13</f>
        <v>#REF!</v>
      </c>
      <c r="T14" s="3" t="e">
        <f t="shared" ref="T14" si="255">T11-S11-T13</f>
        <v>#REF!</v>
      </c>
      <c r="U14" s="3" t="e">
        <f t="shared" ref="U14" si="256">U11-T11-U13</f>
        <v>#REF!</v>
      </c>
      <c r="V14" s="3" t="e">
        <f t="shared" ref="V14" si="257">V11-U11-V13</f>
        <v>#REF!</v>
      </c>
      <c r="W14" s="3" t="e">
        <f t="shared" ref="W14" si="258">W11-V11-W13</f>
        <v>#REF!</v>
      </c>
      <c r="X14" s="3" t="e">
        <f t="shared" ref="X14" si="259">X11-W11-X13</f>
        <v>#REF!</v>
      </c>
      <c r="Y14" s="3" t="e">
        <f t="shared" ref="Y14" si="260">Y11-X11-Y13</f>
        <v>#REF!</v>
      </c>
      <c r="Z14" s="3" t="e">
        <f t="shared" ref="Z14" si="261">Z11-Y11-Z13</f>
        <v>#REF!</v>
      </c>
      <c r="AA14" s="3" t="e">
        <f t="shared" ref="AA14" si="262">AA11-Z11-AA13</f>
        <v>#REF!</v>
      </c>
      <c r="AB14" s="63" t="e">
        <f>SUM(P14:AA14)</f>
        <v>#REF!</v>
      </c>
      <c r="AC14" s="3" t="e">
        <f>AC11-AB11-AC13</f>
        <v>#REF!</v>
      </c>
      <c r="AD14" s="3" t="e">
        <f t="shared" ref="AD14" si="263">AD11-AC11-AD13</f>
        <v>#REF!</v>
      </c>
      <c r="AE14" s="3" t="e">
        <f t="shared" ref="AE14" si="264">AE11-AD11-AE13</f>
        <v>#REF!</v>
      </c>
      <c r="AF14" s="3" t="e">
        <f t="shared" ref="AF14" si="265">AF11-AE11-AF13</f>
        <v>#REF!</v>
      </c>
      <c r="AG14" s="3" t="e">
        <f t="shared" ref="AG14" si="266">AG11-AF11-AG13</f>
        <v>#REF!</v>
      </c>
      <c r="AH14" s="3" t="e">
        <f t="shared" ref="AH14" si="267">AH11-AG11-AH13</f>
        <v>#REF!</v>
      </c>
      <c r="AI14" s="3" t="e">
        <f t="shared" ref="AI14" si="268">AI11-AH11-AI13</f>
        <v>#REF!</v>
      </c>
      <c r="AJ14" s="3" t="e">
        <f t="shared" ref="AJ14" si="269">AJ11-AI11-AJ13</f>
        <v>#REF!</v>
      </c>
      <c r="AK14" s="3" t="e">
        <f t="shared" ref="AK14" si="270">AK11-AJ11-AK13</f>
        <v>#REF!</v>
      </c>
      <c r="AL14" s="3" t="e">
        <f t="shared" ref="AL14" si="271">AL11-AK11-AL13</f>
        <v>#REF!</v>
      </c>
      <c r="AM14" s="3" t="e">
        <f t="shared" ref="AM14" si="272">AM11-AL11-AM13</f>
        <v>#REF!</v>
      </c>
      <c r="AN14" s="3" t="e">
        <f t="shared" ref="AN14" si="273">AN11-AM11-AN13</f>
        <v>#REF!</v>
      </c>
      <c r="AO14" s="63" t="e">
        <f>SUM(AC14:AN14)</f>
        <v>#REF!</v>
      </c>
      <c r="AP14" s="3" t="e">
        <f>AP11-AO11-AP13</f>
        <v>#REF!</v>
      </c>
      <c r="AQ14" s="3" t="e">
        <f t="shared" ref="AQ14" si="274">AQ11-AP11-AQ13</f>
        <v>#REF!</v>
      </c>
      <c r="AR14" s="3" t="e">
        <f t="shared" ref="AR14" si="275">AR11-AQ11-AR13</f>
        <v>#REF!</v>
      </c>
      <c r="AS14" s="3" t="e">
        <f t="shared" ref="AS14" si="276">AS11-AR11-AS13</f>
        <v>#REF!</v>
      </c>
      <c r="AT14" s="3" t="e">
        <f t="shared" ref="AT14" si="277">AT11-AS11-AT13</f>
        <v>#REF!</v>
      </c>
      <c r="AU14" s="3" t="e">
        <f t="shared" ref="AU14" si="278">AU11-AT11-AU13</f>
        <v>#REF!</v>
      </c>
      <c r="AV14" s="3" t="e">
        <f t="shared" ref="AV14" si="279">AV11-AU11-AV13</f>
        <v>#REF!</v>
      </c>
      <c r="AW14" s="3" t="e">
        <f t="shared" ref="AW14" si="280">AW11-AV11-AW13</f>
        <v>#REF!</v>
      </c>
      <c r="AX14" s="3" t="e">
        <f t="shared" ref="AX14" si="281">AX11-AW11-AX13</f>
        <v>#REF!</v>
      </c>
      <c r="AY14" s="3" t="e">
        <f t="shared" ref="AY14" si="282">AY11-AX11-AY13</f>
        <v>#REF!</v>
      </c>
      <c r="AZ14" s="3" t="e">
        <f t="shared" ref="AZ14" si="283">AZ11-AY11-AZ13</f>
        <v>#REF!</v>
      </c>
      <c r="BA14" s="3" t="e">
        <f t="shared" ref="BA14" si="284">BA11-AZ11-BA13</f>
        <v>#REF!</v>
      </c>
      <c r="BB14" s="63" t="e">
        <f>SUM(AP14:BA14)</f>
        <v>#REF!</v>
      </c>
      <c r="BC14" s="3" t="e">
        <f>BC11-BB11-BC13</f>
        <v>#REF!</v>
      </c>
      <c r="BD14" s="3" t="e">
        <f t="shared" ref="BD14" si="285">BD11-BC11-BD13</f>
        <v>#REF!</v>
      </c>
      <c r="BE14" s="3" t="e">
        <f t="shared" ref="BE14" si="286">BE11-BD11-BE13</f>
        <v>#REF!</v>
      </c>
      <c r="BF14" s="3" t="e">
        <f t="shared" ref="BF14" si="287">BF11-BE11-BF13</f>
        <v>#REF!</v>
      </c>
      <c r="BG14" s="3" t="e">
        <f t="shared" ref="BG14" si="288">BG11-BF11-BG13</f>
        <v>#REF!</v>
      </c>
      <c r="BH14" s="3" t="e">
        <f t="shared" ref="BH14" si="289">BH11-BG11-BH13</f>
        <v>#REF!</v>
      </c>
      <c r="BI14" s="3" t="e">
        <f t="shared" ref="BI14" si="290">BI11-BH11-BI13</f>
        <v>#REF!</v>
      </c>
      <c r="BJ14" s="3" t="e">
        <f t="shared" ref="BJ14" si="291">BJ11-BI11-BJ13</f>
        <v>#REF!</v>
      </c>
      <c r="BK14" s="3" t="e">
        <f t="shared" ref="BK14" si="292">BK11-BJ11-BK13</f>
        <v>#REF!</v>
      </c>
      <c r="BL14" s="3" t="e">
        <f t="shared" ref="BL14" si="293">BL11-BK11-BL13</f>
        <v>#REF!</v>
      </c>
      <c r="BM14" s="3" t="e">
        <f t="shared" ref="BM14" si="294">BM11-BL11-BM13</f>
        <v>#REF!</v>
      </c>
      <c r="BN14" s="3" t="e">
        <f t="shared" ref="BN14" si="295">BN11-BM11-BN13</f>
        <v>#REF!</v>
      </c>
      <c r="BO14" s="63" t="e">
        <f>SUM(BC14:BN14)</f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6"/>
  <sheetViews>
    <sheetView showGridLines="0" workbookViewId="0">
      <selection activeCell="E18" sqref="E18"/>
    </sheetView>
  </sheetViews>
  <sheetFormatPr defaultColWidth="11.44140625" defaultRowHeight="14.4"/>
  <cols>
    <col min="1" max="2" width="10.6640625" style="27"/>
    <col min="3" max="3" width="60.6640625" customWidth="1"/>
    <col min="4" max="5" width="17.109375" customWidth="1"/>
    <col min="6" max="6" width="14.33203125" customWidth="1"/>
    <col min="9" max="9" width="19.33203125" customWidth="1"/>
  </cols>
  <sheetData>
    <row r="1" spans="1:28">
      <c r="D1" s="29" t="s">
        <v>47</v>
      </c>
      <c r="E1" s="29" t="s">
        <v>48</v>
      </c>
    </row>
    <row r="2" spans="1:28">
      <c r="A2" s="27" t="s">
        <v>40</v>
      </c>
      <c r="B2" s="27">
        <v>1</v>
      </c>
      <c r="C2" s="29" t="s">
        <v>46</v>
      </c>
      <c r="D2" s="25" t="s">
        <v>36</v>
      </c>
      <c r="F2" t="s">
        <v>50</v>
      </c>
    </row>
    <row r="3" spans="1:28">
      <c r="A3" s="27" t="s">
        <v>67</v>
      </c>
      <c r="B3" s="27" t="s">
        <v>63</v>
      </c>
      <c r="C3" t="s">
        <v>34</v>
      </c>
      <c r="D3" t="s">
        <v>36</v>
      </c>
      <c r="E3" t="s">
        <v>49</v>
      </c>
      <c r="F3" t="s">
        <v>51</v>
      </c>
    </row>
    <row r="4" spans="1:28">
      <c r="A4" s="27" t="s">
        <v>66</v>
      </c>
      <c r="B4" s="27" t="s">
        <v>64</v>
      </c>
      <c r="C4" t="s">
        <v>45</v>
      </c>
      <c r="D4" s="28" t="s">
        <v>38</v>
      </c>
    </row>
    <row r="5" spans="1:28">
      <c r="A5" s="27" t="s">
        <v>69</v>
      </c>
      <c r="B5" s="27" t="s">
        <v>68</v>
      </c>
      <c r="C5" t="s">
        <v>43</v>
      </c>
      <c r="D5" t="s">
        <v>37</v>
      </c>
    </row>
    <row r="6" spans="1:28">
      <c r="B6" s="27" t="s">
        <v>31</v>
      </c>
      <c r="C6" t="s">
        <v>44</v>
      </c>
      <c r="D6" t="s">
        <v>37</v>
      </c>
    </row>
    <row r="8" spans="1:28">
      <c r="J8" s="29" t="s">
        <v>53</v>
      </c>
    </row>
    <row r="9" spans="1:28">
      <c r="A9" s="27" t="s">
        <v>35</v>
      </c>
      <c r="B9" s="27" t="s">
        <v>40</v>
      </c>
      <c r="C9" s="29" t="s">
        <v>30</v>
      </c>
      <c r="D9" s="25" t="s">
        <v>36</v>
      </c>
    </row>
    <row r="10" spans="1:28">
      <c r="B10" s="27" t="s">
        <v>35</v>
      </c>
      <c r="C10" t="s">
        <v>41</v>
      </c>
      <c r="D10" t="s">
        <v>42</v>
      </c>
      <c r="I10" t="s">
        <v>78</v>
      </c>
      <c r="J10" t="s">
        <v>65</v>
      </c>
    </row>
    <row r="11" spans="1:28">
      <c r="I11" s="32" t="s">
        <v>75</v>
      </c>
      <c r="J11" s="29" t="s">
        <v>61</v>
      </c>
    </row>
    <row r="12" spans="1:28">
      <c r="I12" s="30" t="s">
        <v>57</v>
      </c>
      <c r="J12" t="s">
        <v>52</v>
      </c>
      <c r="K12" s="26"/>
      <c r="AA12" t="s">
        <v>39</v>
      </c>
    </row>
    <row r="13" spans="1:28">
      <c r="D13" s="33"/>
      <c r="E13" s="33"/>
      <c r="F13" s="33"/>
      <c r="I13" t="s">
        <v>56</v>
      </c>
      <c r="J13" t="s">
        <v>54</v>
      </c>
      <c r="W13" t="s">
        <v>91</v>
      </c>
      <c r="AA13" t="s">
        <v>105</v>
      </c>
    </row>
    <row r="14" spans="1:28">
      <c r="D14" s="33"/>
      <c r="E14" s="33"/>
      <c r="F14" s="33"/>
      <c r="I14" s="30">
        <v>0.7</v>
      </c>
      <c r="J14" t="s">
        <v>60</v>
      </c>
      <c r="T14" t="s">
        <v>96</v>
      </c>
    </row>
    <row r="15" spans="1:28">
      <c r="D15" t="s">
        <v>90</v>
      </c>
      <c r="E15" t="s">
        <v>90</v>
      </c>
      <c r="F15" t="s">
        <v>90</v>
      </c>
      <c r="I15" s="30"/>
      <c r="W15" t="s">
        <v>92</v>
      </c>
      <c r="AB15" t="s">
        <v>104</v>
      </c>
    </row>
    <row r="16" spans="1:28">
      <c r="D16" s="29" t="s">
        <v>86</v>
      </c>
      <c r="E16" s="29" t="s">
        <v>87</v>
      </c>
      <c r="F16" s="29" t="s">
        <v>89</v>
      </c>
      <c r="J16" t="s">
        <v>55</v>
      </c>
      <c r="AB16" t="s">
        <v>103</v>
      </c>
    </row>
    <row r="17" spans="3:30">
      <c r="D17" t="s">
        <v>88</v>
      </c>
      <c r="E17" t="s">
        <v>88</v>
      </c>
      <c r="F17" t="s">
        <v>88</v>
      </c>
      <c r="I17" s="30" t="s">
        <v>58</v>
      </c>
      <c r="W17" t="s">
        <v>93</v>
      </c>
      <c r="AA17" t="s">
        <v>99</v>
      </c>
      <c r="AB17" t="s">
        <v>102</v>
      </c>
    </row>
    <row r="18" spans="3:30">
      <c r="E18" t="s">
        <v>32</v>
      </c>
      <c r="F18" t="s">
        <v>33</v>
      </c>
      <c r="J18" t="s">
        <v>59</v>
      </c>
      <c r="W18" t="s">
        <v>94</v>
      </c>
    </row>
    <row r="19" spans="3:30">
      <c r="I19" s="30">
        <v>0.9</v>
      </c>
      <c r="J19" t="s">
        <v>62</v>
      </c>
      <c r="AB19" t="s">
        <v>100</v>
      </c>
    </row>
    <row r="20" spans="3:30">
      <c r="D20" s="33"/>
      <c r="E20" s="33"/>
      <c r="F20" s="33"/>
      <c r="AB20" t="s">
        <v>101</v>
      </c>
    </row>
    <row r="21" spans="3:30">
      <c r="D21" t="s">
        <v>106</v>
      </c>
      <c r="I21" t="s">
        <v>78</v>
      </c>
      <c r="J21" t="s">
        <v>65</v>
      </c>
      <c r="W21" t="s">
        <v>97</v>
      </c>
      <c r="AA21" t="s">
        <v>98</v>
      </c>
    </row>
    <row r="22" spans="3:30">
      <c r="D22" s="33">
        <v>1000</v>
      </c>
      <c r="E22" s="33">
        <v>2000</v>
      </c>
      <c r="F22" s="33">
        <v>3000</v>
      </c>
      <c r="J22" s="29" t="s">
        <v>77</v>
      </c>
    </row>
    <row r="23" spans="3:30">
      <c r="I23" s="32" t="s">
        <v>76</v>
      </c>
      <c r="J23" s="31"/>
      <c r="K23" s="31"/>
      <c r="L23" s="31"/>
      <c r="M23" s="31"/>
    </row>
    <row r="24" spans="3:30">
      <c r="I24" s="30">
        <v>0.5</v>
      </c>
      <c r="J24" t="s">
        <v>73</v>
      </c>
    </row>
    <row r="25" spans="3:30">
      <c r="I25" s="32" t="s">
        <v>75</v>
      </c>
      <c r="J25" s="31" t="s">
        <v>74</v>
      </c>
      <c r="K25" s="31"/>
      <c r="L25" s="31"/>
    </row>
    <row r="26" spans="3:30">
      <c r="I26" s="30">
        <v>0.03</v>
      </c>
      <c r="J26" t="s">
        <v>70</v>
      </c>
    </row>
    <row r="27" spans="3:30">
      <c r="I27" s="30">
        <v>0.6</v>
      </c>
      <c r="J27" t="s">
        <v>72</v>
      </c>
    </row>
    <row r="28" spans="3:30">
      <c r="C28" t="s">
        <v>91</v>
      </c>
      <c r="J28" t="s">
        <v>71</v>
      </c>
      <c r="AD28" t="s">
        <v>95</v>
      </c>
    </row>
    <row r="30" spans="3:30">
      <c r="C30" t="s">
        <v>92</v>
      </c>
      <c r="I30" s="30" t="s">
        <v>81</v>
      </c>
    </row>
    <row r="32" spans="3:30">
      <c r="I32" s="30">
        <v>0.1</v>
      </c>
      <c r="J32" t="s">
        <v>80</v>
      </c>
    </row>
    <row r="33" spans="9:10">
      <c r="I33" s="30" t="s">
        <v>83</v>
      </c>
      <c r="J33" t="s">
        <v>82</v>
      </c>
    </row>
    <row r="35" spans="9:10">
      <c r="I35" s="30">
        <v>0.27</v>
      </c>
      <c r="J35" t="s">
        <v>79</v>
      </c>
    </row>
    <row r="36" spans="9:10">
      <c r="I36" t="s">
        <v>84</v>
      </c>
      <c r="J36" t="s">
        <v>85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57"/>
  <sheetViews>
    <sheetView topLeftCell="A29" zoomScaleNormal="100" workbookViewId="0">
      <selection activeCell="B46" sqref="B46"/>
    </sheetView>
  </sheetViews>
  <sheetFormatPr defaultRowHeight="14.4"/>
  <cols>
    <col min="2" max="2" width="66.5546875" customWidth="1"/>
    <col min="3" max="3" width="27" customWidth="1"/>
    <col min="4" max="4" width="13.5546875" bestFit="1" customWidth="1"/>
    <col min="5" max="9" width="12.33203125" bestFit="1" customWidth="1"/>
  </cols>
  <sheetData>
    <row r="2" spans="1:9" s="23" customFormat="1" ht="19.2" customHeight="1">
      <c r="A2" s="47"/>
      <c r="B2" s="47" t="s">
        <v>10</v>
      </c>
      <c r="D2" s="48">
        <v>500</v>
      </c>
      <c r="E2" s="48">
        <f>D2</f>
        <v>500</v>
      </c>
      <c r="F2" s="48">
        <f t="shared" ref="F2:I2" si="0">E2</f>
        <v>500</v>
      </c>
      <c r="G2" s="48">
        <f t="shared" si="0"/>
        <v>500</v>
      </c>
      <c r="H2" s="48">
        <f t="shared" si="0"/>
        <v>500</v>
      </c>
      <c r="I2" s="48">
        <f t="shared" si="0"/>
        <v>500</v>
      </c>
    </row>
    <row r="3" spans="1:9" s="41" customFormat="1" ht="15.6">
      <c r="A3" s="49"/>
      <c r="B3" s="42"/>
      <c r="C3" s="42"/>
      <c r="D3" s="42">
        <v>2024</v>
      </c>
      <c r="E3" s="42">
        <v>2025</v>
      </c>
      <c r="F3" s="42">
        <v>2026</v>
      </c>
      <c r="G3" s="42">
        <v>2027</v>
      </c>
      <c r="H3" s="42">
        <v>2028</v>
      </c>
      <c r="I3" s="42">
        <v>2029</v>
      </c>
    </row>
    <row r="4" spans="1:9" s="1" customFormat="1" ht="13.8">
      <c r="A4" s="47"/>
      <c r="B4" s="2" t="s">
        <v>4</v>
      </c>
      <c r="C4" s="2"/>
      <c r="D4" s="90">
        <v>5000000</v>
      </c>
      <c r="E4" s="90">
        <f>D4*117%</f>
        <v>5850000</v>
      </c>
      <c r="F4" s="90">
        <f t="shared" ref="F4:I4" si="1">E4*117%</f>
        <v>6844500</v>
      </c>
      <c r="G4" s="90">
        <f t="shared" si="1"/>
        <v>8008064.9999999991</v>
      </c>
      <c r="H4" s="90">
        <f t="shared" si="1"/>
        <v>9369436.0499999989</v>
      </c>
      <c r="I4" s="90">
        <f t="shared" si="1"/>
        <v>10962240.178499999</v>
      </c>
    </row>
    <row r="5" spans="1:9" s="10" customFormat="1" ht="13.8">
      <c r="A5" s="53"/>
      <c r="B5" s="7" t="s">
        <v>202</v>
      </c>
      <c r="C5" s="7"/>
      <c r="D5" s="9">
        <v>0.83</v>
      </c>
      <c r="E5" s="9">
        <v>0.83</v>
      </c>
      <c r="F5" s="9">
        <v>0.83</v>
      </c>
      <c r="G5" s="9">
        <v>0.83</v>
      </c>
      <c r="H5" s="9">
        <v>0.83</v>
      </c>
      <c r="I5" s="9">
        <v>0.83</v>
      </c>
    </row>
    <row r="6" spans="1:9" s="10" customFormat="1" ht="13.8">
      <c r="A6" s="53"/>
      <c r="B6" s="7"/>
      <c r="C6" s="7"/>
      <c r="D6" s="9"/>
      <c r="E6" s="9"/>
      <c r="F6" s="9"/>
      <c r="G6" s="9"/>
      <c r="H6" s="9"/>
      <c r="I6" s="9"/>
    </row>
    <row r="7" spans="1:9" s="4" customFormat="1" ht="13.8">
      <c r="A7" s="50"/>
      <c r="B7" s="4" t="s">
        <v>170</v>
      </c>
      <c r="D7" s="3">
        <f>D8+D12</f>
        <v>5153552</v>
      </c>
      <c r="E7" s="3">
        <f t="shared" ref="E7:I7" si="2">E8+E12</f>
        <v>6009584.7999999998</v>
      </c>
      <c r="F7" s="3">
        <f t="shared" si="2"/>
        <v>7008132.5199999996</v>
      </c>
      <c r="G7" s="3">
        <f t="shared" si="2"/>
        <v>8172971.0979999993</v>
      </c>
      <c r="H7" s="3">
        <f t="shared" si="2"/>
        <v>9531850.6416999977</v>
      </c>
      <c r="I7" s="3">
        <f t="shared" si="2"/>
        <v>11117160.876384996</v>
      </c>
    </row>
    <row r="8" spans="1:9" s="6" customFormat="1" ht="13.8">
      <c r="A8" s="51"/>
      <c r="B8" s="14" t="s">
        <v>0</v>
      </c>
      <c r="C8" s="14"/>
      <c r="D8" s="5">
        <f t="shared" ref="D8:I8" si="3">D4*D5</f>
        <v>4150000</v>
      </c>
      <c r="E8" s="5">
        <f t="shared" si="3"/>
        <v>4855500</v>
      </c>
      <c r="F8" s="5">
        <f t="shared" si="3"/>
        <v>5680935</v>
      </c>
      <c r="G8" s="86">
        <f t="shared" si="3"/>
        <v>6646693.9499999993</v>
      </c>
      <c r="H8" s="86">
        <f t="shared" si="3"/>
        <v>7776631.9214999983</v>
      </c>
      <c r="I8" s="86">
        <f t="shared" si="3"/>
        <v>9098659.3481549975</v>
      </c>
    </row>
    <row r="9" spans="1:9" s="6" customFormat="1" ht="13.8">
      <c r="A9" s="51"/>
      <c r="B9" s="11" t="s">
        <v>203</v>
      </c>
      <c r="C9" s="14"/>
      <c r="D9" s="98">
        <f>D10/D8</f>
        <v>3.2315180722891565E-2</v>
      </c>
      <c r="E9" s="98">
        <f t="shared" ref="E9:I9" si="4">E10/E8</f>
        <v>2.7619812583668007E-2</v>
      </c>
      <c r="F9" s="98">
        <f t="shared" si="4"/>
        <v>2.3606677421938466E-2</v>
      </c>
      <c r="G9" s="98">
        <f t="shared" si="4"/>
        <v>2.017664736917818E-2</v>
      </c>
      <c r="H9" s="98">
        <f t="shared" si="4"/>
        <v>1.7244997751434343E-2</v>
      </c>
      <c r="I9" s="98">
        <f t="shared" si="4"/>
        <v>1.473931431746525E-2</v>
      </c>
    </row>
    <row r="10" spans="1:9" s="13" customFormat="1" ht="10.199999999999999">
      <c r="A10" s="52"/>
      <c r="B10" s="11" t="s">
        <v>2</v>
      </c>
      <c r="C10" s="11"/>
      <c r="D10" s="99">
        <v>134108</v>
      </c>
      <c r="E10" s="99">
        <v>134108</v>
      </c>
      <c r="F10" s="99">
        <v>134108</v>
      </c>
      <c r="G10" s="99">
        <v>134108</v>
      </c>
      <c r="H10" s="99">
        <v>134108</v>
      </c>
      <c r="I10" s="99">
        <v>134108</v>
      </c>
    </row>
    <row r="11" spans="1:9" s="13" customFormat="1" ht="10.199999999999999">
      <c r="A11" s="52"/>
      <c r="B11" s="11" t="s">
        <v>3</v>
      </c>
      <c r="C11" s="11"/>
      <c r="D11" s="12">
        <f>D8-D10</f>
        <v>4015892</v>
      </c>
      <c r="E11" s="12">
        <f t="shared" ref="E11:I11" si="5">E8-E10</f>
        <v>4721392</v>
      </c>
      <c r="F11" s="12">
        <f t="shared" si="5"/>
        <v>5546827</v>
      </c>
      <c r="G11" s="12">
        <f t="shared" si="5"/>
        <v>6512585.9499999993</v>
      </c>
      <c r="H11" s="12">
        <f t="shared" si="5"/>
        <v>7642523.9214999983</v>
      </c>
      <c r="I11" s="12">
        <f t="shared" si="5"/>
        <v>8964551.3481549975</v>
      </c>
    </row>
    <row r="12" spans="1:9" s="6" customFormat="1" ht="13.8">
      <c r="A12" s="51"/>
      <c r="B12" s="14" t="s">
        <v>1</v>
      </c>
      <c r="C12" s="95"/>
      <c r="D12" s="90">
        <v>1003552</v>
      </c>
      <c r="E12" s="90">
        <f>D12*115%</f>
        <v>1154084.7999999998</v>
      </c>
      <c r="F12" s="90">
        <f t="shared" ref="F12:I12" si="6">E12*115%</f>
        <v>1327197.5199999998</v>
      </c>
      <c r="G12" s="90">
        <f t="shared" si="6"/>
        <v>1526277.1479999996</v>
      </c>
      <c r="H12" s="90">
        <f t="shared" si="6"/>
        <v>1755218.7201999994</v>
      </c>
      <c r="I12" s="90">
        <f t="shared" si="6"/>
        <v>2018501.5282299991</v>
      </c>
    </row>
    <row r="13" spans="1:9" s="6" customFormat="1" ht="13.8">
      <c r="A13" s="51"/>
      <c r="B13" s="11" t="s">
        <v>203</v>
      </c>
      <c r="C13" s="14"/>
      <c r="D13" s="98">
        <f>D14/D12</f>
        <v>0.1336333343962246</v>
      </c>
      <c r="E13" s="98">
        <f t="shared" ref="E13" si="7">E14/E12</f>
        <v>0.11620289947497794</v>
      </c>
      <c r="F13" s="98">
        <f t="shared" ref="F13" si="8">F14/F12</f>
        <v>0.10104599954345908</v>
      </c>
      <c r="G13" s="98">
        <f t="shared" ref="G13" si="9">G14/G12</f>
        <v>8.7866086559529641E-2</v>
      </c>
      <c r="H13" s="98">
        <f t="shared" ref="H13" si="10">H14/H12</f>
        <v>7.6405292660460561E-2</v>
      </c>
      <c r="I13" s="98">
        <f t="shared" ref="I13" si="11">I14/I12</f>
        <v>6.6439384922139633E-2</v>
      </c>
    </row>
    <row r="14" spans="1:9" s="13" customFormat="1" ht="10.199999999999999">
      <c r="A14" s="52"/>
      <c r="B14" s="11" t="s">
        <v>2</v>
      </c>
      <c r="C14" s="11"/>
      <c r="D14" s="99">
        <v>134108</v>
      </c>
      <c r="E14" s="99">
        <v>134108</v>
      </c>
      <c r="F14" s="99">
        <v>134108</v>
      </c>
      <c r="G14" s="99">
        <v>134108</v>
      </c>
      <c r="H14" s="99">
        <v>134108</v>
      </c>
      <c r="I14" s="99">
        <v>134108</v>
      </c>
    </row>
    <row r="15" spans="1:9" s="13" customFormat="1" ht="10.199999999999999">
      <c r="A15" s="52"/>
      <c r="B15" s="11" t="s">
        <v>3</v>
      </c>
      <c r="C15" s="11"/>
      <c r="D15" s="12">
        <f>D12-D14</f>
        <v>869444</v>
      </c>
      <c r="E15" s="12">
        <f t="shared" ref="E15" si="12">E12-E14</f>
        <v>1019976.7999999998</v>
      </c>
      <c r="F15" s="12">
        <f t="shared" ref="F15" si="13">F12-F14</f>
        <v>1193089.5199999998</v>
      </c>
      <c r="G15" s="12">
        <f t="shared" ref="G15" si="14">G12-G14</f>
        <v>1392169.1479999996</v>
      </c>
      <c r="H15" s="12">
        <f t="shared" ref="H15" si="15">H12-H14</f>
        <v>1621110.7201999994</v>
      </c>
      <c r="I15" s="12">
        <f t="shared" ref="I15" si="16">I12-I14</f>
        <v>1884393.5282299991</v>
      </c>
    </row>
    <row r="16" spans="1:9" s="13" customFormat="1" ht="13.8">
      <c r="A16" s="52"/>
      <c r="B16" s="4" t="s">
        <v>204</v>
      </c>
      <c r="C16" s="11"/>
      <c r="D16" s="9">
        <v>0.5</v>
      </c>
      <c r="E16" s="9">
        <v>0.5</v>
      </c>
      <c r="F16" s="9">
        <v>0.5</v>
      </c>
      <c r="G16" s="9">
        <v>0.5</v>
      </c>
      <c r="H16" s="9">
        <v>0.5</v>
      </c>
      <c r="I16" s="9">
        <v>0.5</v>
      </c>
    </row>
    <row r="17" spans="1:9">
      <c r="B17" s="4" t="s">
        <v>205</v>
      </c>
      <c r="D17">
        <f>ROUND(D7*D16,0)</f>
        <v>2576776</v>
      </c>
      <c r="E17">
        <f t="shared" ref="E17:I17" si="17">ROUND(E7*E16,0)</f>
        <v>3004792</v>
      </c>
      <c r="F17">
        <f t="shared" si="17"/>
        <v>3504066</v>
      </c>
      <c r="G17">
        <f t="shared" si="17"/>
        <v>4086486</v>
      </c>
      <c r="H17">
        <f t="shared" si="17"/>
        <v>4765925</v>
      </c>
      <c r="I17">
        <f t="shared" si="17"/>
        <v>5558580</v>
      </c>
    </row>
    <row r="18" spans="1:9" ht="18">
      <c r="B18" s="96" t="s">
        <v>201</v>
      </c>
      <c r="C18" s="35" t="s">
        <v>198</v>
      </c>
    </row>
    <row r="19" spans="1:9" ht="18">
      <c r="B19" s="18" t="s">
        <v>25</v>
      </c>
      <c r="C19" s="35" t="s">
        <v>198</v>
      </c>
      <c r="D19" t="s">
        <v>197</v>
      </c>
    </row>
    <row r="20" spans="1:9" s="4" customFormat="1" ht="13.8">
      <c r="A20" s="82"/>
      <c r="B20" s="4" t="s">
        <v>206</v>
      </c>
      <c r="D20" s="9">
        <v>0.1</v>
      </c>
      <c r="E20" s="9">
        <v>0.1</v>
      </c>
      <c r="F20" s="9">
        <v>0.1</v>
      </c>
      <c r="G20" s="9">
        <v>0.1</v>
      </c>
      <c r="H20" s="9">
        <v>0.1</v>
      </c>
      <c r="I20" s="9">
        <v>0.1</v>
      </c>
    </row>
    <row r="21" spans="1:9" s="4" customFormat="1" ht="13.8">
      <c r="A21" s="82"/>
      <c r="B21" s="4" t="s">
        <v>207</v>
      </c>
      <c r="D21" s="3">
        <f>D17*D20</f>
        <v>257677.6</v>
      </c>
      <c r="E21" s="3">
        <f t="shared" ref="E21:I21" si="18">E17*E20</f>
        <v>300479.2</v>
      </c>
      <c r="F21" s="3">
        <f t="shared" si="18"/>
        <v>350406.60000000003</v>
      </c>
      <c r="G21" s="3">
        <f t="shared" si="18"/>
        <v>408648.60000000003</v>
      </c>
      <c r="H21" s="3">
        <f t="shared" si="18"/>
        <v>476592.5</v>
      </c>
      <c r="I21" s="3">
        <f t="shared" si="18"/>
        <v>555858</v>
      </c>
    </row>
    <row r="22" spans="1:9" s="4" customFormat="1" ht="13.8">
      <c r="A22" s="82"/>
      <c r="B22" s="4" t="s">
        <v>208</v>
      </c>
      <c r="D22" s="99">
        <v>5000</v>
      </c>
      <c r="E22" s="99">
        <v>5000</v>
      </c>
      <c r="F22" s="99">
        <v>5000</v>
      </c>
      <c r="G22" s="99">
        <v>5000</v>
      </c>
      <c r="H22" s="99">
        <v>5000</v>
      </c>
      <c r="I22" s="99">
        <v>5000</v>
      </c>
    </row>
    <row r="23" spans="1:9" s="4" customFormat="1" ht="13.8">
      <c r="A23" s="82"/>
      <c r="B23" s="4" t="s">
        <v>209</v>
      </c>
      <c r="D23" s="3">
        <f>D22*D21</f>
        <v>1288388000</v>
      </c>
      <c r="E23" s="3">
        <f t="shared" ref="E23:I23" si="19">E22*E21</f>
        <v>1502396000</v>
      </c>
      <c r="F23" s="3">
        <f t="shared" si="19"/>
        <v>1752033000.0000002</v>
      </c>
      <c r="G23" s="3">
        <f t="shared" si="19"/>
        <v>2043243000.0000002</v>
      </c>
      <c r="H23" s="3">
        <f t="shared" si="19"/>
        <v>2382962500</v>
      </c>
      <c r="I23" s="3">
        <f t="shared" si="19"/>
        <v>2779290000</v>
      </c>
    </row>
    <row r="24" spans="1:9" s="4" customFormat="1" ht="13.8">
      <c r="A24" s="82"/>
      <c r="B24" s="4" t="s">
        <v>211</v>
      </c>
      <c r="D24" s="9">
        <v>0.05</v>
      </c>
      <c r="E24" s="9">
        <v>0.05</v>
      </c>
      <c r="F24" s="9">
        <v>0.05</v>
      </c>
      <c r="G24" s="9">
        <v>0.05</v>
      </c>
      <c r="H24" s="9">
        <v>0.05</v>
      </c>
      <c r="I24" s="9">
        <v>0.05</v>
      </c>
    </row>
    <row r="25" spans="1:9" s="4" customFormat="1" ht="13.8">
      <c r="A25" s="82"/>
      <c r="B25" s="4" t="s">
        <v>210</v>
      </c>
      <c r="D25" s="9">
        <v>0.1</v>
      </c>
      <c r="E25" s="9">
        <v>0.1</v>
      </c>
      <c r="F25" s="9">
        <v>0.1</v>
      </c>
      <c r="G25" s="9">
        <v>0.1</v>
      </c>
      <c r="H25" s="9">
        <v>0.1</v>
      </c>
      <c r="I25" s="9">
        <v>0.1</v>
      </c>
    </row>
    <row r="26" spans="1:9" s="4" customFormat="1" ht="13.8">
      <c r="A26" s="82"/>
      <c r="B26" s="4" t="s">
        <v>212</v>
      </c>
      <c r="D26" s="3"/>
      <c r="E26" s="3"/>
      <c r="F26" s="3"/>
      <c r="G26" s="3"/>
      <c r="H26" s="3"/>
      <c r="I26" s="3"/>
    </row>
    <row r="27" spans="1:9" s="4" customFormat="1" ht="13.8">
      <c r="A27" s="82"/>
      <c r="B27" s="100" t="s">
        <v>213</v>
      </c>
      <c r="D27" s="3"/>
      <c r="E27" s="3"/>
      <c r="F27" s="3"/>
      <c r="G27" s="3"/>
      <c r="H27" s="3"/>
      <c r="I27" s="3"/>
    </row>
    <row r="28" spans="1:9" s="4" customFormat="1" ht="13.8">
      <c r="A28" s="82"/>
      <c r="B28" s="100" t="s">
        <v>214</v>
      </c>
      <c r="D28" s="3"/>
      <c r="E28" s="3"/>
      <c r="F28" s="3"/>
      <c r="G28" s="3"/>
      <c r="H28" s="3"/>
      <c r="I28" s="3"/>
    </row>
    <row r="29" spans="1:9" s="4" customFormat="1" ht="13.8">
      <c r="A29" s="82"/>
      <c r="B29" s="100" t="s">
        <v>215</v>
      </c>
      <c r="D29" s="3"/>
      <c r="E29" s="3"/>
      <c r="F29" s="3"/>
      <c r="G29" s="3"/>
      <c r="H29" s="3"/>
      <c r="I29" s="3"/>
    </row>
    <row r="30" spans="1:9" s="4" customFormat="1" ht="13.8">
      <c r="A30" s="82"/>
      <c r="B30" s="4" t="s">
        <v>216</v>
      </c>
      <c r="D30" s="3"/>
      <c r="E30" s="3"/>
      <c r="F30" s="3"/>
      <c r="G30" s="3"/>
      <c r="H30" s="3"/>
      <c r="I30" s="3"/>
    </row>
    <row r="31" spans="1:9" ht="18">
      <c r="B31" s="18" t="s">
        <v>18</v>
      </c>
      <c r="C31" s="35" t="s">
        <v>199</v>
      </c>
    </row>
    <row r="32" spans="1:9" ht="18">
      <c r="B32" s="45" t="s">
        <v>218</v>
      </c>
      <c r="C32" s="35"/>
      <c r="D32" s="97">
        <v>0.15844679103833251</v>
      </c>
      <c r="E32" s="97">
        <v>0.15498951475149245</v>
      </c>
      <c r="F32" s="97">
        <v>0.17129783169800195</v>
      </c>
      <c r="G32" s="97">
        <v>0.18693162007270708</v>
      </c>
      <c r="H32" s="97">
        <v>0.20801123077094116</v>
      </c>
      <c r="I32" s="97">
        <v>0.23340524420884284</v>
      </c>
    </row>
    <row r="33" spans="1:9" ht="18">
      <c r="B33" s="45" t="s">
        <v>219</v>
      </c>
      <c r="C33" s="35"/>
      <c r="D33" s="102">
        <f>ROUND(D17*D32,0)</f>
        <v>408282</v>
      </c>
      <c r="E33" s="102">
        <f t="shared" ref="E33:I33" si="20">ROUND(E17*E32,0)</f>
        <v>465711</v>
      </c>
      <c r="F33" s="102">
        <f t="shared" si="20"/>
        <v>600239</v>
      </c>
      <c r="G33" s="102">
        <f t="shared" si="20"/>
        <v>763893</v>
      </c>
      <c r="H33" s="102">
        <f t="shared" si="20"/>
        <v>991366</v>
      </c>
      <c r="I33" s="102">
        <f t="shared" si="20"/>
        <v>1297402</v>
      </c>
    </row>
    <row r="34" spans="1:9" s="4" customFormat="1" ht="13.8">
      <c r="A34" s="82"/>
      <c r="B34" s="4" t="s">
        <v>12</v>
      </c>
      <c r="D34" s="101">
        <v>1.7964564470296127</v>
      </c>
      <c r="E34" s="101">
        <v>1.6483668929021889</v>
      </c>
      <c r="F34" s="101">
        <v>1.4518881584881009</v>
      </c>
      <c r="G34" s="101">
        <v>1.2951235830504335</v>
      </c>
      <c r="H34" s="101">
        <v>1.1476457423304052</v>
      </c>
      <c r="I34" s="101">
        <v>1.0084751644978849</v>
      </c>
    </row>
    <row r="35" spans="1:9" s="4" customFormat="1" ht="13.8">
      <c r="A35" s="82"/>
      <c r="B35" s="45" t="s">
        <v>217</v>
      </c>
      <c r="C35" s="45"/>
      <c r="D35" s="94">
        <f>D17*D32*D34</f>
        <v>733460.63066578028</v>
      </c>
      <c r="E35" s="94">
        <f t="shared" ref="E35:I35" si="21">E17*E32*E34</f>
        <v>767663.01276067179</v>
      </c>
      <c r="F35" s="94">
        <f t="shared" si="21"/>
        <v>871479.76268259203</v>
      </c>
      <c r="G35" s="94">
        <f t="shared" si="21"/>
        <v>989336.41994040273</v>
      </c>
      <c r="H35" s="94">
        <f t="shared" si="21"/>
        <v>1137736.882931463</v>
      </c>
      <c r="I35" s="94">
        <f t="shared" si="21"/>
        <v>1308397.4153711824</v>
      </c>
    </row>
    <row r="36" spans="1:9" s="4" customFormat="1" ht="13.8">
      <c r="A36" s="82"/>
      <c r="B36" s="45"/>
      <c r="C36" s="45"/>
      <c r="D36" s="94"/>
      <c r="E36" s="94"/>
      <c r="F36" s="94"/>
      <c r="G36" s="94"/>
      <c r="H36" s="94"/>
      <c r="I36" s="94"/>
    </row>
    <row r="37" spans="1:9" s="6" customFormat="1" ht="13.8">
      <c r="A37" s="85"/>
      <c r="B37" s="5" t="s">
        <v>28</v>
      </c>
      <c r="C37" s="5"/>
      <c r="D37" s="16">
        <v>3</v>
      </c>
      <c r="E37" s="16">
        <v>3</v>
      </c>
      <c r="F37" s="16">
        <v>3</v>
      </c>
      <c r="G37" s="16">
        <v>3</v>
      </c>
      <c r="H37" s="16">
        <v>3</v>
      </c>
      <c r="I37" s="16">
        <v>3</v>
      </c>
    </row>
    <row r="38" spans="1:9" s="3" customFormat="1" ht="13.8">
      <c r="A38" s="84"/>
      <c r="B38" s="3" t="s">
        <v>11</v>
      </c>
      <c r="D38" s="3">
        <f>D37*D2</f>
        <v>1500</v>
      </c>
      <c r="E38" s="3">
        <f t="shared" ref="E38:I38" si="22">E37*E2</f>
        <v>1500</v>
      </c>
      <c r="F38" s="3">
        <f t="shared" si="22"/>
        <v>1500</v>
      </c>
      <c r="G38" s="3">
        <f t="shared" si="22"/>
        <v>1500</v>
      </c>
      <c r="H38" s="3">
        <f t="shared" si="22"/>
        <v>1500</v>
      </c>
      <c r="I38" s="3">
        <f t="shared" si="22"/>
        <v>1500</v>
      </c>
    </row>
    <row r="39" spans="1:9" s="4" customFormat="1" ht="13.8">
      <c r="A39" s="82"/>
      <c r="B39" s="3" t="s">
        <v>29</v>
      </c>
      <c r="C39" s="3"/>
      <c r="D39" s="3"/>
      <c r="E39" s="3">
        <f>E38*E35</f>
        <v>1151494519.1410077</v>
      </c>
      <c r="F39" s="3">
        <f>F38*F35</f>
        <v>1307219644.0238881</v>
      </c>
      <c r="G39" s="3">
        <f>G38*G35</f>
        <v>1484004629.910604</v>
      </c>
      <c r="H39" s="3">
        <f>H38*H35</f>
        <v>1706605324.3971944</v>
      </c>
      <c r="I39" s="3">
        <f>I38*I35</f>
        <v>1962596123.0567737</v>
      </c>
    </row>
    <row r="40" spans="1:9" ht="18">
      <c r="B40" s="3" t="s">
        <v>220</v>
      </c>
      <c r="C40" s="35"/>
    </row>
    <row r="41" spans="1:9" ht="18">
      <c r="B41" s="3" t="s">
        <v>221</v>
      </c>
      <c r="C41" s="35"/>
      <c r="D41" s="97">
        <v>0.02</v>
      </c>
    </row>
    <row r="42" spans="1:9" ht="18">
      <c r="B42" s="3" t="s">
        <v>222</v>
      </c>
      <c r="C42" s="35"/>
      <c r="D42" s="97"/>
    </row>
    <row r="43" spans="1:9" ht="18">
      <c r="B43" s="3" t="s">
        <v>223</v>
      </c>
      <c r="C43" s="35"/>
    </row>
    <row r="44" spans="1:9" ht="18">
      <c r="B44" s="4" t="s">
        <v>224</v>
      </c>
      <c r="C44" s="35"/>
    </row>
    <row r="45" spans="1:9" ht="18">
      <c r="B45" s="3"/>
      <c r="C45" s="35"/>
    </row>
    <row r="46" spans="1:9" ht="18">
      <c r="B46" s="18" t="s">
        <v>177</v>
      </c>
      <c r="C46" s="35" t="s">
        <v>198</v>
      </c>
    </row>
    <row r="47" spans="1:9" ht="18">
      <c r="B47" s="3" t="s">
        <v>225</v>
      </c>
      <c r="C47" s="35"/>
    </row>
    <row r="48" spans="1:9" ht="18">
      <c r="B48" s="3" t="s">
        <v>226</v>
      </c>
      <c r="C48" s="35"/>
    </row>
    <row r="49" spans="2:3" ht="18">
      <c r="B49" s="4" t="s">
        <v>227</v>
      </c>
      <c r="C49" s="35"/>
    </row>
    <row r="50" spans="2:3" ht="18">
      <c r="B50" s="3"/>
      <c r="C50" s="35"/>
    </row>
    <row r="51" spans="2:3" ht="18">
      <c r="B51" s="3"/>
      <c r="C51" s="35"/>
    </row>
    <row r="52" spans="2:3" ht="18">
      <c r="B52" s="3"/>
      <c r="C52" s="35"/>
    </row>
    <row r="54" spans="2:3" ht="18">
      <c r="B54" s="18" t="s">
        <v>196</v>
      </c>
      <c r="C54" s="35" t="s">
        <v>198</v>
      </c>
    </row>
    <row r="55" spans="2:3" ht="18">
      <c r="B55" s="18" t="s">
        <v>169</v>
      </c>
      <c r="C55" s="35" t="s">
        <v>198</v>
      </c>
    </row>
    <row r="56" spans="2:3" ht="18">
      <c r="B56" s="18" t="s">
        <v>186</v>
      </c>
      <c r="C56" s="35" t="s">
        <v>199</v>
      </c>
    </row>
    <row r="57" spans="2:3" ht="18">
      <c r="B57" s="18" t="s">
        <v>200</v>
      </c>
      <c r="C57" s="35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20"/>
  <sheetViews>
    <sheetView showGridLines="0" topLeftCell="A86" zoomScale="120" zoomScaleNormal="120" workbookViewId="0">
      <selection activeCell="B148" sqref="B148"/>
    </sheetView>
  </sheetViews>
  <sheetFormatPr defaultColWidth="9.109375" defaultRowHeight="13.8"/>
  <cols>
    <col min="1" max="1" width="5.6640625" style="50" customWidth="1"/>
    <col min="2" max="2" width="90.44140625" style="4" bestFit="1" customWidth="1"/>
    <col min="3" max="3" width="14.6640625" style="4" customWidth="1"/>
    <col min="4" max="4" width="16.44140625" style="4" customWidth="1"/>
    <col min="5" max="8" width="16.6640625" style="4" bestFit="1" customWidth="1"/>
    <col min="9" max="9" width="18" style="4" customWidth="1"/>
    <col min="10" max="10" width="5.109375" style="4" customWidth="1"/>
    <col min="11" max="11" width="14.6640625" style="4" customWidth="1"/>
    <col min="12" max="12" width="13.6640625" style="4" customWidth="1"/>
    <col min="13" max="20" width="10.6640625" style="4" customWidth="1"/>
    <col min="21" max="21" width="13" style="4" bestFit="1" customWidth="1"/>
    <col min="22" max="96" width="10.6640625" style="4" customWidth="1"/>
    <col min="97" max="996" width="11.6640625" style="4" customWidth="1"/>
    <col min="997" max="9996" width="12.44140625" style="4" customWidth="1"/>
    <col min="9997" max="16384" width="13.33203125" style="4" customWidth="1"/>
  </cols>
  <sheetData>
    <row r="1" spans="1:16">
      <c r="C1" s="22"/>
      <c r="D1" s="4" t="s">
        <v>168</v>
      </c>
    </row>
    <row r="5" spans="1:16" s="23" customFormat="1" ht="19.2" customHeight="1">
      <c r="A5" s="47"/>
      <c r="B5" s="47" t="s">
        <v>10</v>
      </c>
      <c r="D5" s="48">
        <v>500</v>
      </c>
      <c r="E5" s="48">
        <f>D5</f>
        <v>500</v>
      </c>
      <c r="F5" s="48">
        <f>E5</f>
        <v>500</v>
      </c>
      <c r="G5" s="48">
        <f>F5</f>
        <v>500</v>
      </c>
      <c r="H5" s="48">
        <f>G5</f>
        <v>500</v>
      </c>
      <c r="I5" s="48">
        <f>H5</f>
        <v>500</v>
      </c>
      <c r="J5" s="24"/>
      <c r="K5" s="711" t="s">
        <v>120</v>
      </c>
      <c r="L5" s="711"/>
    </row>
    <row r="6" spans="1:16" s="41" customFormat="1" ht="15.6">
      <c r="A6" s="49"/>
      <c r="B6" s="42"/>
      <c r="C6" s="42"/>
      <c r="D6" s="42">
        <v>2024</v>
      </c>
      <c r="E6" s="42">
        <v>2025</v>
      </c>
      <c r="F6" s="42">
        <v>2026</v>
      </c>
      <c r="G6" s="42">
        <v>2027</v>
      </c>
      <c r="H6" s="42">
        <v>2028</v>
      </c>
      <c r="I6" s="42">
        <v>2029</v>
      </c>
      <c r="K6" s="71" t="s">
        <v>130</v>
      </c>
      <c r="L6" s="71" t="s">
        <v>131</v>
      </c>
    </row>
    <row r="7" spans="1:16" s="1" customFormat="1">
      <c r="A7" s="47"/>
      <c r="B7" s="2" t="s">
        <v>4</v>
      </c>
      <c r="C7" s="2"/>
      <c r="D7" s="90">
        <v>5000000</v>
      </c>
      <c r="E7" s="90">
        <f>D7*117%</f>
        <v>5850000</v>
      </c>
      <c r="F7" s="90">
        <f>E7*117%</f>
        <v>6844500</v>
      </c>
      <c r="G7" s="90">
        <f>F7*117%</f>
        <v>8008064.9999999991</v>
      </c>
      <c r="H7" s="90">
        <f>G7*117%</f>
        <v>9369436.0499999989</v>
      </c>
      <c r="I7" s="90">
        <f>H7*117%</f>
        <v>10962240.178499999</v>
      </c>
      <c r="K7" s="88" t="s">
        <v>180</v>
      </c>
    </row>
    <row r="8" spans="1:16">
      <c r="B8" s="4" t="s">
        <v>170</v>
      </c>
      <c r="D8" s="3">
        <v>4100000</v>
      </c>
      <c r="E8" s="3">
        <v>5000000</v>
      </c>
      <c r="F8" s="3">
        <v>5560000</v>
      </c>
      <c r="G8" s="3">
        <v>6220000</v>
      </c>
      <c r="H8" s="3">
        <v>7000000</v>
      </c>
      <c r="I8" s="3">
        <v>8000000</v>
      </c>
      <c r="K8" s="89" t="s">
        <v>181</v>
      </c>
    </row>
    <row r="9" spans="1:16" s="6" customFormat="1">
      <c r="A9" s="51"/>
      <c r="B9" s="14" t="s">
        <v>0</v>
      </c>
      <c r="C9" s="14"/>
      <c r="D9" s="5">
        <v>4136295</v>
      </c>
      <c r="E9" s="5">
        <f>E7*E12</f>
        <v>4851165.1499999994</v>
      </c>
      <c r="F9" s="5">
        <f>F7*F12</f>
        <v>5689552.2254999997</v>
      </c>
      <c r="G9" s="86">
        <f>G7*G12</f>
        <v>6672792.2338349987</v>
      </c>
      <c r="H9" s="86">
        <f>H7*H12</f>
        <v>7825905.7856869493</v>
      </c>
      <c r="I9" s="86">
        <f>I7*I12</f>
        <v>9178234.2496107295</v>
      </c>
    </row>
    <row r="10" spans="1:16" s="13" customFormat="1" ht="10.199999999999999">
      <c r="A10" s="52"/>
      <c r="B10" s="11" t="s">
        <v>2</v>
      </c>
      <c r="C10" s="11"/>
      <c r="D10" s="12">
        <v>134108</v>
      </c>
      <c r="E10" s="12"/>
      <c r="F10" s="12"/>
      <c r="G10" s="12"/>
      <c r="H10" s="12"/>
      <c r="I10" s="12"/>
    </row>
    <row r="11" spans="1:16" s="13" customFormat="1" ht="10.199999999999999">
      <c r="A11" s="52"/>
      <c r="B11" s="11" t="s">
        <v>3</v>
      </c>
      <c r="C11" s="11"/>
      <c r="D11" s="12">
        <v>869444</v>
      </c>
      <c r="E11" s="12"/>
      <c r="F11" s="12"/>
      <c r="G11" s="12"/>
      <c r="H11" s="12"/>
      <c r="I11" s="12"/>
    </row>
    <row r="12" spans="1:16" s="10" customFormat="1">
      <c r="A12" s="53"/>
      <c r="B12" s="7" t="s">
        <v>5</v>
      </c>
      <c r="C12" s="7"/>
      <c r="D12" s="8">
        <f>D9/D7</f>
        <v>0.82725899999999997</v>
      </c>
      <c r="E12" s="9">
        <f>D12+0.2%</f>
        <v>0.82925899999999997</v>
      </c>
      <c r="F12" s="9">
        <f>E12+0.2%</f>
        <v>0.83125899999999997</v>
      </c>
      <c r="G12" s="9">
        <f>F12+0.2%</f>
        <v>0.83325899999999997</v>
      </c>
      <c r="H12" s="9">
        <f>G12+0.2%</f>
        <v>0.83525899999999997</v>
      </c>
      <c r="I12" s="9">
        <f>H12+0.2%</f>
        <v>0.83725899999999998</v>
      </c>
    </row>
    <row r="13" spans="1:16" s="6" customFormat="1" ht="14.4">
      <c r="A13" s="51"/>
      <c r="B13" s="95" t="s">
        <v>1</v>
      </c>
      <c r="C13" s="95"/>
      <c r="D13" s="90">
        <v>1003552</v>
      </c>
      <c r="E13" s="90">
        <f>D13*115%</f>
        <v>1154084.7999999998</v>
      </c>
      <c r="F13" s="90">
        <f>E13*115%</f>
        <v>1327197.5199999998</v>
      </c>
      <c r="G13" s="90">
        <f>F13*115%</f>
        <v>1526277.1479999996</v>
      </c>
      <c r="H13" s="90">
        <f>G13*115%</f>
        <v>1755218.7201999994</v>
      </c>
      <c r="I13" s="90">
        <f>H13*115%</f>
        <v>2018501.5282299991</v>
      </c>
      <c r="K13" s="93" t="s">
        <v>194</v>
      </c>
    </row>
    <row r="14" spans="1:16" s="13" customFormat="1" ht="14.4">
      <c r="A14" s="52"/>
      <c r="B14" s="11" t="s">
        <v>2</v>
      </c>
      <c r="C14" s="11"/>
      <c r="D14" s="12">
        <v>237217</v>
      </c>
      <c r="E14" s="12"/>
      <c r="F14" s="12"/>
      <c r="G14" s="12"/>
      <c r="H14" s="12"/>
      <c r="I14" s="12"/>
      <c r="K14" s="92"/>
      <c r="P14" s="93" t="s">
        <v>187</v>
      </c>
    </row>
    <row r="15" spans="1:16" s="13" customFormat="1" ht="14.4">
      <c r="A15" s="52"/>
      <c r="B15" s="11" t="s">
        <v>3</v>
      </c>
      <c r="C15" s="11"/>
      <c r="D15" s="12">
        <v>3899077</v>
      </c>
      <c r="E15" s="12"/>
      <c r="F15" s="12"/>
      <c r="G15" s="12"/>
      <c r="H15" s="12"/>
      <c r="I15" s="12"/>
      <c r="K15" s="92"/>
      <c r="P15" s="92" t="s">
        <v>188</v>
      </c>
    </row>
    <row r="16" spans="1:16" s="13" customFormat="1" ht="14.4">
      <c r="A16" s="52"/>
      <c r="B16" s="11"/>
      <c r="C16" s="11"/>
      <c r="D16" s="12"/>
      <c r="E16" s="12"/>
      <c r="F16" s="12"/>
      <c r="G16" s="12"/>
      <c r="H16" s="12"/>
      <c r="I16" s="12"/>
      <c r="K16" s="92"/>
      <c r="P16" s="92" t="s">
        <v>189</v>
      </c>
    </row>
    <row r="17" spans="1:16" s="17" customFormat="1" ht="15.6">
      <c r="A17" s="81">
        <v>1</v>
      </c>
      <c r="B17" s="18" t="s">
        <v>25</v>
      </c>
      <c r="K17" s="92"/>
      <c r="P17" s="92" t="s">
        <v>190</v>
      </c>
    </row>
    <row r="18" spans="1:16" ht="14.4">
      <c r="A18" s="82"/>
      <c r="B18" s="4" t="s">
        <v>172</v>
      </c>
      <c r="D18" s="3">
        <v>956516</v>
      </c>
      <c r="E18" s="3">
        <f>E8*E19</f>
        <v>1000000</v>
      </c>
      <c r="F18" s="3">
        <f>F8*F19</f>
        <v>1112000</v>
      </c>
      <c r="G18" s="3">
        <f>G8*G19</f>
        <v>1244000</v>
      </c>
      <c r="H18" s="3">
        <f>H8*H19</f>
        <v>1400000</v>
      </c>
      <c r="I18" s="3">
        <f>I8*I19</f>
        <v>1600000</v>
      </c>
      <c r="K18" s="92"/>
      <c r="P18" s="92" t="s">
        <v>191</v>
      </c>
    </row>
    <row r="19" spans="1:16" s="10" customFormat="1" ht="14.4">
      <c r="A19" s="83"/>
      <c r="B19" s="7" t="s">
        <v>6</v>
      </c>
      <c r="C19" s="7"/>
      <c r="D19" s="8">
        <f>D18/D8</f>
        <v>0.23329658536585365</v>
      </c>
      <c r="E19" s="9">
        <v>0.2</v>
      </c>
      <c r="F19" s="9">
        <v>0.2</v>
      </c>
      <c r="G19" s="9">
        <v>0.2</v>
      </c>
      <c r="H19" s="9">
        <v>0.2</v>
      </c>
      <c r="I19" s="9">
        <v>0.2</v>
      </c>
      <c r="K19" s="92"/>
      <c r="P19" s="92" t="s">
        <v>192</v>
      </c>
    </row>
    <row r="20" spans="1:16" ht="14.4">
      <c r="A20" s="82"/>
      <c r="B20" s="45" t="s">
        <v>7</v>
      </c>
      <c r="C20" s="45"/>
      <c r="D20" s="46">
        <v>129307.44444444444</v>
      </c>
      <c r="E20" s="46">
        <v>106852.5</v>
      </c>
      <c r="F20" s="46">
        <v>191162.5</v>
      </c>
      <c r="G20" s="46">
        <v>233951.01523646381</v>
      </c>
      <c r="H20" s="46">
        <v>286317.02101705153</v>
      </c>
      <c r="I20" s="46">
        <v>350404.27775541309</v>
      </c>
      <c r="P20" s="92" t="s">
        <v>193</v>
      </c>
    </row>
    <row r="21" spans="1:16" s="10" customFormat="1">
      <c r="A21" s="83"/>
      <c r="B21" s="7" t="s">
        <v>8</v>
      </c>
      <c r="C21" s="7"/>
      <c r="D21" s="8">
        <f t="shared" ref="D21:I21" si="0">D20/D18</f>
        <v>0.13518586667075558</v>
      </c>
      <c r="E21" s="8">
        <f t="shared" si="0"/>
        <v>0.1068525</v>
      </c>
      <c r="F21" s="8">
        <f t="shared" si="0"/>
        <v>0.17190872302158272</v>
      </c>
      <c r="G21" s="8">
        <f t="shared" si="0"/>
        <v>0.18806351707111238</v>
      </c>
      <c r="H21" s="8">
        <f t="shared" si="0"/>
        <v>0.20451215786932253</v>
      </c>
      <c r="I21" s="8">
        <f t="shared" si="0"/>
        <v>0.21900267359713319</v>
      </c>
    </row>
    <row r="22" spans="1:16">
      <c r="A22" s="82"/>
    </row>
    <row r="23" spans="1:16" s="17" customFormat="1" ht="15.6">
      <c r="A23" s="81">
        <v>2</v>
      </c>
      <c r="B23" s="18" t="s">
        <v>18</v>
      </c>
    </row>
    <row r="24" spans="1:16">
      <c r="A24" s="82"/>
      <c r="B24" s="45" t="s">
        <v>9</v>
      </c>
      <c r="C24" s="45"/>
      <c r="D24" s="94">
        <v>733460.63066578028</v>
      </c>
      <c r="E24" s="94">
        <v>767663.01276067179</v>
      </c>
      <c r="F24" s="94">
        <v>871479.76268259191</v>
      </c>
      <c r="G24" s="94">
        <v>989336.41994040273</v>
      </c>
      <c r="H24" s="94">
        <v>1137736.882931463</v>
      </c>
      <c r="I24" s="94">
        <v>1308397.4153711824</v>
      </c>
      <c r="K24" s="64" t="s">
        <v>195</v>
      </c>
    </row>
    <row r="25" spans="1:16" s="10" customFormat="1">
      <c r="A25" s="83"/>
      <c r="B25" s="7" t="s">
        <v>6</v>
      </c>
      <c r="C25" s="7"/>
      <c r="D25" s="8">
        <f>D24/D8</f>
        <v>0.17889283674775128</v>
      </c>
      <c r="E25" s="9">
        <f>D25+1%</f>
        <v>0.18889283674775129</v>
      </c>
      <c r="F25" s="9">
        <f>E25+1%</f>
        <v>0.19889283674775129</v>
      </c>
      <c r="G25" s="9">
        <f>F25+1%</f>
        <v>0.2088928367477513</v>
      </c>
      <c r="H25" s="9">
        <f>G25+1%</f>
        <v>0.21889283674775131</v>
      </c>
      <c r="I25" s="9">
        <f>H25+1%</f>
        <v>0.22889283674775132</v>
      </c>
    </row>
    <row r="26" spans="1:16">
      <c r="A26" s="82"/>
      <c r="B26" s="4" t="s">
        <v>12</v>
      </c>
      <c r="D26" s="15">
        <v>1.7964564470296127</v>
      </c>
      <c r="E26" s="15">
        <v>1.6483668929021889</v>
      </c>
      <c r="F26" s="15">
        <v>1.4518881584881009</v>
      </c>
      <c r="G26" s="15">
        <v>1.2951235830504335</v>
      </c>
      <c r="H26" s="15">
        <v>1.1476457423304052</v>
      </c>
      <c r="I26" s="15">
        <v>1.0084751644978849</v>
      </c>
    </row>
    <row r="27" spans="1:16" s="3" customFormat="1">
      <c r="A27" s="84"/>
      <c r="B27" s="3" t="s">
        <v>11</v>
      </c>
      <c r="D27" s="3">
        <f t="shared" ref="D27:I27" si="1">D28*D5</f>
        <v>1500</v>
      </c>
      <c r="E27" s="3">
        <f t="shared" si="1"/>
        <v>1500</v>
      </c>
      <c r="F27" s="3">
        <f t="shared" si="1"/>
        <v>1500</v>
      </c>
      <c r="G27" s="3">
        <f t="shared" si="1"/>
        <v>1500</v>
      </c>
      <c r="H27" s="3">
        <f t="shared" si="1"/>
        <v>1500</v>
      </c>
      <c r="I27" s="3">
        <f t="shared" si="1"/>
        <v>1500</v>
      </c>
    </row>
    <row r="28" spans="1:16" s="6" customFormat="1">
      <c r="A28" s="85"/>
      <c r="B28" s="5" t="s">
        <v>28</v>
      </c>
      <c r="C28" s="5"/>
      <c r="D28" s="16">
        <v>3</v>
      </c>
      <c r="E28" s="16">
        <v>3</v>
      </c>
      <c r="F28" s="16">
        <v>3</v>
      </c>
      <c r="G28" s="16">
        <v>3</v>
      </c>
      <c r="H28" s="16">
        <v>3</v>
      </c>
      <c r="I28" s="16">
        <v>3</v>
      </c>
    </row>
    <row r="29" spans="1:16">
      <c r="A29" s="82"/>
      <c r="B29" s="3" t="s">
        <v>29</v>
      </c>
      <c r="C29" s="3"/>
      <c r="D29" s="3"/>
      <c r="E29" s="3">
        <f>E27*E24</f>
        <v>1151494519.1410077</v>
      </c>
      <c r="F29" s="3">
        <f>F27*F24</f>
        <v>1307219644.0238879</v>
      </c>
      <c r="G29" s="3">
        <f>G27*G24</f>
        <v>1484004629.910604</v>
      </c>
      <c r="H29" s="3">
        <f>H27*H24</f>
        <v>1706605324.3971944</v>
      </c>
      <c r="I29" s="3">
        <f>I27*I24</f>
        <v>1962596123.0567737</v>
      </c>
      <c r="K29" s="3">
        <f>E29+F29+G29+H29+I29</f>
        <v>7611920240.5294685</v>
      </c>
      <c r="L29" s="72">
        <f>E29/$E$5+F29/$F$5+G29/$G$5+H29/$H$5+I29/$I$5</f>
        <v>15223840.481058937</v>
      </c>
      <c r="O29" s="21"/>
    </row>
    <row r="30" spans="1:16">
      <c r="B30" s="3"/>
      <c r="C30" s="3"/>
      <c r="D30" s="3"/>
      <c r="E30" s="3"/>
      <c r="F30" s="3"/>
      <c r="G30" s="3"/>
      <c r="H30" s="3"/>
      <c r="I30" s="3"/>
    </row>
    <row r="31" spans="1:16" s="17" customFormat="1" ht="15.6">
      <c r="A31" s="54">
        <v>3</v>
      </c>
      <c r="B31" s="18" t="s">
        <v>177</v>
      </c>
      <c r="C31" s="18"/>
      <c r="E31" s="59"/>
      <c r="F31" s="59"/>
      <c r="G31" s="59"/>
      <c r="H31" s="59"/>
      <c r="I31" s="59"/>
    </row>
    <row r="32" spans="1:16" s="10" customFormat="1">
      <c r="A32" s="53"/>
      <c r="B32" s="7" t="s">
        <v>173</v>
      </c>
      <c r="C32" s="7"/>
      <c r="D32" s="8"/>
      <c r="E32" s="87">
        <v>0.7</v>
      </c>
      <c r="F32" s="87">
        <v>0.7</v>
      </c>
      <c r="G32" s="87">
        <v>0.7</v>
      </c>
      <c r="H32" s="87">
        <v>0.7</v>
      </c>
      <c r="I32" s="87">
        <v>0.7</v>
      </c>
      <c r="N32" s="4"/>
    </row>
    <row r="33" spans="1:21" s="17" customFormat="1" ht="15.6">
      <c r="A33" s="54"/>
      <c r="B33" s="4" t="s">
        <v>182</v>
      </c>
      <c r="C33" s="4"/>
      <c r="D33" s="3"/>
      <c r="E33" s="3">
        <f>E8*E32</f>
        <v>3500000</v>
      </c>
      <c r="F33" s="3">
        <f>F8*F32</f>
        <v>3891999.9999999995</v>
      </c>
      <c r="G33" s="3">
        <f>G8*G32</f>
        <v>4354000</v>
      </c>
      <c r="H33" s="3">
        <f>H8*H32</f>
        <v>4900000</v>
      </c>
      <c r="I33" s="3">
        <f>I8*I32</f>
        <v>5600000</v>
      </c>
      <c r="N33" s="7"/>
    </row>
    <row r="34" spans="1:21" s="10" customFormat="1">
      <c r="A34" s="53"/>
      <c r="B34" s="7" t="s">
        <v>174</v>
      </c>
      <c r="C34" s="7"/>
      <c r="D34" s="8"/>
      <c r="E34" s="39">
        <v>0.8</v>
      </c>
      <c r="F34" s="39">
        <v>0.8</v>
      </c>
      <c r="G34" s="39">
        <v>0.8</v>
      </c>
      <c r="H34" s="39">
        <v>0.8</v>
      </c>
      <c r="I34" s="39">
        <v>0.8</v>
      </c>
      <c r="N34" s="4"/>
    </row>
    <row r="35" spans="1:21">
      <c r="B35" s="4" t="s">
        <v>178</v>
      </c>
      <c r="D35" s="3"/>
      <c r="E35" s="3">
        <f>E33*E34</f>
        <v>2800000</v>
      </c>
      <c r="F35" s="3">
        <f>F33*F34</f>
        <v>3113600</v>
      </c>
      <c r="G35" s="3">
        <f>G33*G34</f>
        <v>3483200</v>
      </c>
      <c r="H35" s="3">
        <f>H33*H34</f>
        <v>3920000</v>
      </c>
      <c r="I35" s="3">
        <f>I33*I34</f>
        <v>4480000</v>
      </c>
      <c r="N35" s="7"/>
    </row>
    <row r="36" spans="1:21" s="10" customFormat="1">
      <c r="A36" s="53"/>
      <c r="B36" s="7" t="s">
        <v>183</v>
      </c>
      <c r="C36" s="7"/>
      <c r="D36" s="8"/>
      <c r="E36" s="39">
        <v>0.6</v>
      </c>
      <c r="F36" s="39">
        <v>0.6</v>
      </c>
      <c r="G36" s="39">
        <v>0.6</v>
      </c>
      <c r="H36" s="39">
        <v>0.6</v>
      </c>
      <c r="I36" s="39">
        <v>0.6</v>
      </c>
      <c r="N36" s="4"/>
    </row>
    <row r="37" spans="1:21">
      <c r="B37" s="4" t="s">
        <v>176</v>
      </c>
      <c r="D37" s="3"/>
      <c r="E37" s="3">
        <f>E35*E36</f>
        <v>1680000</v>
      </c>
      <c r="F37" s="3">
        <f>F35*F36</f>
        <v>1868160</v>
      </c>
      <c r="G37" s="3">
        <f>G35*G36</f>
        <v>2089920</v>
      </c>
      <c r="H37" s="3">
        <f>H35*H36</f>
        <v>2352000</v>
      </c>
      <c r="I37" s="3">
        <f>I35*I36</f>
        <v>2688000</v>
      </c>
      <c r="N37" s="7"/>
    </row>
    <row r="38" spans="1:21" s="10" customFormat="1">
      <c r="A38" s="53"/>
      <c r="B38" s="7" t="s">
        <v>110</v>
      </c>
      <c r="C38" s="7"/>
      <c r="D38" s="8"/>
      <c r="E38" s="39">
        <v>0.3</v>
      </c>
      <c r="F38" s="39">
        <v>0.35</v>
      </c>
      <c r="G38" s="39">
        <v>0.4</v>
      </c>
      <c r="H38" s="39">
        <v>0.45</v>
      </c>
      <c r="I38" s="39">
        <v>0.5</v>
      </c>
      <c r="N38" s="4"/>
    </row>
    <row r="39" spans="1:21">
      <c r="B39" s="4" t="s">
        <v>175</v>
      </c>
      <c r="D39" s="3"/>
      <c r="E39" s="3">
        <f>E37*E38</f>
        <v>504000</v>
      </c>
      <c r="F39" s="3">
        <f>F37*F38</f>
        <v>653856</v>
      </c>
      <c r="G39" s="3">
        <f>G37*G38</f>
        <v>835968</v>
      </c>
      <c r="H39" s="3">
        <f>H37*H38</f>
        <v>1058400</v>
      </c>
      <c r="I39" s="3">
        <f>I37*I38</f>
        <v>1344000</v>
      </c>
      <c r="N39" s="7"/>
    </row>
    <row r="40" spans="1:21" s="10" customFormat="1">
      <c r="A40" s="53"/>
      <c r="B40" s="7" t="s">
        <v>15</v>
      </c>
      <c r="C40" s="7"/>
      <c r="D40" s="8"/>
      <c r="E40" s="39">
        <v>0.95</v>
      </c>
      <c r="F40" s="39">
        <v>0.95</v>
      </c>
      <c r="G40" s="39">
        <v>0.95</v>
      </c>
      <c r="H40" s="39">
        <v>0.95</v>
      </c>
      <c r="I40" s="39">
        <v>0.95</v>
      </c>
    </row>
    <row r="41" spans="1:21" ht="15.6">
      <c r="B41" s="19" t="s">
        <v>112</v>
      </c>
      <c r="C41" s="19"/>
      <c r="D41" s="20"/>
      <c r="E41" s="20">
        <f>E39*E40</f>
        <v>478800</v>
      </c>
      <c r="F41" s="20">
        <f>F39*F40</f>
        <v>621163.19999999995</v>
      </c>
      <c r="G41" s="20">
        <f>G39*G40</f>
        <v>794169.6</v>
      </c>
      <c r="H41" s="20">
        <f>H39*H40</f>
        <v>1005480</v>
      </c>
      <c r="I41" s="20">
        <f>I39*I40</f>
        <v>1276800</v>
      </c>
    </row>
    <row r="42" spans="1:21" s="3" customFormat="1">
      <c r="A42" s="55"/>
      <c r="B42" s="3" t="s">
        <v>124</v>
      </c>
      <c r="E42" s="3">
        <f>E43*D5</f>
        <v>15000</v>
      </c>
      <c r="F42" s="3">
        <f>F43*E5</f>
        <v>15000</v>
      </c>
      <c r="G42" s="3">
        <f>G43*F5</f>
        <v>15000</v>
      </c>
      <c r="H42" s="3">
        <f>H43*G5</f>
        <v>15000</v>
      </c>
      <c r="I42" s="3">
        <f>I43*H5</f>
        <v>15000</v>
      </c>
    </row>
    <row r="43" spans="1:21" s="6" customFormat="1">
      <c r="A43" s="51"/>
      <c r="B43" s="5" t="s">
        <v>118</v>
      </c>
      <c r="C43" s="5"/>
      <c r="D43" s="5"/>
      <c r="E43" s="16">
        <v>30</v>
      </c>
      <c r="F43" s="16">
        <v>30</v>
      </c>
      <c r="G43" s="16">
        <v>30</v>
      </c>
      <c r="H43" s="16">
        <v>30</v>
      </c>
      <c r="I43" s="16">
        <v>30</v>
      </c>
    </row>
    <row r="44" spans="1:21" s="3" customFormat="1">
      <c r="A44" s="55"/>
      <c r="B44" s="3" t="s">
        <v>111</v>
      </c>
      <c r="E44" s="3">
        <f>E42*E41</f>
        <v>7182000000</v>
      </c>
      <c r="F44" s="3">
        <f>F42*F41</f>
        <v>9317448000</v>
      </c>
      <c r="G44" s="3">
        <f>G42*G41</f>
        <v>11912544000</v>
      </c>
      <c r="H44" s="3">
        <f>H42*H41</f>
        <v>15082200000</v>
      </c>
      <c r="I44" s="3">
        <f>I42*I41</f>
        <v>19152000000</v>
      </c>
      <c r="L44" s="72"/>
    </row>
    <row r="45" spans="1:21" s="10" customFormat="1">
      <c r="A45" s="53"/>
      <c r="B45" s="7" t="s">
        <v>113</v>
      </c>
      <c r="C45" s="7"/>
      <c r="D45" s="8"/>
      <c r="E45" s="39">
        <v>0.8</v>
      </c>
      <c r="F45" s="39">
        <v>0.8</v>
      </c>
      <c r="G45" s="39">
        <v>0.8</v>
      </c>
      <c r="H45" s="39">
        <v>0.8</v>
      </c>
      <c r="I45" s="39">
        <v>0.8</v>
      </c>
    </row>
    <row r="46" spans="1:21" ht="15.6">
      <c r="B46" s="37" t="s">
        <v>128</v>
      </c>
      <c r="C46" s="37"/>
      <c r="D46" s="38"/>
      <c r="E46" s="38">
        <f>E41*E45</f>
        <v>383040</v>
      </c>
      <c r="F46" s="38">
        <f>F41*F45</f>
        <v>496930.56</v>
      </c>
      <c r="G46" s="38">
        <f>G41*G45</f>
        <v>635335.68000000005</v>
      </c>
      <c r="H46" s="38">
        <f>H41*H45</f>
        <v>804384</v>
      </c>
      <c r="I46" s="38">
        <f>I41*I45</f>
        <v>1021440</v>
      </c>
      <c r="U46" s="60"/>
    </row>
    <row r="47" spans="1:21">
      <c r="B47" s="7" t="s">
        <v>122</v>
      </c>
      <c r="C47" s="7"/>
      <c r="D47" s="8"/>
      <c r="E47" s="9">
        <v>0.05</v>
      </c>
      <c r="F47" s="9">
        <v>0.05</v>
      </c>
      <c r="G47" s="9">
        <v>0.05</v>
      </c>
      <c r="H47" s="9">
        <v>0.05</v>
      </c>
      <c r="I47" s="9">
        <v>0.05</v>
      </c>
      <c r="U47" s="61"/>
    </row>
    <row r="48" spans="1:21" s="3" customFormat="1">
      <c r="A48" s="55"/>
      <c r="B48" s="3" t="s">
        <v>121</v>
      </c>
      <c r="E48" s="3">
        <f>E44*E47</f>
        <v>359100000</v>
      </c>
      <c r="F48" s="3">
        <f>F44*F47</f>
        <v>465872400</v>
      </c>
      <c r="G48" s="3">
        <f>G44*G47</f>
        <v>595627200</v>
      </c>
      <c r="H48" s="3">
        <f>H44*H47</f>
        <v>754110000</v>
      </c>
      <c r="I48" s="3">
        <f>I44*I47</f>
        <v>957600000</v>
      </c>
      <c r="K48" s="3">
        <f>I48</f>
        <v>957600000</v>
      </c>
      <c r="L48" s="72">
        <f>K48/I5</f>
        <v>1915200</v>
      </c>
      <c r="M48" s="43" t="s">
        <v>133</v>
      </c>
    </row>
    <row r="49" spans="1:21" s="3" customFormat="1">
      <c r="A49" s="55"/>
      <c r="B49" s="3" t="s">
        <v>114</v>
      </c>
      <c r="E49" s="3">
        <f>E51/E46</f>
        <v>97500</v>
      </c>
      <c r="F49" s="3">
        <f>F51/F46</f>
        <v>161091.9835560123</v>
      </c>
      <c r="G49" s="3">
        <f>G51/G46</f>
        <v>162027.73311897097</v>
      </c>
      <c r="H49" s="3">
        <f>H51/H46</f>
        <v>162661.90476190473</v>
      </c>
      <c r="I49" s="3">
        <f>I51/I46</f>
        <v>162468.75000000003</v>
      </c>
      <c r="L49" s="72"/>
    </row>
    <row r="50" spans="1:21" s="6" customFormat="1">
      <c r="A50" s="51"/>
      <c r="B50" s="5" t="s">
        <v>119</v>
      </c>
      <c r="C50" s="5"/>
      <c r="D50" s="5"/>
      <c r="E50" s="5">
        <f>E49/E5</f>
        <v>195</v>
      </c>
      <c r="F50" s="5">
        <f>F49/F5</f>
        <v>322.18396711202462</v>
      </c>
      <c r="G50" s="5">
        <f>G49/G5</f>
        <v>324.05546623794191</v>
      </c>
      <c r="H50" s="5">
        <f>H49/H5</f>
        <v>325.32380952380947</v>
      </c>
      <c r="I50" s="5">
        <f>I49/I5</f>
        <v>324.93750000000006</v>
      </c>
      <c r="U50" s="5"/>
    </row>
    <row r="51" spans="1:21" s="43" customFormat="1">
      <c r="A51" s="56"/>
      <c r="B51" s="43" t="s">
        <v>127</v>
      </c>
      <c r="E51" s="44">
        <f>[10]Лист4!O13*1000000</f>
        <v>37346400000</v>
      </c>
      <c r="F51" s="44">
        <f>[10]Лист4!AB13*1000000</f>
        <v>80051529599.999985</v>
      </c>
      <c r="G51" s="44">
        <f>[10]Лист4!AO13*1000000</f>
        <v>102941999999.99995</v>
      </c>
      <c r="H51" s="44">
        <f>[10]Лист4!BB13*1000000</f>
        <v>130842633599.99997</v>
      </c>
      <c r="I51" s="44">
        <f>[10]Лист4!BO13*1000000</f>
        <v>165952080000.00003</v>
      </c>
      <c r="K51" s="43">
        <f>E51+F51+G51+H51+I51</f>
        <v>517134643199.99988</v>
      </c>
      <c r="L51" s="73">
        <f>E51/$E$5+F51/$F$5+G51/$G$5+H51/$H$5+I51/$I$5</f>
        <v>1034269286.3999999</v>
      </c>
    </row>
    <row r="52" spans="1:21">
      <c r="B52" s="64" t="s">
        <v>179</v>
      </c>
    </row>
    <row r="53" spans="1:21" s="17" customFormat="1" ht="15.6">
      <c r="A53" s="54">
        <v>4</v>
      </c>
      <c r="B53" s="18" t="s">
        <v>196</v>
      </c>
      <c r="E53" s="58"/>
      <c r="F53" s="58"/>
      <c r="G53" s="58"/>
      <c r="H53" s="58"/>
      <c r="I53" s="58"/>
    </row>
    <row r="54" spans="1:21" ht="15.6">
      <c r="A54" s="54" t="s">
        <v>26</v>
      </c>
      <c r="B54" s="7" t="s">
        <v>173</v>
      </c>
      <c r="C54" s="7"/>
      <c r="D54" s="8"/>
      <c r="E54" s="9">
        <v>0.7</v>
      </c>
      <c r="F54" s="9">
        <v>0.7</v>
      </c>
      <c r="G54" s="9">
        <v>0.7</v>
      </c>
      <c r="H54" s="9">
        <v>0.7</v>
      </c>
      <c r="I54" s="9">
        <v>0.7</v>
      </c>
    </row>
    <row r="55" spans="1:21">
      <c r="B55" s="4" t="s">
        <v>182</v>
      </c>
      <c r="D55" s="3"/>
      <c r="E55" s="3">
        <f>E8*E54</f>
        <v>3500000</v>
      </c>
      <c r="F55" s="3">
        <f>F8*F54</f>
        <v>3891999.9999999995</v>
      </c>
      <c r="G55" s="3">
        <f>G8*G54</f>
        <v>4354000</v>
      </c>
      <c r="H55" s="3">
        <f>H8*H54</f>
        <v>4900000</v>
      </c>
      <c r="I55" s="3">
        <f>I8*I54</f>
        <v>5600000</v>
      </c>
    </row>
    <row r="56" spans="1:21">
      <c r="B56" s="7" t="s">
        <v>174</v>
      </c>
      <c r="C56" s="7"/>
      <c r="D56" s="8"/>
      <c r="E56" s="39">
        <v>0.8</v>
      </c>
      <c r="F56" s="39">
        <v>0.8</v>
      </c>
      <c r="G56" s="39">
        <v>0.8</v>
      </c>
      <c r="H56" s="39">
        <v>0.8</v>
      </c>
      <c r="I56" s="39">
        <v>0.8</v>
      </c>
    </row>
    <row r="57" spans="1:21">
      <c r="B57" s="4" t="s">
        <v>178</v>
      </c>
      <c r="D57" s="3"/>
      <c r="E57" s="3">
        <f>E55*E56</f>
        <v>2800000</v>
      </c>
      <c r="F57" s="3">
        <f>F55*F56</f>
        <v>3113600</v>
      </c>
      <c r="G57" s="3">
        <f>G55*G56</f>
        <v>3483200</v>
      </c>
      <c r="H57" s="3">
        <f>H55*H56</f>
        <v>3920000</v>
      </c>
      <c r="I57" s="3">
        <f>I55*I56</f>
        <v>4480000</v>
      </c>
    </row>
    <row r="58" spans="1:21">
      <c r="B58" s="7" t="s">
        <v>183</v>
      </c>
      <c r="C58" s="7"/>
      <c r="D58" s="8"/>
      <c r="E58" s="39">
        <v>0.7</v>
      </c>
      <c r="F58" s="39">
        <v>0.7</v>
      </c>
      <c r="G58" s="39">
        <v>0.7</v>
      </c>
      <c r="H58" s="39">
        <v>0.7</v>
      </c>
      <c r="I58" s="39">
        <v>0.7</v>
      </c>
    </row>
    <row r="59" spans="1:21">
      <c r="B59" s="4" t="s">
        <v>176</v>
      </c>
      <c r="D59" s="3"/>
      <c r="E59" s="3">
        <f>E57*E58</f>
        <v>1959999.9999999998</v>
      </c>
      <c r="F59" s="3">
        <f>F57*F58</f>
        <v>2179520</v>
      </c>
      <c r="G59" s="3">
        <f>G57*G58</f>
        <v>2438240</v>
      </c>
      <c r="H59" s="3">
        <f>H57*H58</f>
        <v>2744000</v>
      </c>
      <c r="I59" s="3">
        <f>I57*I58</f>
        <v>3136000</v>
      </c>
    </row>
    <row r="60" spans="1:21">
      <c r="B60" s="7" t="s">
        <v>110</v>
      </c>
      <c r="C60" s="7"/>
      <c r="D60" s="8"/>
      <c r="E60" s="9">
        <v>0.2</v>
      </c>
      <c r="F60" s="9">
        <v>0.25</v>
      </c>
      <c r="G60" s="9">
        <v>0.3</v>
      </c>
      <c r="H60" s="9">
        <v>0.35</v>
      </c>
      <c r="I60" s="9">
        <v>0.4</v>
      </c>
    </row>
    <row r="61" spans="1:21">
      <c r="B61" s="4" t="s">
        <v>175</v>
      </c>
      <c r="C61" s="7"/>
      <c r="D61" s="8"/>
      <c r="E61" s="3">
        <f>E59*E60</f>
        <v>392000</v>
      </c>
      <c r="F61" s="3">
        <f>F59*F60</f>
        <v>544880</v>
      </c>
      <c r="G61" s="3">
        <f>G59*G60</f>
        <v>731472</v>
      </c>
      <c r="H61" s="3">
        <f>H59*H60</f>
        <v>960399.99999999988</v>
      </c>
      <c r="I61" s="3">
        <f>I59*I60</f>
        <v>1254400</v>
      </c>
    </row>
    <row r="62" spans="1:21">
      <c r="B62" s="7" t="s">
        <v>15</v>
      </c>
      <c r="C62" s="7"/>
      <c r="D62" s="8"/>
      <c r="E62" s="39">
        <v>0.7</v>
      </c>
      <c r="F62" s="39">
        <v>0.7</v>
      </c>
      <c r="G62" s="39">
        <v>0.7</v>
      </c>
      <c r="H62" s="39">
        <v>0.7</v>
      </c>
      <c r="I62" s="39">
        <v>0.7</v>
      </c>
    </row>
    <row r="63" spans="1:21" s="17" customFormat="1" ht="15.6">
      <c r="A63" s="54"/>
      <c r="B63" s="19" t="s">
        <v>115</v>
      </c>
      <c r="C63" s="19"/>
      <c r="D63" s="20"/>
      <c r="E63" s="20">
        <f>E59*E60</f>
        <v>392000</v>
      </c>
      <c r="F63" s="20">
        <f>F59*F60</f>
        <v>544880</v>
      </c>
      <c r="G63" s="20">
        <f>G59*G60</f>
        <v>731472</v>
      </c>
      <c r="H63" s="20">
        <f>H59*H60</f>
        <v>960399.99999999988</v>
      </c>
      <c r="I63" s="20">
        <f>I59*I60</f>
        <v>1254400</v>
      </c>
    </row>
    <row r="64" spans="1:21">
      <c r="B64" s="3" t="s">
        <v>125</v>
      </c>
      <c r="C64" s="3"/>
      <c r="D64" s="3"/>
      <c r="E64" s="3">
        <f>E65*E5</f>
        <v>40000</v>
      </c>
      <c r="F64" s="3">
        <f>F65*F5</f>
        <v>44000</v>
      </c>
      <c r="G64" s="3">
        <f>G65*G5</f>
        <v>48400.000000000007</v>
      </c>
      <c r="H64" s="3">
        <f>H65*H5</f>
        <v>53240.000000000007</v>
      </c>
      <c r="I64" s="3">
        <f>I65*I5</f>
        <v>58564.000000000015</v>
      </c>
    </row>
    <row r="65" spans="1:13" s="6" customFormat="1">
      <c r="A65" s="51"/>
      <c r="B65" s="5" t="s">
        <v>126</v>
      </c>
      <c r="C65" s="5"/>
      <c r="D65" s="5"/>
      <c r="E65" s="16">
        <v>80</v>
      </c>
      <c r="F65" s="16">
        <f>E65*110%</f>
        <v>88</v>
      </c>
      <c r="G65" s="16">
        <f>F65*110%</f>
        <v>96.800000000000011</v>
      </c>
      <c r="H65" s="16">
        <f>G65*110%</f>
        <v>106.48000000000002</v>
      </c>
      <c r="I65" s="16">
        <f>H65*110%</f>
        <v>117.12800000000003</v>
      </c>
    </row>
    <row r="66" spans="1:13">
      <c r="B66" s="3" t="s">
        <v>111</v>
      </c>
      <c r="C66" s="3"/>
      <c r="D66" s="3"/>
      <c r="E66" s="3">
        <f>E63*E64</f>
        <v>15680000000</v>
      </c>
      <c r="F66" s="3">
        <f>F63*F64</f>
        <v>23974720000</v>
      </c>
      <c r="G66" s="3">
        <f>G63*G64</f>
        <v>35403244800.000008</v>
      </c>
      <c r="H66" s="3">
        <f>H63*H64</f>
        <v>51131696000</v>
      </c>
      <c r="I66" s="3">
        <f>I63*I64</f>
        <v>73462681600.000015</v>
      </c>
    </row>
    <row r="67" spans="1:13" s="10" customFormat="1">
      <c r="A67" s="53"/>
      <c r="B67" s="7" t="s">
        <v>117</v>
      </c>
      <c r="C67" s="7"/>
      <c r="D67" s="8"/>
      <c r="E67" s="39">
        <v>0.99</v>
      </c>
      <c r="F67" s="39">
        <f>E67-0.5%</f>
        <v>0.98499999999999999</v>
      </c>
      <c r="G67" s="39">
        <f>F67-0.5%</f>
        <v>0.98</v>
      </c>
      <c r="H67" s="39">
        <f>G67-0.5%</f>
        <v>0.97499999999999998</v>
      </c>
      <c r="I67" s="39">
        <f>H67-0.5%</f>
        <v>0.97</v>
      </c>
    </row>
    <row r="68" spans="1:13" s="17" customFormat="1" ht="15.6">
      <c r="A68" s="54"/>
      <c r="B68" s="37" t="s">
        <v>116</v>
      </c>
      <c r="C68" s="37"/>
      <c r="D68" s="38"/>
      <c r="E68" s="38">
        <f>E63*E67</f>
        <v>388080</v>
      </c>
      <c r="F68" s="38">
        <f>F63*F67</f>
        <v>536706.80000000005</v>
      </c>
      <c r="G68" s="38">
        <f>G63*G67</f>
        <v>716842.55999999994</v>
      </c>
      <c r="H68" s="38">
        <f>H63*H67</f>
        <v>936389.99999999988</v>
      </c>
      <c r="I68" s="38">
        <f>I63*I67</f>
        <v>1216768</v>
      </c>
    </row>
    <row r="69" spans="1:13" s="10" customFormat="1">
      <c r="A69" s="53"/>
      <c r="B69" s="7" t="s">
        <v>123</v>
      </c>
      <c r="C69" s="7"/>
      <c r="D69" s="8"/>
      <c r="E69" s="39">
        <v>0.7</v>
      </c>
      <c r="F69" s="39">
        <f>E69+2%</f>
        <v>0.72</v>
      </c>
      <c r="G69" s="39">
        <f>F69+2%</f>
        <v>0.74</v>
      </c>
      <c r="H69" s="39">
        <f>G69+2%</f>
        <v>0.76</v>
      </c>
      <c r="I69" s="39">
        <f>H69+2%</f>
        <v>0.78</v>
      </c>
    </row>
    <row r="70" spans="1:13">
      <c r="B70" s="3" t="s">
        <v>121</v>
      </c>
      <c r="C70" s="3"/>
      <c r="D70" s="3"/>
      <c r="E70" s="3">
        <f>E66*E69</f>
        <v>10976000000</v>
      </c>
      <c r="F70" s="3">
        <f>F66*F69</f>
        <v>17261798400</v>
      </c>
      <c r="G70" s="3">
        <f>G66*G69</f>
        <v>26198401152.000004</v>
      </c>
      <c r="H70" s="3">
        <f>H66*H69</f>
        <v>38860088960</v>
      </c>
      <c r="I70" s="3">
        <f>I66*I69</f>
        <v>57300891648.000015</v>
      </c>
      <c r="K70" s="3">
        <f>I70</f>
        <v>57300891648.000015</v>
      </c>
      <c r="L70" s="70">
        <f>K70/I5</f>
        <v>114601783.29600003</v>
      </c>
    </row>
    <row r="71" spans="1:13">
      <c r="B71" s="3" t="s">
        <v>114</v>
      </c>
      <c r="C71" s="3"/>
      <c r="D71" s="3"/>
      <c r="E71" s="3">
        <f>E70/E68</f>
        <v>28282.828282828283</v>
      </c>
      <c r="F71" s="3">
        <f>F70/F68</f>
        <v>32162.436548223348</v>
      </c>
      <c r="G71" s="3">
        <f>G70/G68</f>
        <v>36546.938775510214</v>
      </c>
      <c r="H71" s="3">
        <f>H70/H68</f>
        <v>41499.897435897445</v>
      </c>
      <c r="I71" s="3">
        <f>I70/I68</f>
        <v>47092.701030927848</v>
      </c>
    </row>
    <row r="72" spans="1:13" s="6" customFormat="1">
      <c r="A72" s="51"/>
      <c r="B72" s="5" t="s">
        <v>119</v>
      </c>
      <c r="C72" s="5"/>
      <c r="D72" s="5"/>
      <c r="E72" s="5">
        <f>E71/E5</f>
        <v>56.565656565656568</v>
      </c>
      <c r="F72" s="5">
        <f>F71/F5</f>
        <v>64.324873096446694</v>
      </c>
      <c r="G72" s="5">
        <f>G71/G5</f>
        <v>73.093877551020427</v>
      </c>
      <c r="H72" s="5">
        <f>H71/H5</f>
        <v>82.99979487179489</v>
      </c>
      <c r="I72" s="5">
        <f>I71/I5</f>
        <v>94.185402061855697</v>
      </c>
    </row>
    <row r="73" spans="1:13" s="43" customFormat="1">
      <c r="A73" s="56"/>
      <c r="B73" s="43" t="s">
        <v>127</v>
      </c>
      <c r="E73" s="44"/>
      <c r="F73" s="44"/>
      <c r="G73" s="44"/>
      <c r="H73" s="44"/>
      <c r="I73" s="44"/>
      <c r="K73" s="43">
        <f>E73+F73+G73+H73+I73</f>
        <v>0</v>
      </c>
      <c r="L73" s="73">
        <f>E73/$E$5+F73/$F$5+G73/$G$5+H73/$H$5+I73/$I$5</f>
        <v>0</v>
      </c>
      <c r="M73" s="43" t="s">
        <v>132</v>
      </c>
    </row>
    <row r="74" spans="1:13">
      <c r="B74" s="3"/>
      <c r="C74" s="3"/>
      <c r="D74" s="3"/>
      <c r="E74" s="3"/>
      <c r="F74" s="3"/>
      <c r="G74" s="3"/>
      <c r="H74" s="3"/>
      <c r="I74" s="3"/>
    </row>
    <row r="75" spans="1:13" s="17" customFormat="1" ht="15.6">
      <c r="A75" s="54" t="s">
        <v>27</v>
      </c>
      <c r="B75" s="91" t="s">
        <v>169</v>
      </c>
    </row>
    <row r="76" spans="1:13">
      <c r="B76" s="7" t="s">
        <v>173</v>
      </c>
      <c r="C76" s="7"/>
      <c r="D76" s="8"/>
      <c r="E76" s="9">
        <v>0.7</v>
      </c>
      <c r="F76" s="9">
        <v>0.7</v>
      </c>
      <c r="G76" s="9">
        <v>0.7</v>
      </c>
      <c r="H76" s="9">
        <v>0.7</v>
      </c>
      <c r="I76" s="9">
        <v>0.7</v>
      </c>
    </row>
    <row r="77" spans="1:13">
      <c r="B77" s="4" t="s">
        <v>182</v>
      </c>
      <c r="D77" s="3"/>
      <c r="E77" s="3">
        <f>E7*E76</f>
        <v>4094999.9999999995</v>
      </c>
      <c r="F77" s="3">
        <f>F7*F76</f>
        <v>4791150</v>
      </c>
      <c r="G77" s="3">
        <f>G7*G76</f>
        <v>5605645.4999999991</v>
      </c>
      <c r="H77" s="3">
        <f>H7*H76</f>
        <v>6558605.2349999985</v>
      </c>
      <c r="I77" s="3">
        <f>I7*I76</f>
        <v>7673568.1249499982</v>
      </c>
    </row>
    <row r="78" spans="1:13">
      <c r="B78" s="7" t="s">
        <v>174</v>
      </c>
      <c r="C78" s="7"/>
      <c r="D78" s="8"/>
      <c r="E78" s="39">
        <v>0.8</v>
      </c>
      <c r="F78" s="39">
        <v>0.8</v>
      </c>
      <c r="G78" s="39">
        <v>0.8</v>
      </c>
      <c r="H78" s="39">
        <v>0.8</v>
      </c>
      <c r="I78" s="39">
        <v>0.8</v>
      </c>
    </row>
    <row r="79" spans="1:13">
      <c r="B79" s="4" t="s">
        <v>178</v>
      </c>
      <c r="C79" s="3"/>
      <c r="D79" s="3"/>
      <c r="E79" s="3">
        <f>(E18-E20)*E78</f>
        <v>714518</v>
      </c>
      <c r="F79" s="3">
        <f>(F18-F20)*F78</f>
        <v>736670</v>
      </c>
      <c r="G79" s="3">
        <f>(G18-G20)*G78</f>
        <v>808039.18781082891</v>
      </c>
      <c r="H79" s="3">
        <f>(H18-H20)*H78</f>
        <v>890946.38318635884</v>
      </c>
      <c r="I79" s="3">
        <f>(I18-I20)*I78</f>
        <v>999676.57779566944</v>
      </c>
    </row>
    <row r="80" spans="1:13">
      <c r="B80" s="7" t="s">
        <v>183</v>
      </c>
      <c r="C80" s="7"/>
      <c r="D80" s="8"/>
      <c r="E80" s="9">
        <v>0.2</v>
      </c>
      <c r="F80" s="9">
        <v>0.22</v>
      </c>
      <c r="G80" s="9">
        <v>0.25</v>
      </c>
      <c r="H80" s="9">
        <v>0.27</v>
      </c>
      <c r="I80" s="9">
        <v>0.3</v>
      </c>
    </row>
    <row r="81" spans="1:19">
      <c r="B81" s="4" t="s">
        <v>176</v>
      </c>
      <c r="D81" s="3"/>
      <c r="E81" s="3">
        <f>(E77+E79)*E80</f>
        <v>961903.60000000009</v>
      </c>
      <c r="F81" s="3">
        <f>(F77+F79)*F80</f>
        <v>1216120.3999999999</v>
      </c>
      <c r="G81" s="3">
        <f>(G77+G79)*G80</f>
        <v>1603421.171952707</v>
      </c>
      <c r="H81" s="3">
        <f>(H77+H79)*H80</f>
        <v>2011378.9369103166</v>
      </c>
      <c r="I81" s="3">
        <f>(I77+I79)*I80</f>
        <v>2601973.4108237005</v>
      </c>
    </row>
    <row r="82" spans="1:19">
      <c r="B82" s="7" t="s">
        <v>110</v>
      </c>
      <c r="C82" s="7"/>
      <c r="D82" s="8"/>
      <c r="E82" s="9">
        <v>0.1</v>
      </c>
      <c r="F82" s="9">
        <v>0.15</v>
      </c>
      <c r="G82" s="9">
        <v>0.15</v>
      </c>
      <c r="H82" s="9">
        <v>0.15</v>
      </c>
      <c r="I82" s="9">
        <v>0.15</v>
      </c>
    </row>
    <row r="83" spans="1:19">
      <c r="B83" s="4" t="s">
        <v>175</v>
      </c>
      <c r="C83" s="7"/>
      <c r="D83" s="8"/>
      <c r="E83" s="3">
        <f>E81*E82</f>
        <v>96190.360000000015</v>
      </c>
      <c r="F83" s="3">
        <f>F81*F82</f>
        <v>182418.05999999997</v>
      </c>
      <c r="G83" s="3">
        <f>G81*G82</f>
        <v>240513.17579290603</v>
      </c>
      <c r="H83" s="3">
        <f>H81*H82</f>
        <v>301706.84053654748</v>
      </c>
      <c r="I83" s="3">
        <f>I81*I82</f>
        <v>390296.01162355504</v>
      </c>
    </row>
    <row r="84" spans="1:19">
      <c r="B84" s="7" t="s">
        <v>15</v>
      </c>
      <c r="C84" s="7"/>
      <c r="D84" s="8"/>
      <c r="E84" s="39">
        <v>0.6</v>
      </c>
      <c r="F84" s="39">
        <v>0.6</v>
      </c>
      <c r="G84" s="39">
        <v>0.6</v>
      </c>
      <c r="H84" s="39">
        <v>0.6</v>
      </c>
      <c r="I84" s="39">
        <v>0.6</v>
      </c>
    </row>
    <row r="85" spans="1:19" s="17" customFormat="1" ht="15.6">
      <c r="A85" s="54"/>
      <c r="B85" s="19" t="s">
        <v>115</v>
      </c>
      <c r="C85" s="19"/>
      <c r="D85" s="20"/>
      <c r="E85" s="20">
        <f>E81*E82</f>
        <v>96190.360000000015</v>
      </c>
      <c r="F85" s="20">
        <f>F81*F82</f>
        <v>182418.05999999997</v>
      </c>
      <c r="G85" s="20">
        <f>G81*G82</f>
        <v>240513.17579290603</v>
      </c>
      <c r="H85" s="20">
        <f>H81*H82</f>
        <v>301706.84053654748</v>
      </c>
      <c r="I85" s="20">
        <f>I81*I82</f>
        <v>390296.01162355504</v>
      </c>
    </row>
    <row r="86" spans="1:19">
      <c r="B86" s="3" t="s">
        <v>125</v>
      </c>
      <c r="C86" s="3"/>
      <c r="D86" s="3"/>
      <c r="E86" s="3">
        <f>E87*E5</f>
        <v>200000</v>
      </c>
      <c r="F86" s="3">
        <f>F87*F5</f>
        <v>210000</v>
      </c>
      <c r="G86" s="3">
        <f>G87*G5</f>
        <v>220500</v>
      </c>
      <c r="H86" s="3">
        <f>H87*H5</f>
        <v>231525</v>
      </c>
      <c r="I86" s="3">
        <f>I87*I5</f>
        <v>243101.25000000003</v>
      </c>
    </row>
    <row r="87" spans="1:19" s="6" customFormat="1">
      <c r="A87" s="51"/>
      <c r="B87" s="5" t="s">
        <v>126</v>
      </c>
      <c r="C87" s="5"/>
      <c r="D87" s="5"/>
      <c r="E87" s="16">
        <v>400</v>
      </c>
      <c r="F87" s="16">
        <f>E87*105%</f>
        <v>420</v>
      </c>
      <c r="G87" s="16">
        <f>F87*105%</f>
        <v>441</v>
      </c>
      <c r="H87" s="16">
        <f>G87*105%</f>
        <v>463.05</v>
      </c>
      <c r="I87" s="16">
        <f>H87*105%</f>
        <v>486.20250000000004</v>
      </c>
    </row>
    <row r="88" spans="1:19">
      <c r="B88" s="3" t="s">
        <v>111</v>
      </c>
      <c r="C88" s="3"/>
      <c r="D88" s="3"/>
      <c r="E88" s="3">
        <f>E85*E86</f>
        <v>19238072000.000004</v>
      </c>
      <c r="F88" s="3">
        <f>F85*F86</f>
        <v>38307792599.999992</v>
      </c>
      <c r="G88" s="3">
        <f>G85*G86</f>
        <v>53033155262.335777</v>
      </c>
      <c r="H88" s="3">
        <f>H85*H86</f>
        <v>69852676255.224152</v>
      </c>
      <c r="I88" s="3">
        <f>I85*I86</f>
        <v>94881448295.700775</v>
      </c>
    </row>
    <row r="89" spans="1:19" s="10" customFormat="1">
      <c r="A89" s="53"/>
      <c r="B89" s="7" t="s">
        <v>117</v>
      </c>
      <c r="C89" s="7"/>
      <c r="D89" s="8"/>
      <c r="E89" s="39">
        <v>0.95</v>
      </c>
      <c r="F89" s="39">
        <f>E89-1%</f>
        <v>0.94</v>
      </c>
      <c r="G89" s="39">
        <f>F89-1%</f>
        <v>0.92999999999999994</v>
      </c>
      <c r="H89" s="39">
        <f>G89-1%</f>
        <v>0.91999999999999993</v>
      </c>
      <c r="I89" s="39">
        <f>H89-1%</f>
        <v>0.90999999999999992</v>
      </c>
    </row>
    <row r="90" spans="1:19" s="17" customFormat="1" ht="15.6">
      <c r="A90" s="54"/>
      <c r="B90" s="37" t="s">
        <v>116</v>
      </c>
      <c r="C90" s="37"/>
      <c r="D90" s="38"/>
      <c r="E90" s="38">
        <f>E85*E89</f>
        <v>91380.842000000004</v>
      </c>
      <c r="F90" s="38">
        <f>F85*F89</f>
        <v>171472.97639999996</v>
      </c>
      <c r="G90" s="38">
        <f>G85*G89</f>
        <v>223677.2534874026</v>
      </c>
      <c r="H90" s="38">
        <f>H85*H89</f>
        <v>277570.29329362366</v>
      </c>
      <c r="I90" s="38">
        <f>I85*I89</f>
        <v>355169.37057743507</v>
      </c>
    </row>
    <row r="91" spans="1:19" s="10" customFormat="1">
      <c r="A91" s="53"/>
      <c r="B91" s="7" t="s">
        <v>123</v>
      </c>
      <c r="C91" s="7"/>
      <c r="D91" s="8"/>
      <c r="E91" s="39">
        <v>0.5</v>
      </c>
      <c r="F91" s="39">
        <v>0.5</v>
      </c>
      <c r="G91" s="39">
        <v>0.5</v>
      </c>
      <c r="H91" s="39">
        <v>0.5</v>
      </c>
      <c r="I91" s="39">
        <v>0.5</v>
      </c>
    </row>
    <row r="92" spans="1:19">
      <c r="B92" s="3" t="s">
        <v>121</v>
      </c>
      <c r="C92" s="3"/>
      <c r="D92" s="3"/>
      <c r="E92" s="3">
        <f>E88*E91</f>
        <v>9619036000.0000019</v>
      </c>
      <c r="F92" s="3">
        <f>F88*F91</f>
        <v>19153896299.999996</v>
      </c>
      <c r="G92" s="3">
        <f>G88*G91</f>
        <v>26516577631.167889</v>
      </c>
      <c r="H92" s="3">
        <f>H88*H91</f>
        <v>34926338127.612076</v>
      </c>
      <c r="I92" s="3">
        <f>I88*I91</f>
        <v>47440724147.850388</v>
      </c>
      <c r="K92" s="3">
        <f>I92</f>
        <v>47440724147.850388</v>
      </c>
      <c r="L92" s="70">
        <f>K92/I5</f>
        <v>94881448.295700774</v>
      </c>
    </row>
    <row r="93" spans="1:19">
      <c r="B93" s="3" t="s">
        <v>114</v>
      </c>
      <c r="C93" s="3"/>
      <c r="D93" s="3"/>
      <c r="E93" s="3">
        <f>E92/E90</f>
        <v>105263.15789473685</v>
      </c>
      <c r="F93" s="3">
        <f>F92/F90</f>
        <v>111702.12765957447</v>
      </c>
      <c r="G93" s="3">
        <f>G92/G90</f>
        <v>118548.3870967742</v>
      </c>
      <c r="H93" s="3">
        <f>H92/H90</f>
        <v>125828.8043478261</v>
      </c>
      <c r="I93" s="3">
        <f>I92/I90</f>
        <v>133572.1153846154</v>
      </c>
    </row>
    <row r="94" spans="1:19" s="6" customFormat="1">
      <c r="A94" s="51"/>
      <c r="B94" s="5" t="s">
        <v>119</v>
      </c>
      <c r="C94" s="5"/>
      <c r="D94" s="5"/>
      <c r="E94" s="5">
        <f>E93/E5</f>
        <v>210.5263157894737</v>
      </c>
      <c r="F94" s="5">
        <f>F93/F5</f>
        <v>223.40425531914894</v>
      </c>
      <c r="G94" s="5">
        <f>G93/G5</f>
        <v>237.09677419354838</v>
      </c>
      <c r="H94" s="5">
        <f>H93/H5</f>
        <v>251.65760869565219</v>
      </c>
      <c r="I94" s="5">
        <f>I93/I5</f>
        <v>267.14423076923083</v>
      </c>
      <c r="O94" s="5"/>
      <c r="P94" s="5"/>
      <c r="Q94" s="5"/>
      <c r="R94" s="5"/>
      <c r="S94" s="5"/>
    </row>
    <row r="95" spans="1:19" s="43" customFormat="1">
      <c r="A95" s="56"/>
      <c r="B95" s="43" t="s">
        <v>127</v>
      </c>
      <c r="E95" s="44"/>
      <c r="F95" s="44"/>
      <c r="G95" s="44"/>
      <c r="H95" s="44"/>
      <c r="I95" s="44"/>
      <c r="K95" s="43">
        <f>E95+F95+G95+H95+I95</f>
        <v>0</v>
      </c>
      <c r="L95" s="73">
        <f>E95/$E$5+F95/$F$5+G95/$G$5+H95/$H$5+I95/$I$5</f>
        <v>0</v>
      </c>
      <c r="M95" s="43" t="s">
        <v>132</v>
      </c>
    </row>
    <row r="96" spans="1:19">
      <c r="B96" s="3"/>
      <c r="C96" s="3"/>
      <c r="D96" s="3"/>
      <c r="E96" s="3"/>
      <c r="F96" s="3"/>
      <c r="G96" s="3"/>
      <c r="H96" s="3"/>
      <c r="I96" s="3"/>
    </row>
    <row r="97" spans="1:12" s="17" customFormat="1" ht="15.6">
      <c r="A97" s="54">
        <v>5</v>
      </c>
      <c r="B97" s="18" t="s">
        <v>186</v>
      </c>
    </row>
    <row r="98" spans="1:12">
      <c r="B98" s="4" t="s">
        <v>19</v>
      </c>
      <c r="D98" s="3">
        <f t="shared" ref="D98:I98" si="2">D8-D24</f>
        <v>3366539.36933422</v>
      </c>
      <c r="E98" s="3">
        <f t="shared" si="2"/>
        <v>4232336.9872393282</v>
      </c>
      <c r="F98" s="3">
        <f t="shared" si="2"/>
        <v>4688520.2373174084</v>
      </c>
      <c r="G98" s="3">
        <f t="shared" si="2"/>
        <v>5230663.5800595973</v>
      </c>
      <c r="H98" s="3">
        <f t="shared" si="2"/>
        <v>5862263.1170685366</v>
      </c>
      <c r="I98" s="3">
        <f t="shared" si="2"/>
        <v>6691602.5846288176</v>
      </c>
    </row>
    <row r="99" spans="1:12">
      <c r="B99" s="7" t="s">
        <v>20</v>
      </c>
      <c r="C99" s="7"/>
      <c r="D99" s="8"/>
      <c r="E99" s="9">
        <v>0.5</v>
      </c>
      <c r="F99" s="9">
        <v>0.5</v>
      </c>
      <c r="G99" s="9">
        <v>0.5</v>
      </c>
      <c r="H99" s="9">
        <v>0.5</v>
      </c>
      <c r="I99" s="9">
        <v>0.5</v>
      </c>
    </row>
    <row r="100" spans="1:12">
      <c r="B100" s="4" t="s">
        <v>184</v>
      </c>
      <c r="D100" s="3"/>
      <c r="E100" s="3">
        <f>E98*E99</f>
        <v>2116168.4936196641</v>
      </c>
      <c r="F100" s="3">
        <f>F98*F99</f>
        <v>2344260.1186587042</v>
      </c>
      <c r="G100" s="3">
        <f>G98*G99</f>
        <v>2615331.7900297986</v>
      </c>
      <c r="H100" s="3">
        <f>H98*H99</f>
        <v>2931131.5585342683</v>
      </c>
      <c r="I100" s="3">
        <f>I98*I99</f>
        <v>3345801.2923144088</v>
      </c>
    </row>
    <row r="101" spans="1:12">
      <c r="B101" s="7" t="s">
        <v>21</v>
      </c>
      <c r="C101" s="7"/>
      <c r="D101" s="8"/>
      <c r="E101" s="9">
        <v>0.9</v>
      </c>
      <c r="F101" s="9">
        <v>0.9</v>
      </c>
      <c r="G101" s="9">
        <v>0.9</v>
      </c>
      <c r="H101" s="9">
        <v>0.9</v>
      </c>
      <c r="I101" s="9">
        <v>0.9</v>
      </c>
    </row>
    <row r="102" spans="1:12">
      <c r="B102" s="4" t="s">
        <v>22</v>
      </c>
      <c r="E102" s="3">
        <f>E100*E101</f>
        <v>1904551.6442576977</v>
      </c>
      <c r="F102" s="3">
        <f>F100*F101</f>
        <v>2109834.1067928337</v>
      </c>
      <c r="G102" s="3">
        <f>G100*G101</f>
        <v>2353798.6110268189</v>
      </c>
      <c r="H102" s="3">
        <f>H100*H101</f>
        <v>2638018.4026808417</v>
      </c>
      <c r="I102" s="3">
        <f>I100*I101</f>
        <v>3011221.163082968</v>
      </c>
    </row>
    <row r="103" spans="1:12">
      <c r="B103" s="7" t="s">
        <v>23</v>
      </c>
      <c r="C103" s="7"/>
      <c r="D103" s="8"/>
      <c r="E103" s="9">
        <v>0.2</v>
      </c>
      <c r="F103" s="9">
        <v>0.2</v>
      </c>
      <c r="G103" s="9">
        <v>0.2</v>
      </c>
      <c r="H103" s="9">
        <v>0.2</v>
      </c>
      <c r="I103" s="9">
        <v>0.2</v>
      </c>
    </row>
    <row r="104" spans="1:12">
      <c r="B104" s="4" t="s">
        <v>24</v>
      </c>
      <c r="E104" s="3">
        <f>E102*E103</f>
        <v>380910.32885153958</v>
      </c>
      <c r="F104" s="3">
        <f>F102*F103</f>
        <v>421966.82135856675</v>
      </c>
      <c r="G104" s="3">
        <f>G102*G103</f>
        <v>470759.7222053638</v>
      </c>
      <c r="H104" s="3">
        <f>H102*H103</f>
        <v>527603.68053616839</v>
      </c>
      <c r="I104" s="3">
        <f>I102*I103</f>
        <v>602244.2326165936</v>
      </c>
    </row>
    <row r="105" spans="1:12">
      <c r="B105" s="7" t="s">
        <v>185</v>
      </c>
      <c r="C105" s="7"/>
      <c r="D105" s="8"/>
      <c r="E105" s="9">
        <v>0.3</v>
      </c>
      <c r="F105" s="9">
        <v>0.32</v>
      </c>
      <c r="G105" s="9">
        <v>0.35</v>
      </c>
      <c r="H105" s="9">
        <v>0.35</v>
      </c>
      <c r="I105" s="9">
        <v>0.35</v>
      </c>
    </row>
    <row r="106" spans="1:12">
      <c r="B106" s="4" t="s">
        <v>14</v>
      </c>
      <c r="E106" s="3">
        <f>E104*E105</f>
        <v>114273.09865546187</v>
      </c>
      <c r="F106" s="3">
        <f>F104*F105</f>
        <v>135029.38283474135</v>
      </c>
      <c r="G106" s="3">
        <f>G104*G105</f>
        <v>164765.90277187733</v>
      </c>
      <c r="H106" s="3">
        <f>H104*H105</f>
        <v>184661.28818765894</v>
      </c>
      <c r="I106" s="3">
        <f>I104*I105</f>
        <v>210785.48141580774</v>
      </c>
    </row>
    <row r="107" spans="1:12">
      <c r="B107" s="7" t="s">
        <v>15</v>
      </c>
      <c r="C107" s="7"/>
      <c r="D107" s="8"/>
      <c r="E107" s="9">
        <v>0.8</v>
      </c>
      <c r="F107" s="9">
        <v>0.8</v>
      </c>
      <c r="G107" s="9">
        <v>0.8</v>
      </c>
      <c r="H107" s="9">
        <v>0.8</v>
      </c>
      <c r="I107" s="9">
        <v>0.8</v>
      </c>
    </row>
    <row r="108" spans="1:12" s="17" customFormat="1" ht="15.6">
      <c r="A108" s="54"/>
      <c r="B108" s="37" t="s">
        <v>16</v>
      </c>
      <c r="C108" s="37"/>
      <c r="D108" s="37"/>
      <c r="E108" s="38">
        <f>E106*E107</f>
        <v>91418.478924369498</v>
      </c>
      <c r="F108" s="38">
        <f>F106*F107</f>
        <v>108023.50626779308</v>
      </c>
      <c r="G108" s="38">
        <f>G106*G107</f>
        <v>131812.72221750187</v>
      </c>
      <c r="H108" s="38">
        <f>H106*H107</f>
        <v>147729.03055012715</v>
      </c>
      <c r="I108" s="38">
        <f>I106*I107</f>
        <v>168628.38513264619</v>
      </c>
    </row>
    <row r="109" spans="1:12">
      <c r="B109" s="4" t="s">
        <v>17</v>
      </c>
      <c r="E109" s="3">
        <f>E110*E5</f>
        <v>1000000</v>
      </c>
      <c r="F109" s="3">
        <f>F110*F5</f>
        <v>1000000</v>
      </c>
      <c r="G109" s="3">
        <f>G110*G5</f>
        <v>1000000</v>
      </c>
      <c r="H109" s="3">
        <f>H110*H5</f>
        <v>1000000</v>
      </c>
      <c r="I109" s="3">
        <f>I110*I5</f>
        <v>1000000</v>
      </c>
    </row>
    <row r="110" spans="1:12" s="6" customFormat="1">
      <c r="A110" s="51"/>
      <c r="B110" s="5" t="s">
        <v>28</v>
      </c>
      <c r="C110" s="5"/>
      <c r="D110" s="5"/>
      <c r="E110" s="5">
        <v>2000</v>
      </c>
      <c r="F110" s="5">
        <v>2000</v>
      </c>
      <c r="G110" s="5">
        <v>2000</v>
      </c>
      <c r="H110" s="5">
        <v>2000</v>
      </c>
      <c r="I110" s="5">
        <v>2000</v>
      </c>
    </row>
    <row r="111" spans="1:12">
      <c r="B111" s="3" t="s">
        <v>29</v>
      </c>
      <c r="E111" s="3">
        <f>E108*E109</f>
        <v>91418478924.369492</v>
      </c>
      <c r="F111" s="3">
        <f>F108*F109</f>
        <v>108023506267.79309</v>
      </c>
      <c r="G111" s="3">
        <f>G108*G109</f>
        <v>131812722217.50186</v>
      </c>
      <c r="H111" s="3">
        <f>H108*H109</f>
        <v>147729030550.12714</v>
      </c>
      <c r="I111" s="3">
        <f>I108*I109</f>
        <v>168628385132.64618</v>
      </c>
      <c r="K111" s="3">
        <f>E111+F111+G111+H111+I111</f>
        <v>647612123092.43774</v>
      </c>
      <c r="L111" s="72">
        <f>E111/$E$5+F111/$F$5+G111/$G$5+H111/$H$5+I111/$I$5</f>
        <v>1295224246.1848755</v>
      </c>
    </row>
    <row r="112" spans="1:12" s="3" customFormat="1">
      <c r="A112" s="55"/>
      <c r="B112" s="3" t="s">
        <v>129</v>
      </c>
      <c r="E112" s="3">
        <f>[10]Лист3!O14*1000000</f>
        <v>73761426848.255417</v>
      </c>
      <c r="F112" s="3">
        <f>[10]Лист3!AB14*1000000</f>
        <v>87159270742.797882</v>
      </c>
      <c r="G112" s="3">
        <f>[10]Лист3!AO14*1000000</f>
        <v>106353710780.50056</v>
      </c>
      <c r="H112" s="3">
        <f>[10]Лист3!BB14*1000000</f>
        <v>119195858523.32698</v>
      </c>
      <c r="I112" s="3">
        <f>[10]Лист3!BO14*1000000</f>
        <v>136058600414.81664</v>
      </c>
      <c r="K112" s="3">
        <f>I112</f>
        <v>136058600414.81664</v>
      </c>
      <c r="L112" s="70">
        <f>K112/I5</f>
        <v>272117200.8296333</v>
      </c>
    </row>
    <row r="113" spans="1:12" s="3" customFormat="1">
      <c r="A113" s="55"/>
      <c r="L113" s="70"/>
    </row>
    <row r="114" spans="1:12" s="3" customFormat="1" ht="15.6">
      <c r="A114" s="54">
        <v>6</v>
      </c>
      <c r="B114" s="18" t="s">
        <v>440</v>
      </c>
      <c r="L114" s="70"/>
    </row>
    <row r="115" spans="1:12" s="3" customFormat="1">
      <c r="A115" s="50"/>
      <c r="B115" s="4" t="s">
        <v>19</v>
      </c>
      <c r="D115" s="3">
        <v>20000000</v>
      </c>
      <c r="L115" s="70"/>
    </row>
    <row r="116" spans="1:12" s="3" customFormat="1">
      <c r="A116" s="50"/>
      <c r="B116" s="7" t="s">
        <v>20</v>
      </c>
      <c r="D116" s="9">
        <v>0.5</v>
      </c>
      <c r="L116" s="70"/>
    </row>
    <row r="117" spans="1:12" s="3" customFormat="1">
      <c r="A117" s="50"/>
      <c r="B117" s="4" t="s">
        <v>184</v>
      </c>
      <c r="D117" s="3">
        <f>D115*D116</f>
        <v>10000000</v>
      </c>
      <c r="L117" s="70"/>
    </row>
    <row r="118" spans="1:12" s="3" customFormat="1">
      <c r="A118" s="50"/>
      <c r="B118" s="7" t="s">
        <v>21</v>
      </c>
      <c r="D118" s="9">
        <v>0.9</v>
      </c>
      <c r="L118" s="70"/>
    </row>
    <row r="119" spans="1:12" s="3" customFormat="1">
      <c r="A119" s="50"/>
      <c r="B119" s="4" t="s">
        <v>22</v>
      </c>
      <c r="D119" s="3">
        <f>D117*D118</f>
        <v>9000000</v>
      </c>
      <c r="L119" s="70"/>
    </row>
    <row r="120" spans="1:12" s="3" customFormat="1">
      <c r="A120" s="50"/>
      <c r="B120" s="7" t="s">
        <v>23</v>
      </c>
      <c r="D120" s="9">
        <v>0.3</v>
      </c>
      <c r="L120" s="70"/>
    </row>
    <row r="121" spans="1:12" s="3" customFormat="1">
      <c r="A121" s="50"/>
      <c r="B121" s="4" t="s">
        <v>24</v>
      </c>
      <c r="D121" s="3">
        <f>D119*D120</f>
        <v>2700000</v>
      </c>
      <c r="L121" s="70"/>
    </row>
    <row r="122" spans="1:12" s="3" customFormat="1">
      <c r="A122" s="50"/>
      <c r="B122" s="7" t="s">
        <v>185</v>
      </c>
      <c r="D122" s="9">
        <v>0.2</v>
      </c>
      <c r="L122" s="70"/>
    </row>
    <row r="123" spans="1:12" s="3" customFormat="1">
      <c r="A123" s="50"/>
      <c r="B123" s="4" t="s">
        <v>14</v>
      </c>
      <c r="D123" s="3">
        <f>D122*D121</f>
        <v>540000</v>
      </c>
      <c r="L123" s="70"/>
    </row>
    <row r="124" spans="1:12" s="3" customFormat="1">
      <c r="A124" s="50"/>
      <c r="B124" s="7" t="s">
        <v>15</v>
      </c>
      <c r="D124" s="9">
        <v>0.8</v>
      </c>
      <c r="L124" s="70"/>
    </row>
    <row r="125" spans="1:12" s="3" customFormat="1" ht="15.6">
      <c r="A125" s="54"/>
      <c r="B125" s="37" t="s">
        <v>16</v>
      </c>
      <c r="D125" s="3">
        <f>D124*D123</f>
        <v>432000</v>
      </c>
      <c r="L125" s="70"/>
    </row>
    <row r="126" spans="1:12">
      <c r="B126" s="4" t="s">
        <v>17</v>
      </c>
      <c r="D126" s="3">
        <f>D127*D5</f>
        <v>2000000</v>
      </c>
      <c r="E126" s="3"/>
      <c r="F126" s="3"/>
      <c r="G126" s="3"/>
      <c r="H126" s="3"/>
      <c r="I126" s="3"/>
      <c r="K126" s="74"/>
      <c r="L126" s="72"/>
    </row>
    <row r="127" spans="1:12" s="3" customFormat="1">
      <c r="A127" s="51"/>
      <c r="B127" s="5" t="s">
        <v>28</v>
      </c>
      <c r="D127" s="3">
        <v>4000</v>
      </c>
      <c r="L127" s="70"/>
    </row>
    <row r="128" spans="1:12" s="3" customFormat="1">
      <c r="A128" s="50"/>
      <c r="B128" s="3" t="s">
        <v>29</v>
      </c>
      <c r="D128" s="3">
        <f>D125*D126</f>
        <v>864000000000</v>
      </c>
      <c r="L128" s="70"/>
    </row>
    <row r="129" spans="1:12" s="3" customFormat="1">
      <c r="A129" s="55"/>
      <c r="B129" s="3" t="s">
        <v>129</v>
      </c>
      <c r="L129" s="70"/>
    </row>
    <row r="130" spans="1:12" s="3" customFormat="1">
      <c r="A130" s="55"/>
      <c r="L130" s="70"/>
    </row>
    <row r="131" spans="1:12" s="3" customFormat="1" ht="15.6">
      <c r="A131" s="54">
        <v>7</v>
      </c>
      <c r="B131" s="18" t="s">
        <v>439</v>
      </c>
      <c r="L131" s="70"/>
    </row>
    <row r="132" spans="1:12" s="3" customFormat="1">
      <c r="A132" s="50"/>
      <c r="B132" s="4" t="s">
        <v>19</v>
      </c>
      <c r="D132" s="3">
        <v>20000000</v>
      </c>
      <c r="L132" s="70"/>
    </row>
    <row r="133" spans="1:12" s="3" customFormat="1">
      <c r="A133" s="50"/>
      <c r="B133" s="7" t="s">
        <v>20</v>
      </c>
      <c r="D133" s="9">
        <v>0.3</v>
      </c>
      <c r="L133" s="70"/>
    </row>
    <row r="134" spans="1:12" s="3" customFormat="1">
      <c r="A134" s="50"/>
      <c r="B134" s="4" t="s">
        <v>184</v>
      </c>
      <c r="D134" s="3">
        <f>D132*D133</f>
        <v>6000000</v>
      </c>
      <c r="L134" s="70"/>
    </row>
    <row r="135" spans="1:12" s="3" customFormat="1">
      <c r="A135" s="50"/>
      <c r="B135" s="7" t="s">
        <v>21</v>
      </c>
      <c r="D135" s="9">
        <v>0.9</v>
      </c>
      <c r="L135" s="70"/>
    </row>
    <row r="136" spans="1:12" s="3" customFormat="1">
      <c r="A136" s="50"/>
      <c r="B136" s="4" t="s">
        <v>22</v>
      </c>
      <c r="D136" s="3">
        <f>D134*D135</f>
        <v>5400000</v>
      </c>
      <c r="L136" s="70"/>
    </row>
    <row r="137" spans="1:12" s="3" customFormat="1">
      <c r="A137" s="50"/>
      <c r="B137" s="7" t="s">
        <v>23</v>
      </c>
      <c r="D137" s="9">
        <v>0.3</v>
      </c>
      <c r="L137" s="70"/>
    </row>
    <row r="138" spans="1:12" s="3" customFormat="1">
      <c r="A138" s="50"/>
      <c r="B138" s="4" t="s">
        <v>24</v>
      </c>
      <c r="D138" s="3">
        <f>D136*D137</f>
        <v>1620000</v>
      </c>
      <c r="L138" s="70"/>
    </row>
    <row r="139" spans="1:12" s="3" customFormat="1">
      <c r="A139" s="50"/>
      <c r="B139" s="7" t="s">
        <v>185</v>
      </c>
      <c r="D139" s="9">
        <v>0.2</v>
      </c>
      <c r="L139" s="70"/>
    </row>
    <row r="140" spans="1:12" s="3" customFormat="1">
      <c r="A140" s="50"/>
      <c r="B140" s="4" t="s">
        <v>14</v>
      </c>
      <c r="D140" s="3">
        <f>D138*D139</f>
        <v>324000</v>
      </c>
      <c r="L140" s="70"/>
    </row>
    <row r="141" spans="1:12" s="3" customFormat="1">
      <c r="A141" s="50"/>
      <c r="B141" s="7" t="s">
        <v>15</v>
      </c>
      <c r="D141" s="9">
        <v>0.8</v>
      </c>
      <c r="L141" s="70"/>
    </row>
    <row r="142" spans="1:12" s="3" customFormat="1" ht="15.6">
      <c r="A142" s="54"/>
      <c r="B142" s="37" t="s">
        <v>16</v>
      </c>
      <c r="D142" s="3">
        <f>D140*D141</f>
        <v>259200</v>
      </c>
      <c r="L142" s="70"/>
    </row>
    <row r="143" spans="1:12" s="3" customFormat="1">
      <c r="A143" s="50"/>
      <c r="B143" s="4" t="s">
        <v>17</v>
      </c>
      <c r="D143" s="3">
        <f>D144*D5</f>
        <v>15000000</v>
      </c>
      <c r="L143" s="70"/>
    </row>
    <row r="144" spans="1:12" s="3" customFormat="1">
      <c r="A144" s="51"/>
      <c r="B144" s="5" t="s">
        <v>28</v>
      </c>
      <c r="D144" s="3">
        <v>30000</v>
      </c>
      <c r="L144" s="70"/>
    </row>
    <row r="145" spans="1:12" s="3" customFormat="1">
      <c r="A145" s="50"/>
      <c r="B145" s="3" t="s">
        <v>29</v>
      </c>
      <c r="D145" s="3">
        <f>D142*D143</f>
        <v>3888000000000</v>
      </c>
      <c r="L145" s="70"/>
    </row>
    <row r="146" spans="1:12" s="3" customFormat="1">
      <c r="A146" s="55"/>
      <c r="B146" s="3" t="s">
        <v>129</v>
      </c>
      <c r="L146" s="70"/>
    </row>
    <row r="147" spans="1:12" s="3" customFormat="1">
      <c r="A147" s="55"/>
      <c r="L147" s="70"/>
    </row>
    <row r="148" spans="1:12" s="3" customFormat="1" ht="15.6">
      <c r="A148" s="54">
        <v>8</v>
      </c>
      <c r="B148" s="18" t="s">
        <v>438</v>
      </c>
      <c r="L148" s="70"/>
    </row>
    <row r="149" spans="1:12" s="3" customFormat="1">
      <c r="A149" s="50"/>
      <c r="B149" s="4" t="s">
        <v>19</v>
      </c>
      <c r="L149" s="70"/>
    </row>
    <row r="150" spans="1:12" s="3" customFormat="1">
      <c r="A150" s="50"/>
      <c r="B150" s="7" t="s">
        <v>20</v>
      </c>
      <c r="L150" s="70"/>
    </row>
    <row r="151" spans="1:12" s="3" customFormat="1">
      <c r="A151" s="50"/>
      <c r="B151" s="4" t="s">
        <v>184</v>
      </c>
      <c r="L151" s="70"/>
    </row>
    <row r="152" spans="1:12" s="3" customFormat="1">
      <c r="A152" s="50"/>
      <c r="B152" s="7" t="s">
        <v>21</v>
      </c>
      <c r="L152" s="70"/>
    </row>
    <row r="153" spans="1:12" s="3" customFormat="1">
      <c r="A153" s="50"/>
      <c r="B153" s="4" t="s">
        <v>22</v>
      </c>
      <c r="L153" s="70"/>
    </row>
    <row r="154" spans="1:12" s="3" customFormat="1">
      <c r="A154" s="50"/>
      <c r="B154" s="7" t="s">
        <v>23</v>
      </c>
      <c r="L154" s="70"/>
    </row>
    <row r="155" spans="1:12" s="3" customFormat="1">
      <c r="A155" s="50"/>
      <c r="B155" s="4" t="s">
        <v>24</v>
      </c>
      <c r="L155" s="70"/>
    </row>
    <row r="156" spans="1:12" s="3" customFormat="1">
      <c r="A156" s="50"/>
      <c r="B156" s="7" t="s">
        <v>185</v>
      </c>
      <c r="L156" s="70"/>
    </row>
    <row r="157" spans="1:12" s="3" customFormat="1">
      <c r="A157" s="50"/>
      <c r="B157" s="4" t="s">
        <v>14</v>
      </c>
      <c r="L157" s="70"/>
    </row>
    <row r="158" spans="1:12" s="3" customFormat="1">
      <c r="A158" s="50"/>
      <c r="B158" s="7" t="s">
        <v>15</v>
      </c>
      <c r="L158" s="70"/>
    </row>
    <row r="159" spans="1:12" s="3" customFormat="1" ht="15.6">
      <c r="A159" s="54"/>
      <c r="B159" s="37" t="s">
        <v>16</v>
      </c>
      <c r="L159" s="70"/>
    </row>
    <row r="160" spans="1:12" s="3" customFormat="1">
      <c r="A160" s="50"/>
      <c r="B160" s="4" t="s">
        <v>17</v>
      </c>
      <c r="L160" s="70"/>
    </row>
    <row r="161" spans="1:13" s="3" customFormat="1">
      <c r="A161" s="51"/>
      <c r="B161" s="5" t="s">
        <v>28</v>
      </c>
      <c r="L161" s="70"/>
    </row>
    <row r="162" spans="1:13" s="3" customFormat="1">
      <c r="A162" s="50"/>
      <c r="B162" s="3" t="s">
        <v>29</v>
      </c>
      <c r="L162" s="70"/>
    </row>
    <row r="163" spans="1:13" s="3" customFormat="1">
      <c r="A163" s="55"/>
      <c r="B163" s="3" t="s">
        <v>129</v>
      </c>
      <c r="L163" s="70"/>
    </row>
    <row r="164" spans="1:13" s="3" customFormat="1">
      <c r="A164" s="55"/>
      <c r="L164" s="70"/>
    </row>
    <row r="165" spans="1:13" s="3" customFormat="1">
      <c r="A165" s="55"/>
      <c r="L165" s="70"/>
    </row>
    <row r="166" spans="1:13" s="3" customFormat="1">
      <c r="A166" s="55"/>
      <c r="L166" s="70"/>
    </row>
    <row r="167" spans="1:13" s="3" customFormat="1">
      <c r="A167" s="55"/>
      <c r="L167" s="70"/>
    </row>
    <row r="168" spans="1:13">
      <c r="A168" s="55"/>
      <c r="B168" s="3"/>
      <c r="D168" s="3"/>
      <c r="E168" s="3"/>
      <c r="F168" s="3"/>
      <c r="G168" s="3"/>
      <c r="H168" s="3"/>
      <c r="I168" s="3"/>
      <c r="K168" s="74"/>
      <c r="L168" s="72"/>
    </row>
    <row r="169" spans="1:13" s="270" customFormat="1" ht="18">
      <c r="A169" s="55"/>
      <c r="B169" s="3"/>
      <c r="D169" s="4"/>
      <c r="E169" s="274">
        <f>E46+E68+E90+E108</f>
        <v>953919.32092436939</v>
      </c>
      <c r="F169" s="274">
        <f>F46+F68+F90+F108</f>
        <v>1313133.8426677932</v>
      </c>
      <c r="G169" s="274">
        <f>G46+G68+G90+G108</f>
        <v>1707668.2157049044</v>
      </c>
      <c r="H169" s="274">
        <f>H46+H68+H90+H108</f>
        <v>2166073.3238437511</v>
      </c>
      <c r="I169" s="274">
        <f>I46+I68+I90+I108</f>
        <v>2762005.7557100812</v>
      </c>
      <c r="K169" s="273">
        <f>I169</f>
        <v>2762005.7557100812</v>
      </c>
      <c r="L169" s="272"/>
      <c r="M169" s="271"/>
    </row>
    <row r="170" spans="1:13" s="265" customFormat="1" ht="18">
      <c r="A170" s="55"/>
      <c r="B170" s="3"/>
      <c r="D170" s="270"/>
      <c r="E170" s="260">
        <f>(E44+E66+E88)/1000000</f>
        <v>42100.072</v>
      </c>
      <c r="F170" s="260">
        <f>(F44+F66+F88)/1000000</f>
        <v>71599.960600000006</v>
      </c>
      <c r="G170" s="260">
        <f>(G44+G66+G88)/1000000</f>
        <v>100348.94406233578</v>
      </c>
      <c r="H170" s="260">
        <f>(H44+H66+H88)/1000000</f>
        <v>136066.57225522416</v>
      </c>
      <c r="I170" s="260">
        <f>(I44+I66+I88)/1000000</f>
        <v>187496.12989570081</v>
      </c>
      <c r="K170" s="268">
        <f>I170</f>
        <v>187496.12989570081</v>
      </c>
      <c r="L170" s="267">
        <f>K170/I5</f>
        <v>374.99225979140164</v>
      </c>
      <c r="M170" s="266" t="s">
        <v>160</v>
      </c>
    </row>
    <row r="171" spans="1:13" s="265" customFormat="1" ht="15.6">
      <c r="A171" s="55"/>
      <c r="B171" s="3"/>
      <c r="C171" s="269"/>
      <c r="E171" s="262">
        <f>(E51+E73+E95+E111)/1000000</f>
        <v>128764.87892436949</v>
      </c>
      <c r="F171" s="262">
        <f>(F51+F73+F95+F111)/1000000</f>
        <v>188075.03586779308</v>
      </c>
      <c r="G171" s="262">
        <f>(G51+G73+G95+G111)/1000000</f>
        <v>234754.72221750184</v>
      </c>
      <c r="H171" s="262">
        <f>(H51+H73+H95+H111)/1000000</f>
        <v>278571.66415012709</v>
      </c>
      <c r="I171" s="262">
        <f>(I51+I73+I95+I111)/1000000</f>
        <v>334580.46513264626</v>
      </c>
      <c r="J171" s="269"/>
      <c r="K171" s="268">
        <f>E171+F171+G171+H171+I171</f>
        <v>1164746.7662924379</v>
      </c>
      <c r="L171" s="267">
        <f>E171/$E$5+F171/$F$5+G171/$G$5+H171/$H$5+I171/$I$5</f>
        <v>2329.4935325848755</v>
      </c>
      <c r="M171" s="266" t="s">
        <v>160</v>
      </c>
    </row>
    <row r="172" spans="1:13" s="265" customFormat="1" ht="15.6">
      <c r="A172" s="55"/>
      <c r="B172" s="3"/>
      <c r="D172" s="269"/>
      <c r="E172" s="260">
        <f>(E48+E70+E92+E112)/1000000</f>
        <v>94715.562848255417</v>
      </c>
      <c r="F172" s="260">
        <f>(F48+F70+F92+F112)/1000000</f>
        <v>124040.83784279788</v>
      </c>
      <c r="G172" s="260">
        <f>(G48+G70+G92+G112)/1000000</f>
        <v>159664.31676366847</v>
      </c>
      <c r="H172" s="260">
        <f>(H48+H70+H92+H112)/1000000</f>
        <v>193736.39561093904</v>
      </c>
      <c r="I172" s="260">
        <f>(I48+I70+I92+I112)/1000000</f>
        <v>241757.81621066705</v>
      </c>
      <c r="K172" s="268">
        <f>I172</f>
        <v>241757.81621066705</v>
      </c>
      <c r="L172" s="267">
        <f>K172/I5</f>
        <v>483.51563242133409</v>
      </c>
      <c r="M172" s="266" t="s">
        <v>160</v>
      </c>
    </row>
    <row r="173" spans="1:13">
      <c r="A173" s="55"/>
      <c r="B173" s="3"/>
      <c r="D173" s="265"/>
    </row>
    <row r="174" spans="1:13">
      <c r="A174" s="55"/>
      <c r="B174" s="3"/>
    </row>
    <row r="175" spans="1:13">
      <c r="A175" s="55"/>
      <c r="B175" s="3"/>
    </row>
    <row r="176" spans="1:13">
      <c r="A176" s="55"/>
      <c r="B176" s="3"/>
    </row>
    <row r="177" spans="1:2">
      <c r="A177" s="55"/>
      <c r="B177" s="3"/>
    </row>
    <row r="178" spans="1:2">
      <c r="A178" s="55"/>
      <c r="B178" s="3"/>
    </row>
    <row r="179" spans="1:2">
      <c r="A179" s="55"/>
      <c r="B179" s="3"/>
    </row>
    <row r="180" spans="1:2">
      <c r="A180" s="55"/>
      <c r="B180" s="3"/>
    </row>
    <row r="181" spans="1:2">
      <c r="A181" s="55"/>
      <c r="B181" s="3"/>
    </row>
    <row r="182" spans="1:2">
      <c r="A182" s="55"/>
      <c r="B182" s="3"/>
    </row>
    <row r="183" spans="1:2">
      <c r="A183" s="55"/>
      <c r="B183" s="3"/>
    </row>
    <row r="184" spans="1:2">
      <c r="A184" s="55"/>
      <c r="B184" s="3"/>
    </row>
    <row r="185" spans="1:2">
      <c r="A185" s="55"/>
      <c r="B185" s="3"/>
    </row>
    <row r="186" spans="1:2">
      <c r="A186" s="55"/>
      <c r="B186" s="3"/>
    </row>
    <row r="187" spans="1:2">
      <c r="A187" s="55"/>
      <c r="B187" s="3"/>
    </row>
    <row r="188" spans="1:2">
      <c r="A188" s="55"/>
      <c r="B188" s="3"/>
    </row>
    <row r="189" spans="1:2">
      <c r="A189" s="55"/>
      <c r="B189" s="3"/>
    </row>
    <row r="190" spans="1:2">
      <c r="A190" s="55"/>
      <c r="B190" s="3"/>
    </row>
    <row r="191" spans="1:2">
      <c r="A191" s="55"/>
      <c r="B191" s="3"/>
    </row>
    <row r="192" spans="1:2">
      <c r="A192" s="55"/>
      <c r="B192" s="3"/>
    </row>
    <row r="193" spans="1:2">
      <c r="A193" s="55"/>
      <c r="B193" s="3"/>
    </row>
    <row r="194" spans="1:2">
      <c r="A194" s="55"/>
      <c r="B194" s="3"/>
    </row>
    <row r="195" spans="1:2">
      <c r="A195" s="55"/>
      <c r="B195" s="3"/>
    </row>
    <row r="196" spans="1:2">
      <c r="A196" s="55"/>
      <c r="B196" s="3"/>
    </row>
    <row r="197" spans="1:2">
      <c r="A197" s="55"/>
      <c r="B197" s="3"/>
    </row>
    <row r="198" spans="1:2">
      <c r="A198" s="55"/>
      <c r="B198" s="3"/>
    </row>
    <row r="199" spans="1:2">
      <c r="A199" s="55"/>
      <c r="B199" s="3"/>
    </row>
    <row r="200" spans="1:2">
      <c r="A200" s="55"/>
      <c r="B200" s="3"/>
    </row>
    <row r="201" spans="1:2">
      <c r="A201" s="55"/>
      <c r="B201" s="3"/>
    </row>
    <row r="202" spans="1:2">
      <c r="A202" s="55"/>
      <c r="B202" s="3"/>
    </row>
    <row r="203" spans="1:2">
      <c r="B203" s="3"/>
    </row>
    <row r="204" spans="1:2">
      <c r="A204" s="55"/>
      <c r="B204" s="3"/>
    </row>
    <row r="205" spans="1:2">
      <c r="A205" s="55"/>
      <c r="B205" s="3"/>
    </row>
    <row r="206" spans="1:2">
      <c r="A206" s="55"/>
      <c r="B206" s="3"/>
    </row>
    <row r="207" spans="1:2">
      <c r="A207" s="55"/>
      <c r="B207" s="3"/>
    </row>
    <row r="208" spans="1:2">
      <c r="A208" s="55"/>
      <c r="B208" s="3"/>
    </row>
    <row r="209" spans="1:2">
      <c r="A209" s="55"/>
      <c r="B209" s="3"/>
    </row>
    <row r="210" spans="1:2">
      <c r="A210" s="55"/>
      <c r="B210" s="3"/>
    </row>
    <row r="211" spans="1:2">
      <c r="A211" s="55"/>
      <c r="B211" s="3"/>
    </row>
    <row r="212" spans="1:2">
      <c r="A212" s="55"/>
      <c r="B212" s="3"/>
    </row>
    <row r="213" spans="1:2">
      <c r="A213" s="55"/>
      <c r="B213" s="3"/>
    </row>
    <row r="214" spans="1:2">
      <c r="A214" s="55"/>
      <c r="B214" s="3"/>
    </row>
    <row r="215" spans="1:2">
      <c r="A215" s="55"/>
      <c r="B215" s="3"/>
    </row>
    <row r="216" spans="1:2">
      <c r="B216" s="3"/>
    </row>
    <row r="217" spans="1:2" ht="18">
      <c r="A217" s="264"/>
      <c r="B217" s="263" t="s">
        <v>134</v>
      </c>
    </row>
    <row r="218" spans="1:2">
      <c r="A218" s="261"/>
      <c r="B218" s="260" t="s">
        <v>167</v>
      </c>
    </row>
    <row r="219" spans="1:2">
      <c r="A219" s="261"/>
      <c r="B219" s="262" t="s">
        <v>171</v>
      </c>
    </row>
    <row r="220" spans="1:2">
      <c r="A220" s="261"/>
      <c r="B220" s="260" t="s">
        <v>109</v>
      </c>
    </row>
  </sheetData>
  <mergeCells count="1">
    <mergeCell ref="K5:L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79998168889431442"/>
  </sheetPr>
  <dimension ref="A1:Y136"/>
  <sheetViews>
    <sheetView workbookViewId="0"/>
  </sheetViews>
  <sheetFormatPr defaultColWidth="8.88671875" defaultRowHeight="14.4" outlineLevelCol="1"/>
  <cols>
    <col min="1" max="1" width="58.33203125" style="162" customWidth="1"/>
    <col min="2" max="2" width="12.44140625" style="162" customWidth="1"/>
    <col min="3" max="3" width="4.109375" style="162" customWidth="1"/>
    <col min="4" max="4" width="13.44140625" style="162" hidden="1" customWidth="1" outlineLevel="1"/>
    <col min="5" max="8" width="12.33203125" style="162" hidden="1" customWidth="1" outlineLevel="1"/>
    <col min="9" max="11" width="12.109375" style="162" hidden="1" customWidth="1" outlineLevel="1"/>
    <col min="12" max="16" width="13.44140625" style="162" hidden="1" customWidth="1" outlineLevel="1"/>
    <col min="17" max="17" width="5.33203125" style="162" hidden="1" customWidth="1" outlineLevel="1"/>
    <col min="18" max="18" width="11.88671875" style="162" bestFit="1" customWidth="1" collapsed="1"/>
    <col min="19" max="22" width="14.6640625" style="162" bestFit="1" customWidth="1"/>
    <col min="23" max="23" width="17.44140625" style="162" bestFit="1" customWidth="1"/>
    <col min="24" max="24" width="3.33203125" style="162" customWidth="1"/>
    <col min="25" max="25" width="29.33203125" style="249" customWidth="1"/>
    <col min="26" max="16384" width="8.88671875" style="162"/>
  </cols>
  <sheetData>
    <row r="1" spans="1:25" ht="19.8">
      <c r="A1" s="103" t="s">
        <v>1243</v>
      </c>
      <c r="B1" s="152"/>
      <c r="C1" s="103"/>
      <c r="D1" s="103"/>
      <c r="E1" s="103"/>
      <c r="F1" s="103"/>
      <c r="G1" s="104"/>
      <c r="H1" s="104"/>
      <c r="I1" s="104"/>
      <c r="J1" s="104"/>
      <c r="K1" s="104"/>
      <c r="L1" s="104"/>
      <c r="M1" s="104"/>
      <c r="N1" s="104"/>
      <c r="O1" s="104"/>
      <c r="P1" s="104"/>
      <c r="R1" s="104"/>
      <c r="S1" s="104"/>
      <c r="T1" s="104"/>
      <c r="U1" s="104"/>
      <c r="V1" s="104"/>
      <c r="W1" s="104"/>
    </row>
    <row r="2" spans="1:25">
      <c r="A2" s="106"/>
      <c r="B2" s="153"/>
      <c r="C2" s="107"/>
      <c r="D2" s="107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R2" s="109"/>
      <c r="S2" s="109"/>
      <c r="T2" s="109"/>
      <c r="U2" s="109"/>
      <c r="V2" s="109"/>
      <c r="W2" s="109"/>
    </row>
    <row r="3" spans="1:25">
      <c r="A3" s="110"/>
      <c r="B3" s="147"/>
      <c r="C3" s="108"/>
      <c r="D3" s="159">
        <v>45657</v>
      </c>
      <c r="E3" s="159">
        <v>45747</v>
      </c>
      <c r="F3" s="159">
        <v>45838</v>
      </c>
      <c r="G3" s="159">
        <v>45930</v>
      </c>
      <c r="H3" s="159">
        <v>46022</v>
      </c>
      <c r="I3" s="111"/>
      <c r="J3" s="111"/>
      <c r="K3" s="111"/>
      <c r="L3" s="111"/>
      <c r="M3" s="111"/>
      <c r="N3" s="111"/>
      <c r="O3" s="111"/>
      <c r="P3" s="111"/>
      <c r="R3" s="111"/>
      <c r="S3" s="111"/>
      <c r="T3" s="111"/>
      <c r="U3" s="111"/>
      <c r="V3" s="111"/>
      <c r="W3" s="111"/>
    </row>
    <row r="4" spans="1:25">
      <c r="A4" s="147"/>
      <c r="B4" s="147"/>
      <c r="C4" s="147"/>
      <c r="D4" s="148">
        <v>2024</v>
      </c>
      <c r="E4" s="148">
        <v>2025</v>
      </c>
      <c r="F4" s="148">
        <v>2025</v>
      </c>
      <c r="G4" s="148">
        <v>2025</v>
      </c>
      <c r="H4" s="148">
        <v>2025</v>
      </c>
      <c r="I4" s="148">
        <v>2026</v>
      </c>
      <c r="J4" s="148">
        <v>2026</v>
      </c>
      <c r="K4" s="148">
        <v>2027</v>
      </c>
      <c r="L4" s="148">
        <v>2027</v>
      </c>
      <c r="M4" s="148">
        <v>2028</v>
      </c>
      <c r="N4" s="148">
        <v>2028</v>
      </c>
      <c r="O4" s="148">
        <v>2029</v>
      </c>
      <c r="P4" s="148">
        <v>2029</v>
      </c>
      <c r="R4" s="148">
        <v>2024</v>
      </c>
      <c r="S4" s="148">
        <v>2025</v>
      </c>
      <c r="T4" s="148">
        <v>2026</v>
      </c>
      <c r="U4" s="148">
        <v>2027</v>
      </c>
      <c r="V4" s="148">
        <v>2028</v>
      </c>
      <c r="W4" s="148">
        <v>2029</v>
      </c>
    </row>
    <row r="5" spans="1:25">
      <c r="A5" s="150"/>
      <c r="B5" s="150"/>
      <c r="C5" s="150"/>
      <c r="D5" s="151" t="s">
        <v>294</v>
      </c>
      <c r="E5" s="151" t="s">
        <v>431</v>
      </c>
      <c r="F5" s="151" t="s">
        <v>432</v>
      </c>
      <c r="G5" s="151" t="s">
        <v>433</v>
      </c>
      <c r="H5" s="151" t="s">
        <v>434</v>
      </c>
      <c r="I5" s="151" t="s">
        <v>435</v>
      </c>
      <c r="J5" s="151" t="s">
        <v>436</v>
      </c>
      <c r="K5" s="151" t="s">
        <v>435</v>
      </c>
      <c r="L5" s="151" t="s">
        <v>436</v>
      </c>
      <c r="M5" s="151" t="s">
        <v>435</v>
      </c>
      <c r="N5" s="151" t="s">
        <v>436</v>
      </c>
      <c r="O5" s="151" t="s">
        <v>435</v>
      </c>
      <c r="P5" s="151" t="s">
        <v>436</v>
      </c>
      <c r="R5" s="151" t="s">
        <v>294</v>
      </c>
      <c r="S5" s="151" t="s">
        <v>308</v>
      </c>
      <c r="T5" s="151" t="s">
        <v>309</v>
      </c>
      <c r="U5" s="151" t="s">
        <v>311</v>
      </c>
      <c r="V5" s="151" t="s">
        <v>310</v>
      </c>
      <c r="W5" s="151" t="s">
        <v>312</v>
      </c>
    </row>
    <row r="6" spans="1:25">
      <c r="A6" s="114"/>
      <c r="B6" s="138"/>
      <c r="C6" s="222"/>
      <c r="D6" s="158">
        <v>0</v>
      </c>
      <c r="E6" s="115">
        <v>1</v>
      </c>
      <c r="F6" s="115">
        <v>2</v>
      </c>
      <c r="G6" s="115">
        <v>3</v>
      </c>
      <c r="H6" s="115">
        <v>4</v>
      </c>
      <c r="I6" s="115">
        <v>5</v>
      </c>
      <c r="J6" s="115">
        <v>6</v>
      </c>
      <c r="K6" s="115">
        <v>7</v>
      </c>
      <c r="L6" s="115">
        <v>8</v>
      </c>
      <c r="M6" s="115">
        <v>9</v>
      </c>
      <c r="N6" s="115">
        <v>10</v>
      </c>
      <c r="O6" s="115">
        <v>11</v>
      </c>
      <c r="P6" s="115">
        <v>12</v>
      </c>
      <c r="R6" s="115"/>
      <c r="S6" s="115"/>
      <c r="T6" s="115"/>
      <c r="U6" s="115"/>
      <c r="V6" s="115"/>
      <c r="W6" s="115"/>
    </row>
    <row r="7" spans="1:25">
      <c r="A7" s="187" t="s">
        <v>244</v>
      </c>
      <c r="B7" s="220" t="s">
        <v>228</v>
      </c>
      <c r="C7" s="189" t="s">
        <v>229</v>
      </c>
      <c r="D7" s="189"/>
      <c r="E7" s="190"/>
      <c r="F7" s="190"/>
      <c r="G7" s="190"/>
      <c r="H7" s="190"/>
      <c r="I7" s="190"/>
      <c r="J7" s="190"/>
      <c r="K7" s="190"/>
      <c r="L7" s="190"/>
      <c r="M7" s="190"/>
      <c r="N7" s="190"/>
      <c r="O7" s="190"/>
      <c r="P7" s="190"/>
      <c r="R7" s="190"/>
      <c r="S7" s="190"/>
      <c r="T7" s="190"/>
      <c r="U7" s="190"/>
      <c r="V7" s="190"/>
      <c r="W7" s="190"/>
      <c r="Y7" s="275"/>
    </row>
    <row r="8" spans="1:25" ht="26.4">
      <c r="A8" s="695" t="s">
        <v>1244</v>
      </c>
      <c r="B8" s="138" t="s">
        <v>898</v>
      </c>
      <c r="C8" s="121"/>
      <c r="D8" s="134">
        <f>'Funnel QH'!D8</f>
        <v>5000000</v>
      </c>
      <c r="E8" s="134">
        <f>'Funnel QH'!E8</f>
        <v>5295890.4109589038</v>
      </c>
      <c r="F8" s="134">
        <f>'Funnel QH'!F8</f>
        <v>5595068.493150685</v>
      </c>
      <c r="G8" s="134">
        <f>'Funnel QH'!G8</f>
        <v>5897534.2465753425</v>
      </c>
      <c r="H8" s="134">
        <f>'Funnel QH'!H8</f>
        <v>6200000</v>
      </c>
      <c r="I8" s="134">
        <f>'Funnel QH'!I8</f>
        <v>6497500</v>
      </c>
      <c r="J8" s="134">
        <f>'Funnel QH'!J8</f>
        <v>6795000</v>
      </c>
      <c r="K8" s="134">
        <f>'Funnel QH'!K8</f>
        <v>7147500</v>
      </c>
      <c r="L8" s="134">
        <f>'Funnel QH'!L8</f>
        <v>7500000</v>
      </c>
      <c r="M8" s="134">
        <f>'Funnel QH'!M8</f>
        <v>7932500</v>
      </c>
      <c r="N8" s="134">
        <f>'Funnel QH'!N8</f>
        <v>8365000</v>
      </c>
      <c r="O8" s="134">
        <f>'Funnel QH'!O8</f>
        <v>8937500</v>
      </c>
      <c r="P8" s="134">
        <f>'Funnel QH'!P8</f>
        <v>9510000</v>
      </c>
      <c r="R8" s="134">
        <f t="shared" ref="R8" si="0">D8</f>
        <v>5000000</v>
      </c>
      <c r="S8" s="134">
        <f t="shared" ref="S8" si="1">H8</f>
        <v>6200000</v>
      </c>
      <c r="T8" s="134">
        <f t="shared" ref="T8" si="2">J8</f>
        <v>6795000</v>
      </c>
      <c r="U8" s="134">
        <f t="shared" ref="U8" si="3">L8</f>
        <v>7500000</v>
      </c>
      <c r="V8" s="134">
        <f t="shared" ref="V8" si="4">N8</f>
        <v>8365000</v>
      </c>
      <c r="W8" s="134">
        <f t="shared" ref="W8" si="5">P8</f>
        <v>9510000</v>
      </c>
      <c r="Y8" s="275"/>
    </row>
    <row r="9" spans="1:25">
      <c r="A9" s="122" t="s">
        <v>1245</v>
      </c>
      <c r="B9" s="138" t="s">
        <v>394</v>
      </c>
      <c r="C9" s="121"/>
      <c r="D9" s="134">
        <f>'Funnel QH'!D11</f>
        <v>4100000</v>
      </c>
      <c r="E9" s="134">
        <f>'Funnel QH'!E11</f>
        <v>4320359.530958904</v>
      </c>
      <c r="F9" s="134">
        <f>'Funnel QH'!F11</f>
        <v>4543167.5011506844</v>
      </c>
      <c r="G9" s="134">
        <f>'Funnel QH'!G11</f>
        <v>4768423.9105753424</v>
      </c>
      <c r="H9" s="134">
        <f>'Funnel QH'!H11</f>
        <v>5006080.32</v>
      </c>
      <c r="I9" s="134">
        <f>'Funnel QH'!I11</f>
        <v>5264475.3359999992</v>
      </c>
      <c r="J9" s="134">
        <f>'Funnel QH'!J11</f>
        <v>5562450.352</v>
      </c>
      <c r="K9" s="134">
        <f>'Funnel QH'!K11</f>
        <v>5881699.7500000009</v>
      </c>
      <c r="L9" s="134">
        <f>'Funnel QH'!L11</f>
        <v>6215949.148</v>
      </c>
      <c r="M9" s="134">
        <f>'Funnel QH'!M11</f>
        <v>6600857.6860999996</v>
      </c>
      <c r="N9" s="134">
        <f>'Funnel QH'!N11</f>
        <v>7002496.2241999991</v>
      </c>
      <c r="O9" s="134">
        <f>'Funnel QH'!O11</f>
        <v>7493260.9242149992</v>
      </c>
      <c r="P9" s="134">
        <f>'Funnel QH'!P11</f>
        <v>8003045.6242299993</v>
      </c>
      <c r="R9" s="134">
        <f t="shared" ref="R9" si="6">D9</f>
        <v>4100000</v>
      </c>
      <c r="S9" s="134">
        <f t="shared" ref="S9" si="7">H9</f>
        <v>5006080.32</v>
      </c>
      <c r="T9" s="134">
        <f t="shared" ref="T9" si="8">J9</f>
        <v>5562450.352</v>
      </c>
      <c r="U9" s="134">
        <f t="shared" ref="U9" si="9">L9</f>
        <v>6215949.148</v>
      </c>
      <c r="V9" s="134">
        <f t="shared" ref="V9" si="10">N9</f>
        <v>7002496.2241999991</v>
      </c>
      <c r="W9" s="134">
        <f t="shared" ref="W9" si="11">P9</f>
        <v>8003045.6242299993</v>
      </c>
      <c r="Y9" s="275"/>
    </row>
    <row r="10" spans="1:25">
      <c r="A10" s="122" t="s">
        <v>876</v>
      </c>
      <c r="B10" s="138" t="s">
        <v>898</v>
      </c>
      <c r="C10" s="121"/>
      <c r="D10" s="134">
        <f>'Funnel QH'!D24</f>
        <v>3280000</v>
      </c>
      <c r="E10" s="134">
        <f>'Funnel QH'!E24</f>
        <v>3456287.6247671233</v>
      </c>
      <c r="F10" s="134">
        <f>'Funnel QH'!F24</f>
        <v>3634534.0009205476</v>
      </c>
      <c r="G10" s="134">
        <f>'Funnel QH'!G24</f>
        <v>3814739.1284602741</v>
      </c>
      <c r="H10" s="134">
        <f>'Funnel QH'!H24</f>
        <v>4004864.2560000005</v>
      </c>
      <c r="I10" s="134">
        <f>'Funnel QH'!I24</f>
        <v>4211580.2687999997</v>
      </c>
      <c r="J10" s="134">
        <f>'Funnel QH'!J24</f>
        <v>4449960.2816000003</v>
      </c>
      <c r="K10" s="134">
        <f>'Funnel QH'!K24</f>
        <v>4705359.8000000007</v>
      </c>
      <c r="L10" s="134">
        <f>'Funnel QH'!L24</f>
        <v>4972759.3184000002</v>
      </c>
      <c r="M10" s="134">
        <f>'Funnel QH'!M24</f>
        <v>5280686.1488800002</v>
      </c>
      <c r="N10" s="134">
        <f>'Funnel QH'!N24</f>
        <v>5601996.9793599993</v>
      </c>
      <c r="O10" s="134">
        <f>'Funnel QH'!O24</f>
        <v>5994608.7393720001</v>
      </c>
      <c r="P10" s="134">
        <f>'Funnel QH'!P24</f>
        <v>6402436.499384</v>
      </c>
      <c r="R10" s="134">
        <f t="shared" ref="R10" si="12">D10</f>
        <v>3280000</v>
      </c>
      <c r="S10" s="134">
        <f t="shared" ref="S10" si="13">H10</f>
        <v>4004864.2560000005</v>
      </c>
      <c r="T10" s="134">
        <f t="shared" ref="T10" si="14">J10</f>
        <v>4449960.2816000003</v>
      </c>
      <c r="U10" s="134">
        <f t="shared" ref="U10" si="15">L10</f>
        <v>4972759.3184000002</v>
      </c>
      <c r="V10" s="134">
        <f t="shared" ref="V10" si="16">N10</f>
        <v>5601996.9793599993</v>
      </c>
      <c r="W10" s="134">
        <f t="shared" ref="W10" si="17">P10</f>
        <v>6402436.499384</v>
      </c>
      <c r="Y10" s="275"/>
    </row>
    <row r="11" spans="1:25">
      <c r="A11" s="122" t="s">
        <v>877</v>
      </c>
      <c r="B11" s="138" t="s">
        <v>898</v>
      </c>
      <c r="C11" s="121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R11" s="134">
        <f>Funnel!D117</f>
        <v>0</v>
      </c>
      <c r="S11" s="134">
        <f>Funnel!E117</f>
        <v>55590.31951015404</v>
      </c>
      <c r="T11" s="134">
        <f>Funnel!F117</f>
        <v>399794.50493692665</v>
      </c>
      <c r="U11" s="134">
        <f>Funnel!G117</f>
        <v>851814.28035451949</v>
      </c>
      <c r="V11" s="134">
        <f>Funnel!H117</f>
        <v>1224673.5323498745</v>
      </c>
      <c r="W11" s="134">
        <f>Funnel!I117</f>
        <v>1507002.9331499357</v>
      </c>
      <c r="Y11" s="275"/>
    </row>
    <row r="12" spans="1:25">
      <c r="A12" s="122" t="s">
        <v>875</v>
      </c>
      <c r="B12" s="138" t="s">
        <v>898</v>
      </c>
      <c r="C12" s="121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R12" s="134">
        <f>Funnel!D119</f>
        <v>0</v>
      </c>
      <c r="S12" s="134">
        <f>Funnel!E119</f>
        <v>62782.218375397133</v>
      </c>
      <c r="T12" s="134">
        <f>Funnel!F119</f>
        <v>380630.58278709499</v>
      </c>
      <c r="U12" s="134">
        <f>Funnel!G119</f>
        <v>786819.93688129715</v>
      </c>
      <c r="V12" s="134">
        <f>Funnel!H119</f>
        <v>1127530.7612798668</v>
      </c>
      <c r="W12" s="134">
        <f>Funnel!I119</f>
        <v>1374307.481383191</v>
      </c>
      <c r="Y12" s="275"/>
    </row>
    <row r="13" spans="1:25">
      <c r="A13" s="122" t="s">
        <v>927</v>
      </c>
      <c r="B13" s="138" t="s">
        <v>394</v>
      </c>
      <c r="C13" s="121"/>
      <c r="D13" s="134">
        <f>'Funnel QH'!D25</f>
        <v>0</v>
      </c>
      <c r="E13" s="134">
        <f>'Funnel QH'!E25</f>
        <v>0</v>
      </c>
      <c r="F13" s="134">
        <f>'Funnel QH'!F25</f>
        <v>0</v>
      </c>
      <c r="G13" s="134">
        <f>'Funnel QH'!G25</f>
        <v>0</v>
      </c>
      <c r="H13" s="134">
        <f>'Funnel QH'!H25</f>
        <v>0</v>
      </c>
      <c r="I13" s="134">
        <f>'Funnel QH'!I25</f>
        <v>0</v>
      </c>
      <c r="J13" s="134">
        <f>'Funnel QH'!J25</f>
        <v>30000</v>
      </c>
      <c r="K13" s="134">
        <f>'Funnel QH'!K25</f>
        <v>49833.333333333336</v>
      </c>
      <c r="L13" s="134">
        <f>'Funnel QH'!L25</f>
        <v>69666.666666666672</v>
      </c>
      <c r="M13" s="134">
        <f>'Funnel QH'!M25</f>
        <v>89500</v>
      </c>
      <c r="N13" s="134">
        <f>'Funnel QH'!N25</f>
        <v>109333.33333333334</v>
      </c>
      <c r="O13" s="134">
        <f>'Funnel QH'!O25</f>
        <v>129166.66666666667</v>
      </c>
      <c r="P13" s="134">
        <f>'Funnel QH'!P25</f>
        <v>149000</v>
      </c>
      <c r="R13" s="134">
        <f t="shared" ref="R13" si="18">D13</f>
        <v>0</v>
      </c>
      <c r="S13" s="134">
        <f t="shared" ref="S13" si="19">H13</f>
        <v>0</v>
      </c>
      <c r="T13" s="134">
        <f t="shared" ref="T13" si="20">J13</f>
        <v>30000</v>
      </c>
      <c r="U13" s="134">
        <f t="shared" ref="U13" si="21">L13</f>
        <v>69666.666666666672</v>
      </c>
      <c r="V13" s="134">
        <f t="shared" ref="V13" si="22">N13</f>
        <v>109333.33333333334</v>
      </c>
      <c r="W13" s="134">
        <f t="shared" ref="W13" si="23">P13</f>
        <v>149000</v>
      </c>
      <c r="Y13" s="275"/>
    </row>
    <row r="14" spans="1:25">
      <c r="A14" s="122" t="s">
        <v>926</v>
      </c>
      <c r="B14" s="138" t="s">
        <v>394</v>
      </c>
      <c r="C14" s="143"/>
      <c r="D14" s="134">
        <f>'Merchants(corp)'!D164</f>
        <v>0</v>
      </c>
      <c r="E14" s="134">
        <f>'Merchants(corp)'!E164</f>
        <v>0</v>
      </c>
      <c r="F14" s="134">
        <f>'Merchants(corp)'!F164</f>
        <v>0</v>
      </c>
      <c r="G14" s="134">
        <f>'Merchants(corp)'!G164</f>
        <v>0</v>
      </c>
      <c r="H14" s="134">
        <f>'Merchants(corp)'!H164</f>
        <v>0</v>
      </c>
      <c r="I14" s="134">
        <f>'Merchants(corp)'!I164</f>
        <v>0</v>
      </c>
      <c r="J14" s="134">
        <f>'Merchants(corp)'!J164</f>
        <v>15000</v>
      </c>
      <c r="K14" s="134">
        <f>'Merchants(corp)'!K164</f>
        <v>26162.500000000004</v>
      </c>
      <c r="L14" s="134">
        <f>'Merchants(corp)'!L164</f>
        <v>38403.750000000007</v>
      </c>
      <c r="M14" s="134">
        <f>'Merchants(corp)'!M164</f>
        <v>51803.718750000007</v>
      </c>
      <c r="N14" s="134">
        <f>'Merchants(corp)'!N164</f>
        <v>66447.675000000017</v>
      </c>
      <c r="O14" s="134">
        <f>'Merchants(corp)'!O164</f>
        <v>82426.517578125029</v>
      </c>
      <c r="P14" s="134">
        <f>'Merchants(corp)'!P164</f>
        <v>99837.125226562537</v>
      </c>
      <c r="R14" s="134">
        <f t="shared" ref="R14" si="24">D14</f>
        <v>0</v>
      </c>
      <c r="S14" s="134">
        <f t="shared" ref="S14" si="25">H14</f>
        <v>0</v>
      </c>
      <c r="T14" s="134">
        <f t="shared" ref="T14" si="26">J14</f>
        <v>15000</v>
      </c>
      <c r="U14" s="134">
        <f t="shared" ref="U14" si="27">L14</f>
        <v>38403.750000000007</v>
      </c>
      <c r="V14" s="134">
        <f t="shared" ref="V14" si="28">N14</f>
        <v>66447.675000000017</v>
      </c>
      <c r="W14" s="134">
        <f t="shared" ref="W14" si="29">P14</f>
        <v>99837.125226562537</v>
      </c>
      <c r="Y14" s="275"/>
    </row>
    <row r="15" spans="1:25" hidden="1">
      <c r="A15" s="516" t="s">
        <v>815</v>
      </c>
      <c r="C15" s="502" t="s">
        <v>198</v>
      </c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R15" s="134"/>
      <c r="S15" s="134"/>
      <c r="T15" s="134"/>
      <c r="U15" s="134"/>
      <c r="V15" s="134"/>
      <c r="W15" s="134"/>
      <c r="Y15" s="275"/>
    </row>
    <row r="16" spans="1:25" hidden="1">
      <c r="A16" s="135" t="s">
        <v>383</v>
      </c>
      <c r="B16" s="247" t="s">
        <v>231</v>
      </c>
      <c r="C16" s="502"/>
      <c r="D16" s="248"/>
      <c r="E16" s="238">
        <f t="shared" ref="E16:P16" si="30">E17/E10</f>
        <v>2.4989239720990934E-2</v>
      </c>
      <c r="F16" s="238">
        <f t="shared" si="30"/>
        <v>2.529622779060909E-2</v>
      </c>
      <c r="G16" s="238">
        <f t="shared" si="30"/>
        <v>2.6384504054049143E-2</v>
      </c>
      <c r="H16" s="238">
        <f t="shared" si="30"/>
        <v>2.7534016873304978E-2</v>
      </c>
      <c r="I16" s="238">
        <f t="shared" si="30"/>
        <v>3.8618520749776009E-2</v>
      </c>
      <c r="J16" s="238">
        <f t="shared" si="30"/>
        <v>4.8319532398767552E-2</v>
      </c>
      <c r="K16" s="238">
        <f t="shared" si="30"/>
        <v>5.1579308026561535E-2</v>
      </c>
      <c r="L16" s="238">
        <f t="shared" si="30"/>
        <v>5.4371906558911255E-2</v>
      </c>
      <c r="M16" s="238">
        <f t="shared" si="30"/>
        <v>5.4519985307413581E-2</v>
      </c>
      <c r="N16" s="238">
        <f t="shared" si="30"/>
        <v>5.4521174971232066E-2</v>
      </c>
      <c r="O16" s="238">
        <f t="shared" si="30"/>
        <v>5.3131032654245632E-2</v>
      </c>
      <c r="P16" s="238">
        <f t="shared" si="30"/>
        <v>5.1788416471432654E-2</v>
      </c>
      <c r="R16" s="205">
        <f t="shared" ref="R16" si="31">D16</f>
        <v>0</v>
      </c>
      <c r="S16" s="205">
        <f t="shared" ref="S16" si="32">H16</f>
        <v>2.7534016873304978E-2</v>
      </c>
      <c r="T16" s="205">
        <f t="shared" ref="T16" si="33">J16</f>
        <v>4.8319532398767552E-2</v>
      </c>
      <c r="U16" s="205">
        <f t="shared" ref="U16" si="34">L16</f>
        <v>5.4371906558911255E-2</v>
      </c>
      <c r="V16" s="205">
        <f t="shared" ref="V16" si="35">N16</f>
        <v>5.4521174971232066E-2</v>
      </c>
      <c r="W16" s="205">
        <f t="shared" ref="W16" si="36">P16</f>
        <v>5.1788416471432654E-2</v>
      </c>
      <c r="Y16" s="275"/>
    </row>
    <row r="17" spans="1:25" hidden="1">
      <c r="A17" s="135" t="s">
        <v>366</v>
      </c>
      <c r="B17" s="138" t="s">
        <v>230</v>
      </c>
      <c r="C17" s="503" t="s">
        <v>369</v>
      </c>
      <c r="D17" s="136">
        <v>81000</v>
      </c>
      <c r="E17" s="136">
        <v>86370</v>
      </c>
      <c r="F17" s="136">
        <v>91940</v>
      </c>
      <c r="G17" s="136">
        <v>100650</v>
      </c>
      <c r="H17" s="136">
        <v>110270</v>
      </c>
      <c r="I17" s="134">
        <f>AVERAGE(J17,H17)</f>
        <v>162645</v>
      </c>
      <c r="J17" s="136">
        <v>215020</v>
      </c>
      <c r="K17" s="134">
        <f>AVERAGE(L17,J17)</f>
        <v>242699.20250000001</v>
      </c>
      <c r="L17" s="136">
        <v>270378.40500000003</v>
      </c>
      <c r="M17" s="134">
        <f>AVERAGE(N17,L17)</f>
        <v>287902.93125000002</v>
      </c>
      <c r="N17" s="136">
        <v>305427.45750000002</v>
      </c>
      <c r="O17" s="134">
        <f>AVERAGE(P17,N17)</f>
        <v>318499.75268099998</v>
      </c>
      <c r="P17" s="136">
        <v>331572.04786199995</v>
      </c>
      <c r="R17" s="134">
        <f t="shared" ref="R17" si="37">D17</f>
        <v>81000</v>
      </c>
      <c r="S17" s="134">
        <f t="shared" ref="S17" si="38">H17</f>
        <v>110270</v>
      </c>
      <c r="T17" s="134">
        <f t="shared" ref="T17" si="39">J17</f>
        <v>215020</v>
      </c>
      <c r="U17" s="134">
        <f t="shared" ref="U17" si="40">L17</f>
        <v>270378.40500000003</v>
      </c>
      <c r="V17" s="134">
        <f t="shared" ref="V17" si="41">N17</f>
        <v>305427.45750000002</v>
      </c>
      <c r="W17" s="134">
        <f t="shared" ref="W17" si="42">P17</f>
        <v>331572.04786199995</v>
      </c>
      <c r="Y17" s="275"/>
    </row>
    <row r="18" spans="1:25" hidden="1">
      <c r="A18" s="550" t="s">
        <v>391</v>
      </c>
      <c r="B18" s="138" t="s">
        <v>367</v>
      </c>
      <c r="C18" s="503" t="s">
        <v>814</v>
      </c>
      <c r="D18" s="136"/>
      <c r="E18" s="136">
        <f>326966.90169915/500</f>
        <v>653.93380339829991</v>
      </c>
      <c r="F18" s="134">
        <f>F17*$E18/$E17</f>
        <v>696.10598453675686</v>
      </c>
      <c r="G18" s="134">
        <f>G17*$E18/$E17</f>
        <v>762.05207030263841</v>
      </c>
      <c r="H18" s="136">
        <f>502521.813794505/500</f>
        <v>1005.04362758901</v>
      </c>
      <c r="I18" s="134">
        <f>I17*H18/H17</f>
        <v>1482.4097289309379</v>
      </c>
      <c r="J18" s="136">
        <f>943978.77954158/500</f>
        <v>1887.95755908316</v>
      </c>
      <c r="K18" s="134">
        <f>K17*J18/J17</f>
        <v>2130.9915075031604</v>
      </c>
      <c r="L18" s="136">
        <f>1213036.20494188/500</f>
        <v>2426.07240988376</v>
      </c>
      <c r="M18" s="134">
        <f>M17*L18/L17</f>
        <v>2583.3178438577074</v>
      </c>
      <c r="N18" s="136">
        <f>1558781.68703578/500</f>
        <v>3117.5633740715598</v>
      </c>
      <c r="O18" s="134">
        <f>O17*N18/N17</f>
        <v>3250.995086481822</v>
      </c>
      <c r="P18" s="136">
        <f>2003073.22892685/500</f>
        <v>4006.1464578537002</v>
      </c>
      <c r="R18" s="134">
        <f t="shared" ref="R18" si="43">D18</f>
        <v>0</v>
      </c>
      <c r="S18" s="134">
        <f t="shared" ref="S18" si="44">H18</f>
        <v>1005.04362758901</v>
      </c>
      <c r="T18" s="134">
        <f t="shared" ref="T18" si="45">J18</f>
        <v>1887.95755908316</v>
      </c>
      <c r="U18" s="134">
        <f t="shared" ref="U18" si="46">L18</f>
        <v>2426.07240988376</v>
      </c>
      <c r="V18" s="134">
        <f t="shared" ref="V18" si="47">N18</f>
        <v>3117.5633740715598</v>
      </c>
      <c r="W18" s="134">
        <f t="shared" ref="W18" si="48">P18</f>
        <v>4006.1464578537002</v>
      </c>
      <c r="Y18" s="275"/>
    </row>
    <row r="19" spans="1:25" hidden="1">
      <c r="A19" s="550" t="s">
        <v>471</v>
      </c>
      <c r="B19" s="138" t="s">
        <v>367</v>
      </c>
      <c r="C19" s="503" t="s">
        <v>814</v>
      </c>
      <c r="D19" s="136"/>
      <c r="E19" s="136">
        <f>1472388.52797171/4/500</f>
        <v>736.19426398585506</v>
      </c>
      <c r="F19" s="136">
        <f>1472388.52797171/4/500</f>
        <v>736.19426398585506</v>
      </c>
      <c r="G19" s="136">
        <f>1472388.52797171/4/500</f>
        <v>736.19426398585506</v>
      </c>
      <c r="H19" s="136">
        <f>1472388.52797171/4/500</f>
        <v>736.19426398585506</v>
      </c>
      <c r="I19" s="136">
        <f>2810288.92365012/2/500</f>
        <v>2810.2889236501201</v>
      </c>
      <c r="J19" s="136">
        <f>2810288.92365012/2/500</f>
        <v>2810.2889236501201</v>
      </c>
      <c r="K19" s="136">
        <f>3595873.85026496/2/500</f>
        <v>3595.8738502649599</v>
      </c>
      <c r="L19" s="136">
        <f>3595873.85026496/2/500</f>
        <v>3595.8738502649599</v>
      </c>
      <c r="M19" s="136">
        <f>4604802.75037225/2/500</f>
        <v>4604.8027503722496</v>
      </c>
      <c r="N19" s="136">
        <f>4604802.75037225/2/500</f>
        <v>4604.8027503722496</v>
      </c>
      <c r="O19" s="136">
        <f>5900639.34576269/2/500</f>
        <v>5900.63934576269</v>
      </c>
      <c r="P19" s="136">
        <f>5900639.34576269/2/500</f>
        <v>5900.63934576269</v>
      </c>
      <c r="R19" s="134"/>
      <c r="S19" s="134"/>
      <c r="T19" s="134"/>
      <c r="U19" s="134"/>
      <c r="V19" s="134"/>
      <c r="W19" s="134"/>
      <c r="Y19" s="275"/>
    </row>
    <row r="20" spans="1:25" hidden="1">
      <c r="A20" s="550" t="s">
        <v>475</v>
      </c>
      <c r="B20" s="138" t="s">
        <v>367</v>
      </c>
      <c r="C20" s="503" t="s">
        <v>814</v>
      </c>
      <c r="D20" s="136"/>
      <c r="E20" s="136">
        <f>-1204077.19822955/4/500</f>
        <v>-602.03859911477491</v>
      </c>
      <c r="F20" s="136">
        <f t="shared" ref="F20:G20" si="49">-1204077.19822955/4/500</f>
        <v>-602.03859911477491</v>
      </c>
      <c r="G20" s="136">
        <f t="shared" si="49"/>
        <v>-602.03859911477491</v>
      </c>
      <c r="H20" s="136">
        <f>-1204077.19822955/4/500</f>
        <v>-602.03859911477491</v>
      </c>
      <c r="I20" s="136">
        <f>-1399194.37543398/2/500</f>
        <v>-1399.19437543398</v>
      </c>
      <c r="J20" s="136">
        <f>-1399194.37543398/2/500</f>
        <v>-1399.19437543398</v>
      </c>
      <c r="K20" s="136">
        <f>-1624610.29352731/2/500</f>
        <v>-1624.61029352731</v>
      </c>
      <c r="L20" s="136">
        <f>-1624610.29352731/2/500</f>
        <v>-1624.61029352731</v>
      </c>
      <c r="M20" s="136">
        <f>-1859998.82599472/2/500</f>
        <v>-1859.9988259947199</v>
      </c>
      <c r="N20" s="136">
        <f>-1859998.82599472/2/500</f>
        <v>-1859.9988259947199</v>
      </c>
      <c r="O20" s="136">
        <f>-2333382.96480478/2/500</f>
        <v>-2333.3829648047804</v>
      </c>
      <c r="P20" s="136">
        <f>-2333382.96480478/2/500</f>
        <v>-2333.3829648047804</v>
      </c>
      <c r="R20" s="134"/>
      <c r="S20" s="134"/>
      <c r="T20" s="134"/>
      <c r="U20" s="134"/>
      <c r="V20" s="134"/>
      <c r="W20" s="134"/>
      <c r="Y20" s="275"/>
    </row>
    <row r="21" spans="1:25" hidden="1">
      <c r="A21" s="135" t="s">
        <v>490</v>
      </c>
      <c r="B21" s="138" t="s">
        <v>131</v>
      </c>
      <c r="C21" s="503" t="s">
        <v>370</v>
      </c>
      <c r="D21" s="221">
        <v>2.0747097353608805</v>
      </c>
      <c r="E21" s="221">
        <v>2.0747097353608805</v>
      </c>
      <c r="F21" s="221">
        <v>2.0747097353608805</v>
      </c>
      <c r="G21" s="221">
        <v>2.0747097353608805</v>
      </c>
      <c r="H21" s="221">
        <v>2.0747097353608805</v>
      </c>
      <c r="I21" s="221">
        <v>2.0747097353608805</v>
      </c>
      <c r="J21" s="221">
        <v>2.0747097353608805</v>
      </c>
      <c r="K21" s="221">
        <v>2.0747097353608805</v>
      </c>
      <c r="L21" s="221">
        <v>2.0747097353608805</v>
      </c>
      <c r="M21" s="221">
        <v>2.0747097353608805</v>
      </c>
      <c r="N21" s="221">
        <v>2.0747097353608805</v>
      </c>
      <c r="O21" s="221">
        <v>2.0747097353608805</v>
      </c>
      <c r="P21" s="221">
        <v>2.0747097353608805</v>
      </c>
      <c r="R21" s="223">
        <f t="shared" ref="R21" si="50">D21</f>
        <v>2.0747097353608805</v>
      </c>
      <c r="S21" s="223">
        <f t="shared" ref="S21" si="51">H21</f>
        <v>2.0747097353608805</v>
      </c>
      <c r="T21" s="223">
        <f t="shared" ref="T21" si="52">J21</f>
        <v>2.0747097353608805</v>
      </c>
      <c r="U21" s="223">
        <f t="shared" ref="U21" si="53">L21</f>
        <v>2.0747097353608805</v>
      </c>
      <c r="V21" s="223">
        <f t="shared" ref="V21" si="54">N21</f>
        <v>2.0747097353608805</v>
      </c>
      <c r="W21" s="223">
        <f t="shared" ref="W21" si="55">P21</f>
        <v>2.0747097353608805</v>
      </c>
      <c r="Y21" s="275"/>
    </row>
    <row r="22" spans="1:25" hidden="1">
      <c r="A22" s="135" t="s">
        <v>495</v>
      </c>
      <c r="B22" s="138" t="s">
        <v>367</v>
      </c>
      <c r="C22" s="504"/>
      <c r="D22" s="134">
        <f>73000*D21/1000*12</f>
        <v>1817.4457281761311</v>
      </c>
      <c r="E22" s="134">
        <f>(D17+E17)/2*E21*3/1000</f>
        <v>520.86625261102597</v>
      </c>
      <c r="F22" s="134">
        <f>(E17+F17)/2*F21*3/1000</f>
        <v>554.91223936829783</v>
      </c>
      <c r="G22" s="134">
        <f>(F17+G17)/2*G21*3/1000</f>
        <v>599.352521899728</v>
      </c>
      <c r="H22" s="134">
        <f>(G17+H17)/2*H21*3/1000</f>
        <v>656.39666607347533</v>
      </c>
      <c r="I22" s="134">
        <f t="shared" ref="I22:P22" si="56">(H17+I17)/2*I21*6/1000</f>
        <v>1698.6582222780441</v>
      </c>
      <c r="J22" s="134">
        <f t="shared" si="56"/>
        <v>2350.635756615201</v>
      </c>
      <c r="K22" s="134">
        <f t="shared" si="56"/>
        <v>2848.9034564651051</v>
      </c>
      <c r="L22" s="134">
        <f t="shared" si="56"/>
        <v>3193.4613218277564</v>
      </c>
      <c r="M22" s="134">
        <f t="shared" si="56"/>
        <v>3474.8151701644692</v>
      </c>
      <c r="N22" s="134">
        <f t="shared" si="56"/>
        <v>3692.9650014752428</v>
      </c>
      <c r="O22" s="134">
        <f t="shared" si="56"/>
        <v>3883.4035713572243</v>
      </c>
      <c r="P22" s="134">
        <f t="shared" si="56"/>
        <v>4046.1308798104155</v>
      </c>
      <c r="R22" s="134">
        <f>D22</f>
        <v>1817.4457281761311</v>
      </c>
      <c r="S22" s="134">
        <f>E22+F22+G22+H22</f>
        <v>2331.5276799525273</v>
      </c>
      <c r="T22" s="134">
        <f>I22+J22</f>
        <v>4049.2939788932454</v>
      </c>
      <c r="U22" s="134">
        <f>K22+L22</f>
        <v>6042.364778292862</v>
      </c>
      <c r="V22" s="134">
        <f>M22+N22</f>
        <v>7167.7801716397116</v>
      </c>
      <c r="W22" s="134">
        <f>O22+P22</f>
        <v>7929.5344511676394</v>
      </c>
      <c r="Y22" s="276">
        <f>W22/$W$124</f>
        <v>4.8852549229666413E-2</v>
      </c>
    </row>
    <row r="23" spans="1:25" hidden="1">
      <c r="A23" s="135"/>
      <c r="B23" s="155"/>
      <c r="C23" s="50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R23" s="134"/>
      <c r="S23" s="134"/>
      <c r="T23" s="134"/>
      <c r="U23" s="134"/>
      <c r="V23" s="134"/>
      <c r="W23" s="134"/>
      <c r="X23" s="134"/>
      <c r="Y23" s="275"/>
    </row>
    <row r="24" spans="1:25" hidden="1">
      <c r="A24" s="516" t="s">
        <v>18</v>
      </c>
      <c r="C24" s="502" t="s">
        <v>199</v>
      </c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R24" s="134"/>
      <c r="S24" s="134"/>
      <c r="T24" s="134"/>
      <c r="U24" s="134"/>
      <c r="V24" s="134"/>
      <c r="W24" s="134"/>
      <c r="Y24" s="275"/>
    </row>
    <row r="25" spans="1:25" hidden="1">
      <c r="A25" s="135" t="s">
        <v>383</v>
      </c>
      <c r="B25" s="247" t="s">
        <v>231</v>
      </c>
      <c r="C25" s="502"/>
      <c r="D25" s="248"/>
      <c r="E25" s="238">
        <f t="shared" ref="E25:P25" si="57">E26/E10</f>
        <v>9.1528138896245587E-2</v>
      </c>
      <c r="F25" s="238">
        <f t="shared" si="57"/>
        <v>8.7039376631209434E-2</v>
      </c>
      <c r="G25" s="238">
        <f t="shared" si="57"/>
        <v>8.2927708326085717E-2</v>
      </c>
      <c r="H25" s="238">
        <f t="shared" si="57"/>
        <v>7.8990835534841153E-2</v>
      </c>
      <c r="I25" s="238">
        <f t="shared" si="57"/>
        <v>0.15021572272697034</v>
      </c>
      <c r="J25" s="238">
        <f t="shared" si="57"/>
        <v>0.14216881362207795</v>
      </c>
      <c r="K25" s="238">
        <f t="shared" si="57"/>
        <v>0.13615461765915327</v>
      </c>
      <c r="L25" s="238">
        <f t="shared" si="57"/>
        <v>0.12883319370539795</v>
      </c>
      <c r="M25" s="238">
        <f t="shared" si="57"/>
        <v>0.12363155589785378</v>
      </c>
      <c r="N25" s="238">
        <f t="shared" si="57"/>
        <v>0.11654048497342567</v>
      </c>
      <c r="O25" s="238">
        <f t="shared" si="57"/>
        <v>0.11005608172797032</v>
      </c>
      <c r="P25" s="238">
        <f t="shared" si="57"/>
        <v>0.10304563729933224</v>
      </c>
      <c r="R25" s="238">
        <f t="shared" ref="R25" si="58">D25</f>
        <v>0</v>
      </c>
      <c r="S25" s="238">
        <f t="shared" ref="S25" si="59">H25</f>
        <v>7.8990835534841153E-2</v>
      </c>
      <c r="T25" s="238">
        <f t="shared" ref="T25" si="60">J25</f>
        <v>0.14216881362207795</v>
      </c>
      <c r="U25" s="238">
        <f t="shared" ref="U25" si="61">L25</f>
        <v>0.12883319370539795</v>
      </c>
      <c r="V25" s="238">
        <f t="shared" ref="V25" si="62">N25</f>
        <v>0.11654048497342567</v>
      </c>
      <c r="W25" s="238">
        <f t="shared" ref="W25" si="63">P25</f>
        <v>0.10304563729933224</v>
      </c>
      <c r="Y25" s="275"/>
    </row>
    <row r="26" spans="1:25" hidden="1">
      <c r="A26" s="135" t="s">
        <v>378</v>
      </c>
      <c r="B26" s="138" t="s">
        <v>230</v>
      </c>
      <c r="C26" s="503" t="s">
        <v>369</v>
      </c>
      <c r="D26" s="136">
        <v>1098025.0655016252</v>
      </c>
      <c r="E26" s="136">
        <f>1265390.29514024/4</f>
        <v>316347.57378506003</v>
      </c>
      <c r="F26" s="136">
        <f>1265390.29514024/4</f>
        <v>316347.57378506003</v>
      </c>
      <c r="G26" s="136">
        <f t="shared" ref="G26:H26" si="64">1265390.29514024/4</f>
        <v>316347.57378506003</v>
      </c>
      <c r="H26" s="136">
        <f t="shared" si="64"/>
        <v>316347.57378506003</v>
      </c>
      <c r="I26" s="136">
        <f>1265291.14780088/2</f>
        <v>632645.57390044001</v>
      </c>
      <c r="J26" s="136">
        <f>1265291.14780088/2</f>
        <v>632645.57390044001</v>
      </c>
      <c r="K26" s="136">
        <v>640656.46451774996</v>
      </c>
      <c r="L26" s="136">
        <v>640656.46451774996</v>
      </c>
      <c r="M26" s="136">
        <v>652859.44479427999</v>
      </c>
      <c r="N26" s="136">
        <v>652859.44479427999</v>
      </c>
      <c r="O26" s="136">
        <v>659743.14934752998</v>
      </c>
      <c r="P26" s="136">
        <v>659743.14934752998</v>
      </c>
      <c r="R26" s="134">
        <f>D26</f>
        <v>1098025.0655016252</v>
      </c>
      <c r="S26" s="134">
        <f>E26+F26+G26+H26</f>
        <v>1265390.2951402401</v>
      </c>
      <c r="T26" s="134">
        <f>I26+J26</f>
        <v>1265291.14780088</v>
      </c>
      <c r="U26" s="134">
        <f>K26+L26</f>
        <v>1281312.9290354999</v>
      </c>
      <c r="V26" s="134">
        <f>M26+N26</f>
        <v>1305718.88958856</v>
      </c>
      <c r="W26" s="134">
        <f>O26+P26</f>
        <v>1319486.29869506</v>
      </c>
      <c r="Y26" s="275"/>
    </row>
    <row r="27" spans="1:25" hidden="1">
      <c r="A27" s="550" t="s">
        <v>471</v>
      </c>
      <c r="B27" s="138" t="s">
        <v>367</v>
      </c>
      <c r="C27" s="503" t="s">
        <v>814</v>
      </c>
      <c r="D27" s="136"/>
      <c r="E27" s="136">
        <f>2120216.51288896/500/4</f>
        <v>1060.10825644448</v>
      </c>
      <c r="F27" s="136">
        <f t="shared" ref="F27:H27" si="65">2120216.51288896/500/4</f>
        <v>1060.10825644448</v>
      </c>
      <c r="G27" s="136">
        <f t="shared" si="65"/>
        <v>1060.10825644448</v>
      </c>
      <c r="H27" s="136">
        <f t="shared" si="65"/>
        <v>1060.10825644448</v>
      </c>
      <c r="I27" s="136">
        <f>2226052.90656702/500/2</f>
        <v>2226.0529065670198</v>
      </c>
      <c r="J27" s="136">
        <f>2226052.90656702/500/2</f>
        <v>2226.0529065670198</v>
      </c>
      <c r="K27" s="136">
        <f>2366952.37582407/500/2</f>
        <v>2366.9523758240703</v>
      </c>
      <c r="L27" s="136">
        <f>2366952.37582407/500/2</f>
        <v>2366.9523758240703</v>
      </c>
      <c r="M27" s="136">
        <f>2532639.04213175/500/2</f>
        <v>2532.6390421317501</v>
      </c>
      <c r="N27" s="136">
        <f>2532639.04213175/500/2</f>
        <v>2532.6390421317501</v>
      </c>
      <c r="O27" s="136">
        <f>2687310.16254222/500/2</f>
        <v>2687.31016254222</v>
      </c>
      <c r="P27" s="136">
        <f>2687310.16254222/500/2</f>
        <v>2687.31016254222</v>
      </c>
      <c r="R27" s="134"/>
      <c r="S27" s="514">
        <f t="shared" ref="S27" si="66">E27+F27+G27+H27</f>
        <v>4240.4330257779202</v>
      </c>
      <c r="T27" s="514">
        <f t="shared" ref="T27" si="67">I27+J27</f>
        <v>4452.1058131340396</v>
      </c>
      <c r="U27" s="514">
        <f t="shared" ref="U27" si="68">K27+L27</f>
        <v>4733.9047516481405</v>
      </c>
      <c r="V27" s="514">
        <f t="shared" ref="V27" si="69">M27+N27</f>
        <v>5065.2780842635002</v>
      </c>
      <c r="W27" s="514">
        <f t="shared" ref="W27" si="70">O27+P27</f>
        <v>5374.6203250844401</v>
      </c>
      <c r="Y27" s="275"/>
    </row>
    <row r="28" spans="1:25" hidden="1">
      <c r="A28" s="550" t="s">
        <v>475</v>
      </c>
      <c r="B28" s="138" t="s">
        <v>367</v>
      </c>
      <c r="C28" s="503" t="s">
        <v>814</v>
      </c>
      <c r="D28" s="136"/>
      <c r="E28" s="136">
        <f>-754108.020657356/500/4</f>
        <v>-377.05401032867803</v>
      </c>
      <c r="F28" s="136">
        <f t="shared" ref="F28:G28" si="71">-754108.020657356/500/4</f>
        <v>-377.05401032867803</v>
      </c>
      <c r="G28" s="136">
        <f t="shared" si="71"/>
        <v>-377.05401032867803</v>
      </c>
      <c r="H28" s="136">
        <f>-754108.020657356/500/4</f>
        <v>-377.05401032867803</v>
      </c>
      <c r="I28" s="136">
        <f>-664573.031479807/500/2</f>
        <v>-664.57303147980701</v>
      </c>
      <c r="J28" s="136">
        <f>-664573.031479807/500/2</f>
        <v>-664.57303147980701</v>
      </c>
      <c r="K28" s="136">
        <f>-645823.790682006/500/2</f>
        <v>-645.82379068200601</v>
      </c>
      <c r="L28" s="136">
        <f>-645823.790682006/500/2</f>
        <v>-645.82379068200601</v>
      </c>
      <c r="M28" s="136">
        <f>-650458.881388264/500/2</f>
        <v>-650.45888138826399</v>
      </c>
      <c r="N28" s="136">
        <f>-650458.881388264/500/2</f>
        <v>-650.45888138826399</v>
      </c>
      <c r="O28" s="136">
        <f>-711365.338718628/500/2</f>
        <v>-711.3653387186281</v>
      </c>
      <c r="P28" s="136">
        <f>-711365.338718628/500/2</f>
        <v>-711.3653387186281</v>
      </c>
      <c r="R28" s="134"/>
      <c r="S28" s="514">
        <f>H28+J28+L28+N28</f>
        <v>-2337.9097138787547</v>
      </c>
      <c r="T28" s="514" t="e">
        <f>P28+#REF!</f>
        <v>#REF!</v>
      </c>
      <c r="U28" s="514" t="e">
        <f>#REF!+#REF!</f>
        <v>#REF!</v>
      </c>
      <c r="V28" s="514" t="e">
        <f>#REF!+#REF!</f>
        <v>#REF!</v>
      </c>
      <c r="W28" s="514" t="e">
        <f>#REF!+#REF!</f>
        <v>#REF!</v>
      </c>
      <c r="Y28" s="275"/>
    </row>
    <row r="29" spans="1:25" hidden="1">
      <c r="A29" s="135" t="s">
        <v>491</v>
      </c>
      <c r="B29" s="138" t="s">
        <v>131</v>
      </c>
      <c r="C29" s="503" t="s">
        <v>370</v>
      </c>
      <c r="D29" s="221">
        <v>3</v>
      </c>
      <c r="E29" s="221">
        <v>3</v>
      </c>
      <c r="F29" s="221">
        <v>3</v>
      </c>
      <c r="G29" s="221">
        <v>3</v>
      </c>
      <c r="H29" s="221">
        <v>3</v>
      </c>
      <c r="I29" s="221">
        <v>3</v>
      </c>
      <c r="J29" s="221">
        <v>3</v>
      </c>
      <c r="K29" s="221">
        <v>3</v>
      </c>
      <c r="L29" s="221">
        <v>3</v>
      </c>
      <c r="M29" s="221">
        <v>3</v>
      </c>
      <c r="N29" s="221">
        <v>3</v>
      </c>
      <c r="O29" s="221">
        <v>3</v>
      </c>
      <c r="P29" s="221">
        <v>3</v>
      </c>
      <c r="R29" s="134">
        <f t="shared" ref="R29" si="72">D29</f>
        <v>3</v>
      </c>
      <c r="S29" s="134">
        <f t="shared" ref="S29" si="73">H29</f>
        <v>3</v>
      </c>
      <c r="T29" s="134">
        <f t="shared" ref="T29" si="74">J29</f>
        <v>3</v>
      </c>
      <c r="U29" s="134">
        <f t="shared" ref="U29" si="75">L29</f>
        <v>3</v>
      </c>
      <c r="V29" s="134">
        <f t="shared" ref="V29" si="76">N29</f>
        <v>3</v>
      </c>
      <c r="W29" s="134">
        <f t="shared" ref="W29" si="77">P29</f>
        <v>3</v>
      </c>
      <c r="Y29" s="275"/>
    </row>
    <row r="30" spans="1:25" hidden="1">
      <c r="A30" s="135" t="s">
        <v>495</v>
      </c>
      <c r="B30" s="138" t="s">
        <v>367</v>
      </c>
      <c r="C30" s="503"/>
      <c r="D30" s="134">
        <f>D26*D29/1000</f>
        <v>3294.0751965048757</v>
      </c>
      <c r="E30" s="134">
        <f>E26*E29/1000*3</f>
        <v>2847.1281640655397</v>
      </c>
      <c r="F30" s="134">
        <f>F26*F29/1000*3</f>
        <v>2847.1281640655397</v>
      </c>
      <c r="G30" s="134">
        <f>G26*G29/1000*3</f>
        <v>2847.1281640655397</v>
      </c>
      <c r="H30" s="134">
        <f>H26*H29/1000*3</f>
        <v>2847.1281640655397</v>
      </c>
      <c r="I30" s="134">
        <f t="shared" ref="I30:P30" si="78">I26*I29/1000</f>
        <v>1897.93672170132</v>
      </c>
      <c r="J30" s="134">
        <f t="shared" si="78"/>
        <v>1897.93672170132</v>
      </c>
      <c r="K30" s="134">
        <f t="shared" si="78"/>
        <v>1921.96939355325</v>
      </c>
      <c r="L30" s="134">
        <f t="shared" si="78"/>
        <v>1921.96939355325</v>
      </c>
      <c r="M30" s="134">
        <f t="shared" si="78"/>
        <v>1958.57833438284</v>
      </c>
      <c r="N30" s="134">
        <f t="shared" si="78"/>
        <v>1958.57833438284</v>
      </c>
      <c r="O30" s="134">
        <f t="shared" si="78"/>
        <v>1979.2294480425899</v>
      </c>
      <c r="P30" s="134">
        <f t="shared" si="78"/>
        <v>1979.2294480425899</v>
      </c>
      <c r="R30" s="134">
        <f>D30</f>
        <v>3294.0751965048757</v>
      </c>
      <c r="S30" s="134">
        <f>E30+F30+G30+H30</f>
        <v>11388.512656262159</v>
      </c>
      <c r="T30" s="134">
        <f>I30+J30</f>
        <v>3795.8734434026401</v>
      </c>
      <c r="U30" s="134">
        <f>K30+L30</f>
        <v>3843.9387871065001</v>
      </c>
      <c r="V30" s="134">
        <f>M30+N30</f>
        <v>3917.15666876568</v>
      </c>
      <c r="W30" s="134">
        <f>O30+P30</f>
        <v>3958.4588960851797</v>
      </c>
      <c r="Y30" s="276">
        <f>W30/$W$124</f>
        <v>2.4387410040968612E-2</v>
      </c>
    </row>
    <row r="31" spans="1:25" hidden="1">
      <c r="C31" s="504"/>
      <c r="D31" s="134"/>
      <c r="E31" s="134"/>
      <c r="F31" s="134"/>
      <c r="G31" s="134"/>
      <c r="H31" s="134"/>
      <c r="I31" s="134"/>
      <c r="J31" s="134"/>
      <c r="K31" s="134"/>
      <c r="L31" s="134"/>
      <c r="M31" s="134"/>
      <c r="N31" s="134"/>
      <c r="O31" s="134"/>
      <c r="P31" s="134"/>
      <c r="Y31" s="275"/>
    </row>
    <row r="32" spans="1:25" hidden="1">
      <c r="A32" s="516" t="s">
        <v>382</v>
      </c>
      <c r="C32" s="502" t="s">
        <v>198</v>
      </c>
      <c r="D32" s="134"/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R32" s="134"/>
      <c r="S32" s="134"/>
      <c r="T32" s="134"/>
      <c r="U32" s="134"/>
      <c r="V32" s="134"/>
      <c r="W32" s="134"/>
      <c r="Y32" s="275"/>
    </row>
    <row r="33" spans="1:25" hidden="1">
      <c r="A33" s="135" t="s">
        <v>495</v>
      </c>
      <c r="B33" s="138" t="s">
        <v>367</v>
      </c>
      <c r="C33" s="505"/>
      <c r="D33" s="134"/>
      <c r="E33" s="134"/>
      <c r="F33" s="134"/>
      <c r="G33" s="134">
        <f>'packages (indiv)'!BT$95</f>
        <v>-719.73812954215862</v>
      </c>
      <c r="H33" s="134">
        <f>'packages (indiv)'!BU$95</f>
        <v>-872.68316040236573</v>
      </c>
      <c r="I33" s="134">
        <f>'packages (indiv)'!BV$95</f>
        <v>-3031.586488799966</v>
      </c>
      <c r="J33" s="134">
        <f>'packages (indiv)'!BW$95</f>
        <v>-3852.4112487417979</v>
      </c>
      <c r="K33" s="134">
        <f>'packages (indiv)'!BX$95</f>
        <v>1263.723572747972</v>
      </c>
      <c r="L33" s="134">
        <f>'packages (indiv)'!BY$95</f>
        <v>2599.2777142419718</v>
      </c>
      <c r="M33" s="134">
        <f>'packages (indiv)'!BZ$95</f>
        <v>9636.2257967529968</v>
      </c>
      <c r="N33" s="134">
        <f>'packages (indiv)'!CA$95</f>
        <v>11479.161286575785</v>
      </c>
      <c r="O33" s="134">
        <f>'packages (indiv)'!CB$95</f>
        <v>18844.870069443667</v>
      </c>
      <c r="P33" s="134">
        <f>'packages (indiv)'!CC$95</f>
        <v>20540.454978791389</v>
      </c>
      <c r="Q33" s="134">
        <f>'packages (indiv)'!CD$95</f>
        <v>0</v>
      </c>
      <c r="R33" s="134"/>
      <c r="S33" s="134"/>
      <c r="T33" s="134">
        <f>I33+J33</f>
        <v>-6883.9977375417639</v>
      </c>
      <c r="U33" s="134">
        <f>K33+L33</f>
        <v>3863.0012869899438</v>
      </c>
      <c r="V33" s="134">
        <f>M33+N33</f>
        <v>21115.38708332878</v>
      </c>
      <c r="W33" s="134">
        <f>O33+P33</f>
        <v>39385.325048235056</v>
      </c>
      <c r="Y33" s="312">
        <f>W33/$W$124</f>
        <v>0.2426464684269066</v>
      </c>
    </row>
    <row r="34" spans="1:25" hidden="1">
      <c r="A34" s="135"/>
      <c r="B34" s="138"/>
      <c r="C34" s="505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R34" s="134"/>
      <c r="S34" s="134"/>
      <c r="T34" s="134"/>
      <c r="U34" s="134"/>
      <c r="V34" s="134"/>
      <c r="W34" s="134"/>
      <c r="Y34" s="275"/>
    </row>
    <row r="35" spans="1:25" hidden="1">
      <c r="A35" s="309" t="s">
        <v>545</v>
      </c>
      <c r="C35" s="502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R35" s="134"/>
      <c r="S35" s="134"/>
      <c r="T35" s="134"/>
      <c r="U35" s="134"/>
      <c r="V35" s="134"/>
      <c r="W35" s="134"/>
      <c r="Y35" s="275"/>
    </row>
    <row r="36" spans="1:25" hidden="1">
      <c r="A36" s="310" t="s">
        <v>495</v>
      </c>
      <c r="B36" s="138"/>
      <c r="C36" s="505"/>
      <c r="D36" s="134"/>
      <c r="E36" s="134">
        <f>'Debit card (indiv)'!BR$95</f>
        <v>0</v>
      </c>
      <c r="F36" s="134">
        <f>'Debit card (indiv)'!BS$95</f>
        <v>0</v>
      </c>
      <c r="G36" s="134">
        <f>'Debit card (indiv)'!BT$95</f>
        <v>-92.821072450378836</v>
      </c>
      <c r="H36" s="134">
        <f>'Debit card (indiv)'!BU$95</f>
        <v>-241.53793947748329</v>
      </c>
      <c r="I36" s="134">
        <f>'Debit card (indiv)'!BV$95</f>
        <v>-690.4422575358883</v>
      </c>
      <c r="J36" s="134">
        <f>'Debit card (indiv)'!BW$95</f>
        <v>-1525.4347586729405</v>
      </c>
      <c r="K36" s="134">
        <f>'Debit card (indiv)'!BX$95</f>
        <v>-297.57002481860286</v>
      </c>
      <c r="L36" s="134">
        <f>'Debit card (indiv)'!BY$95</f>
        <v>-377.23837760544598</v>
      </c>
      <c r="M36" s="134">
        <f>'Debit card (indiv)'!BZ$95</f>
        <v>2469.6682130490199</v>
      </c>
      <c r="N36" s="134">
        <f>'Debit card (indiv)'!CA$95</f>
        <v>3084.8562300236026</v>
      </c>
      <c r="O36" s="134">
        <f>'Debit card (indiv)'!CB$95</f>
        <v>6135.5196727920656</v>
      </c>
      <c r="P36" s="134">
        <f>'Debit card (indiv)'!CC$95</f>
        <v>6979.354282632341</v>
      </c>
      <c r="R36" s="134"/>
      <c r="S36" s="134">
        <f>E36+F36+G36+H36</f>
        <v>-334.35901192786213</v>
      </c>
      <c r="T36" s="134">
        <f>I36+J36</f>
        <v>-2215.8770162088285</v>
      </c>
      <c r="U36" s="134">
        <f>K36+L36</f>
        <v>-674.80840242404884</v>
      </c>
      <c r="V36" s="134">
        <f>M36+N36</f>
        <v>5554.5244430726225</v>
      </c>
      <c r="W36" s="134">
        <f>O36+P36</f>
        <v>13114.873955424406</v>
      </c>
      <c r="Y36" s="276">
        <f>W36/$W$124</f>
        <v>8.0798567620057077E-2</v>
      </c>
    </row>
    <row r="37" spans="1:25" hidden="1">
      <c r="A37" s="135"/>
      <c r="B37" s="138"/>
      <c r="C37" s="505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R37" s="134"/>
      <c r="S37" s="134"/>
      <c r="T37" s="134"/>
      <c r="U37" s="134"/>
      <c r="V37" s="134"/>
      <c r="W37" s="134"/>
      <c r="Y37" s="275"/>
    </row>
    <row r="38" spans="1:25" hidden="1">
      <c r="A38" s="309" t="s">
        <v>542</v>
      </c>
      <c r="C38" s="502" t="s">
        <v>198</v>
      </c>
      <c r="D38" s="134"/>
      <c r="E38" s="205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R38" s="134"/>
      <c r="S38" s="134"/>
      <c r="T38" s="134"/>
      <c r="U38" s="134"/>
      <c r="V38" s="134"/>
      <c r="W38" s="134"/>
      <c r="Y38" s="275"/>
    </row>
    <row r="39" spans="1:25" hidden="1">
      <c r="A39" s="310" t="s">
        <v>495</v>
      </c>
      <c r="B39" s="138" t="s">
        <v>367</v>
      </c>
      <c r="C39" s="503"/>
      <c r="D39" s="248"/>
      <c r="E39" s="134">
        <f>'Micro_30 (indiv)'!BR$73</f>
        <v>0</v>
      </c>
      <c r="F39" s="134">
        <f>'Micro_30 (indiv)'!BS$73</f>
        <v>0</v>
      </c>
      <c r="G39" s="134">
        <f>'Micro_30 (indiv)'!BT$73</f>
        <v>-12.008725413832041</v>
      </c>
      <c r="H39" s="134">
        <f>'Micro_30 (indiv)'!BU$73</f>
        <v>-37.942126689335332</v>
      </c>
      <c r="I39" s="134">
        <f>'Micro_30 (indiv)'!BV$73</f>
        <v>-221.1921438911196</v>
      </c>
      <c r="J39" s="134">
        <f>'Micro_30 (indiv)'!BW$73</f>
        <v>-523.83030125477512</v>
      </c>
      <c r="K39" s="134">
        <f>'Micro_30 (indiv)'!BX$73</f>
        <v>-788.11334213159523</v>
      </c>
      <c r="L39" s="134">
        <f>'Micro_30 (indiv)'!BY$73</f>
        <v>-1165.901428951418</v>
      </c>
      <c r="M39" s="134">
        <f>'Micro_30 (indiv)'!BZ$73</f>
        <v>-1359.0010184560149</v>
      </c>
      <c r="N39" s="134">
        <f>'Micro_30 (indiv)'!CA$73</f>
        <v>-1659.5412196640305</v>
      </c>
      <c r="O39" s="134">
        <f>'Micro_30 (indiv)'!CB$73</f>
        <v>-1711.9759857034092</v>
      </c>
      <c r="P39" s="134">
        <f>'Micro_30 (indiv)'!CC$73</f>
        <v>-1933.8642151619497</v>
      </c>
      <c r="R39" s="134"/>
      <c r="S39" s="134">
        <f>E39+F39+G39+H39</f>
        <v>-49.950852103167371</v>
      </c>
      <c r="T39" s="134">
        <f>I39+J39</f>
        <v>-745.02244514589472</v>
      </c>
      <c r="U39" s="134">
        <f>K39+L39</f>
        <v>-1954.0147710830133</v>
      </c>
      <c r="V39" s="134">
        <f>M39+N39</f>
        <v>-3018.5422381200451</v>
      </c>
      <c r="W39" s="134">
        <f>O39+P39</f>
        <v>-3645.8402008653588</v>
      </c>
      <c r="Y39" s="276">
        <f>W39/$W$124</f>
        <v>-2.2461418005447344E-2</v>
      </c>
    </row>
    <row r="40" spans="1:25" hidden="1">
      <c r="A40" s="135"/>
      <c r="B40" s="138"/>
      <c r="C40" s="504"/>
      <c r="D40" s="134"/>
      <c r="E40" s="134"/>
      <c r="F40" s="134"/>
      <c r="G40" s="134"/>
      <c r="H40" s="134"/>
      <c r="I40" s="134"/>
      <c r="J40" s="134"/>
      <c r="K40" s="134"/>
      <c r="L40" s="134"/>
      <c r="M40" s="134"/>
      <c r="N40" s="134"/>
      <c r="O40" s="134"/>
      <c r="P40" s="134"/>
      <c r="R40" s="134"/>
      <c r="S40" s="134"/>
      <c r="T40" s="134"/>
      <c r="U40" s="134"/>
      <c r="V40" s="134"/>
      <c r="W40" s="134"/>
      <c r="Y40" s="275"/>
    </row>
    <row r="41" spans="1:25" hidden="1">
      <c r="A41" s="309" t="s">
        <v>543</v>
      </c>
      <c r="C41" s="502" t="s">
        <v>198</v>
      </c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R41" s="134"/>
      <c r="S41" s="134"/>
      <c r="T41" s="134"/>
      <c r="U41" s="134"/>
      <c r="V41" s="134"/>
      <c r="W41" s="134"/>
      <c r="Y41" s="275"/>
    </row>
    <row r="42" spans="1:25" hidden="1">
      <c r="A42" s="310" t="s">
        <v>495</v>
      </c>
      <c r="B42" s="138" t="s">
        <v>367</v>
      </c>
      <c r="C42" s="503"/>
      <c r="D42" s="248"/>
      <c r="E42" s="134">
        <f>'Installment card_150 (indiv)'!BR$133</f>
        <v>0</v>
      </c>
      <c r="F42" s="134">
        <f>'Installment card_150 (indiv)'!BS$133</f>
        <v>0</v>
      </c>
      <c r="G42" s="134">
        <f>'Installment card_150 (indiv)'!BT$133</f>
        <v>-2.4993212402231002</v>
      </c>
      <c r="H42" s="134">
        <f>'Installment card_150 (indiv)'!BU$133</f>
        <v>-20.972350625668696</v>
      </c>
      <c r="I42" s="134">
        <f>'Installment card_150 (indiv)'!BV$133</f>
        <v>-420.11765548824974</v>
      </c>
      <c r="J42" s="134">
        <f>'Installment card_150 (indiv)'!BW$133</f>
        <v>-1090.1331655750421</v>
      </c>
      <c r="K42" s="134">
        <f>'Installment card_150 (indiv)'!BX$133</f>
        <v>-1808.2951987687914</v>
      </c>
      <c r="L42" s="134">
        <f>'Installment card_150 (indiv)'!BY$133</f>
        <v>-2547.1332609948599</v>
      </c>
      <c r="M42" s="134">
        <f>'Installment card_150 (indiv)'!BZ$133</f>
        <v>-3081.5298991328227</v>
      </c>
      <c r="N42" s="134">
        <f>'Installment card_150 (indiv)'!CA$133</f>
        <v>-3489.461286893662</v>
      </c>
      <c r="O42" s="134">
        <f>'Installment card_150 (indiv)'!CB$133</f>
        <v>-3636.7690465598794</v>
      </c>
      <c r="P42" s="134">
        <f>'Installment card_150 (indiv)'!CC$133</f>
        <v>-3700.8174514156303</v>
      </c>
      <c r="R42" s="134"/>
      <c r="S42" s="134">
        <f>E42+F42+G42+H42</f>
        <v>-23.471671865891796</v>
      </c>
      <c r="T42" s="134">
        <f>I42+J42</f>
        <v>-1510.2508210632918</v>
      </c>
      <c r="U42" s="134">
        <f>K42+L42</f>
        <v>-4355.4284597636515</v>
      </c>
      <c r="V42" s="134">
        <f>M42+N42</f>
        <v>-6570.9911860264847</v>
      </c>
      <c r="W42" s="134">
        <f>O42+P42</f>
        <v>-7337.5864979755097</v>
      </c>
      <c r="Y42" s="276">
        <f>W42/$W$124</f>
        <v>-4.5205655871322969E-2</v>
      </c>
    </row>
    <row r="43" spans="1:25" hidden="1">
      <c r="A43" s="311"/>
      <c r="C43" s="502"/>
      <c r="D43" s="248"/>
      <c r="E43" s="238"/>
      <c r="F43" s="238"/>
      <c r="G43" s="238"/>
      <c r="Y43" s="275"/>
    </row>
    <row r="44" spans="1:25" hidden="1">
      <c r="A44" s="309" t="s">
        <v>544</v>
      </c>
      <c r="C44" s="502" t="s">
        <v>198</v>
      </c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R44" s="134"/>
      <c r="S44" s="134"/>
      <c r="T44" s="134"/>
      <c r="U44" s="134"/>
      <c r="V44" s="134"/>
      <c r="W44" s="134"/>
      <c r="Y44" s="275"/>
    </row>
    <row r="45" spans="1:25" hidden="1">
      <c r="A45" s="310" t="s">
        <v>495</v>
      </c>
      <c r="B45" s="138" t="s">
        <v>367</v>
      </c>
      <c r="C45" s="503"/>
      <c r="D45" s="248"/>
      <c r="E45" s="134">
        <f>'Installment card_1000 (indiv)'!BR$133</f>
        <v>0</v>
      </c>
      <c r="F45" s="134">
        <f>'Installment card_1000 (indiv)'!BS$133</f>
        <v>0</v>
      </c>
      <c r="G45" s="134">
        <f>'Installment card_1000 (indiv)'!BT$133</f>
        <v>0</v>
      </c>
      <c r="H45" s="134">
        <f>'Installment card_1000 (indiv)'!BU$133</f>
        <v>0</v>
      </c>
      <c r="I45" s="134">
        <f>'Installment card_1000 (indiv)'!BV$133</f>
        <v>0</v>
      </c>
      <c r="J45" s="134">
        <f>'Installment card_1000 (indiv)'!BW$133</f>
        <v>-783.23181976260355</v>
      </c>
      <c r="K45" s="134">
        <f>'Installment card_1000 (indiv)'!BX$133</f>
        <v>-2033.7015667743165</v>
      </c>
      <c r="L45" s="134">
        <f>'Installment card_1000 (indiv)'!BY$133</f>
        <v>-3415.5142435744656</v>
      </c>
      <c r="M45" s="134">
        <f>'Installment card_1000 (indiv)'!BZ$133</f>
        <v>-4311.3979988428864</v>
      </c>
      <c r="N45" s="134">
        <f>'Installment card_1000 (indiv)'!CA$133</f>
        <v>-5190.5991577914801</v>
      </c>
      <c r="O45" s="134">
        <f>'Installment card_1000 (indiv)'!CB$133</f>
        <v>-5458.3565567570849</v>
      </c>
      <c r="P45" s="134">
        <f>'Installment card_1000 (indiv)'!CC$133</f>
        <v>-5836.9681517467079</v>
      </c>
      <c r="R45" s="134"/>
      <c r="S45" s="134">
        <f>E45+F45+G45+H45</f>
        <v>0</v>
      </c>
      <c r="T45" s="134">
        <f>I45+J45</f>
        <v>-783.23181976260355</v>
      </c>
      <c r="U45" s="134">
        <f>K45+L45</f>
        <v>-5449.2158103487818</v>
      </c>
      <c r="V45" s="134">
        <f>M45+N45</f>
        <v>-9501.9971566343665</v>
      </c>
      <c r="W45" s="134">
        <f>O45+P45</f>
        <v>-11295.324708503793</v>
      </c>
      <c r="Y45" s="276">
        <f>W45/$W$124</f>
        <v>-6.9588625887865907E-2</v>
      </c>
    </row>
    <row r="46" spans="1:25" hidden="1">
      <c r="A46" s="310"/>
      <c r="B46" s="138"/>
      <c r="C46" s="503"/>
      <c r="D46" s="248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R46" s="134"/>
      <c r="S46" s="134"/>
      <c r="T46" s="134"/>
      <c r="U46" s="134"/>
      <c r="V46" s="134"/>
      <c r="W46" s="134"/>
      <c r="Y46" s="276"/>
    </row>
    <row r="47" spans="1:25" hidden="1">
      <c r="A47" s="516" t="s">
        <v>371</v>
      </c>
      <c r="C47" s="502" t="s">
        <v>198</v>
      </c>
      <c r="D47" s="134"/>
      <c r="E47" s="134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R47" s="134"/>
      <c r="S47" s="134"/>
      <c r="T47" s="134"/>
      <c r="U47" s="134"/>
      <c r="V47" s="134"/>
      <c r="W47" s="134"/>
      <c r="Y47" s="275"/>
    </row>
    <row r="48" spans="1:25" hidden="1">
      <c r="A48" s="135" t="s">
        <v>383</v>
      </c>
      <c r="B48" s="247" t="s">
        <v>231</v>
      </c>
      <c r="C48" s="502"/>
      <c r="D48" s="248"/>
      <c r="E48" s="248"/>
      <c r="F48" s="248"/>
      <c r="G48" s="238">
        <f t="shared" ref="G48:P48" si="79">G49/G10</f>
        <v>9.9999999999999985E-3</v>
      </c>
      <c r="H48" s="238">
        <f t="shared" si="79"/>
        <v>1.19395E-2</v>
      </c>
      <c r="I48" s="238">
        <f t="shared" si="79"/>
        <v>1.4312880000000002E-2</v>
      </c>
      <c r="J48" s="238">
        <f t="shared" si="79"/>
        <v>1.7154547200000002E-2</v>
      </c>
      <c r="K48" s="238">
        <f t="shared" si="79"/>
        <v>2.3650043903999999E-2</v>
      </c>
      <c r="L48" s="238">
        <f t="shared" si="79"/>
        <v>3.248139239424E-2</v>
      </c>
      <c r="M48" s="238">
        <f t="shared" si="79"/>
        <v>4.4775909900287986E-2</v>
      </c>
      <c r="N48" s="238">
        <f t="shared" si="79"/>
        <v>6.1744284795174895E-2</v>
      </c>
      <c r="O48" s="238">
        <f t="shared" si="79"/>
        <v>6.2466378686326693E-2</v>
      </c>
      <c r="P48" s="238">
        <f t="shared" si="79"/>
        <v>6.3472623005398257E-2</v>
      </c>
      <c r="R48" s="134"/>
      <c r="S48" s="238">
        <f t="shared" ref="S48:S49" si="80">H48</f>
        <v>1.19395E-2</v>
      </c>
      <c r="T48" s="238">
        <f t="shared" ref="T48:T49" si="81">J48</f>
        <v>1.7154547200000002E-2</v>
      </c>
      <c r="U48" s="238">
        <f t="shared" ref="U48:U49" si="82">L48</f>
        <v>3.248139239424E-2</v>
      </c>
      <c r="V48" s="238">
        <f t="shared" ref="V48:V49" si="83">N48</f>
        <v>6.1744284795174895E-2</v>
      </c>
      <c r="W48" s="238">
        <f t="shared" ref="W48:W49" si="84">P48</f>
        <v>6.3472623005398257E-2</v>
      </c>
      <c r="Y48" s="275"/>
    </row>
    <row r="49" spans="1:25" hidden="1">
      <c r="A49" s="135" t="s">
        <v>377</v>
      </c>
      <c r="B49" s="138" t="s">
        <v>230</v>
      </c>
      <c r="C49" s="502"/>
      <c r="D49" s="248"/>
      <c r="E49" s="248"/>
      <c r="F49" s="248"/>
      <c r="G49" s="134">
        <f>'Deposits (indiv)'!G11</f>
        <v>38147.391284602738</v>
      </c>
      <c r="H49" s="134">
        <f>'Deposits (indiv)'!H11</f>
        <v>47816.076784512006</v>
      </c>
      <c r="I49" s="134">
        <f>'Deposits (indiv)'!I11</f>
        <v>60279.842997702144</v>
      </c>
      <c r="J49" s="134">
        <f>'Deposits (indiv)'!J11</f>
        <v>76337.0536888325</v>
      </c>
      <c r="K49" s="134">
        <f>'Deposits (indiv)'!K11</f>
        <v>111281.96585411667</v>
      </c>
      <c r="L49" s="134">
        <f>'Deposits (indiv)'!L11</f>
        <v>161522.14670306386</v>
      </c>
      <c r="M49" s="134">
        <f>'Deposits (indiv)'!M11</f>
        <v>236447.52721394965</v>
      </c>
      <c r="N49" s="134">
        <f>'Deposits (indiv)'!N11</f>
        <v>345891.29691531329</v>
      </c>
      <c r="O49" s="134">
        <f>'Deposits (indiv)'!O11</f>
        <v>374461.49958997482</v>
      </c>
      <c r="P49" s="134">
        <f>'Deposits (indiv)'!P11</f>
        <v>406379.43824140233</v>
      </c>
      <c r="R49" s="134"/>
      <c r="S49" s="134">
        <f t="shared" si="80"/>
        <v>47816.076784512006</v>
      </c>
      <c r="T49" s="134">
        <f t="shared" si="81"/>
        <v>76337.0536888325</v>
      </c>
      <c r="U49" s="134">
        <f t="shared" si="82"/>
        <v>161522.14670306386</v>
      </c>
      <c r="V49" s="134">
        <f t="shared" si="83"/>
        <v>345891.29691531329</v>
      </c>
      <c r="W49" s="134">
        <f t="shared" si="84"/>
        <v>406379.43824140233</v>
      </c>
      <c r="Y49" s="275"/>
    </row>
    <row r="50" spans="1:25" hidden="1">
      <c r="A50" s="135" t="s">
        <v>376</v>
      </c>
      <c r="B50" s="138" t="s">
        <v>367</v>
      </c>
      <c r="C50" s="503"/>
      <c r="D50" s="248"/>
      <c r="E50" s="248"/>
      <c r="F50" s="248"/>
      <c r="G50" s="134">
        <f>'Deposits (indiv)'!G15</f>
        <v>23475.904596544522</v>
      </c>
      <c r="H50" s="134">
        <f>'Deposits (indiv)'!H15</f>
        <v>26455.908536357383</v>
      </c>
      <c r="I50" s="134">
        <f>'Deposits (indiv)'!I15</f>
        <v>33366.954961843257</v>
      </c>
      <c r="J50" s="134">
        <f>'Deposits (indiv)'!J15</f>
        <v>42409.835195319778</v>
      </c>
      <c r="K50" s="134">
        <f>'Deposits (indiv)'!K15</f>
        <v>79792.834490834066</v>
      </c>
      <c r="L50" s="134">
        <f>'Deposits (indiv)'!L15</f>
        <v>137388.13117442612</v>
      </c>
      <c r="M50" s="134">
        <f>'Deposits (indiv)'!M15</f>
        <v>202314.68265898048</v>
      </c>
      <c r="N50" s="134">
        <f>'Deposits (indiv)'!N15</f>
        <v>297559.6946139647</v>
      </c>
      <c r="O50" s="134">
        <f>'Deposits (indiv)'!O15</f>
        <v>374250.852913649</v>
      </c>
      <c r="P50" s="134">
        <f>'Deposits (indiv)'!P15</f>
        <v>414860.43598815822</v>
      </c>
      <c r="R50" s="134"/>
      <c r="S50" s="134">
        <f t="shared" ref="S50" si="85">H50</f>
        <v>26455.908536357383</v>
      </c>
      <c r="T50" s="134">
        <f t="shared" ref="T50" si="86">J50</f>
        <v>42409.835195319778</v>
      </c>
      <c r="U50" s="134">
        <f t="shared" ref="U50" si="87">L50</f>
        <v>137388.13117442612</v>
      </c>
      <c r="V50" s="134">
        <f t="shared" ref="V50" si="88">N50</f>
        <v>297559.6946139647</v>
      </c>
      <c r="W50" s="313">
        <f t="shared" ref="W50" si="89">P50</f>
        <v>414860.43598815822</v>
      </c>
      <c r="Y50" s="275"/>
    </row>
    <row r="51" spans="1:25" hidden="1">
      <c r="A51" s="135" t="s">
        <v>494</v>
      </c>
      <c r="B51" s="138" t="s">
        <v>390</v>
      </c>
      <c r="C51" s="503"/>
      <c r="D51" s="248"/>
      <c r="E51" s="248"/>
      <c r="F51" s="248"/>
      <c r="G51" s="238">
        <f>'Deposits (indiv)'!G23</f>
        <v>1.2000000000000014E-2</v>
      </c>
      <c r="H51" s="238">
        <f>'Deposits (indiv)'!H23</f>
        <v>1.8197753708912304E-2</v>
      </c>
      <c r="I51" s="238">
        <f>'Deposits (indiv)'!I23</f>
        <v>1.9057500454526161E-2</v>
      </c>
      <c r="J51" s="238">
        <f>'Deposits (indiv)'!J23</f>
        <v>1.9035725986812121E-2</v>
      </c>
      <c r="K51" s="238">
        <f>'Deposits (indiv)'!K23</f>
        <v>7.1527913185299857E-3</v>
      </c>
      <c r="L51" s="238">
        <f>'Deposits (indiv)'!L23</f>
        <v>8.868657896104375E-3</v>
      </c>
      <c r="M51" s="238">
        <f>'Deposits (indiv)'!M23</f>
        <v>3.9273575742411531E-3</v>
      </c>
      <c r="N51" s="238">
        <f>'Deposits (indiv)'!N23</f>
        <v>3.9525703788897172E-3</v>
      </c>
      <c r="O51" s="238">
        <f>'Deposits (indiv)'!O23</f>
        <v>5.0291309419004436E-3</v>
      </c>
      <c r="P51" s="238">
        <f>'Deposits (indiv)'!P23</f>
        <v>5.2048509767117614E-3</v>
      </c>
      <c r="R51" s="134"/>
      <c r="S51" s="238">
        <f>'Deposits (indiv)'!S23</f>
        <v>7.6419111881379899E-3</v>
      </c>
      <c r="T51" s="238">
        <f>'Deposits (indiv)'!T23</f>
        <v>1.9045313984430202E-2</v>
      </c>
      <c r="U51" s="238">
        <f>'Deposits (indiv)'!U23</f>
        <v>8.2382441882853773E-3</v>
      </c>
      <c r="V51" s="238">
        <f>'Deposits (indiv)'!V23</f>
        <v>3.9423659739365258E-3</v>
      </c>
      <c r="W51" s="238">
        <f>'Deposits (indiv)'!W23</f>
        <v>5.1215124491465636E-3</v>
      </c>
      <c r="X51" s="238"/>
      <c r="Y51" s="275"/>
    </row>
    <row r="52" spans="1:25" hidden="1">
      <c r="A52" s="135" t="s">
        <v>495</v>
      </c>
      <c r="B52" s="138" t="s">
        <v>367</v>
      </c>
      <c r="C52" s="504"/>
      <c r="D52" s="248"/>
      <c r="E52" s="248"/>
      <c r="F52" s="248"/>
      <c r="G52" s="134">
        <f>'Deposits (indiv)'!G24</f>
        <v>70.427713789633657</v>
      </c>
      <c r="H52" s="134">
        <f>'Deposits (indiv)'!H24</f>
        <v>120.35952692253558</v>
      </c>
      <c r="I52" s="134">
        <f>'Deposits (indiv)'!I24</f>
        <v>317.94537967574098</v>
      </c>
      <c r="J52" s="134">
        <f>'Deposits (indiv)'!J24</f>
        <v>403.65100096198404</v>
      </c>
      <c r="K52" s="134">
        <f>'Deposits (indiv)'!K24</f>
        <v>285.37074691346896</v>
      </c>
      <c r="L52" s="134">
        <f>'Deposits (indiv)'!L24</f>
        <v>609.22416718554894</v>
      </c>
      <c r="M52" s="134">
        <f>'Deposits (indiv)'!M24</f>
        <v>397.28105066047112</v>
      </c>
      <c r="N52" s="134">
        <f>'Deposits (indiv)'!N24</f>
        <v>588.06281744131343</v>
      </c>
      <c r="O52" s="134">
        <f>'Deposits (indiv)'!O24</f>
        <v>941.07827221033199</v>
      </c>
      <c r="P52" s="134">
        <f>'Deposits (indiv)'!P24</f>
        <v>1079.6433727260162</v>
      </c>
      <c r="R52" s="134"/>
      <c r="S52" s="134">
        <f>E52+F52+G52+H52</f>
        <v>190.78724071216925</v>
      </c>
      <c r="T52" s="134">
        <f>I52+J52</f>
        <v>721.59638063772502</v>
      </c>
      <c r="U52" s="134">
        <f>K52+L52</f>
        <v>894.59491409901784</v>
      </c>
      <c r="V52" s="134">
        <f>M52+N52</f>
        <v>985.34386810178455</v>
      </c>
      <c r="W52" s="134">
        <f>O52+P52</f>
        <v>2020.7216449363482</v>
      </c>
      <c r="Y52" s="276">
        <f>W52/$W$124</f>
        <v>1.2449331577614764E-2</v>
      </c>
    </row>
    <row r="53" spans="1:25" hidden="1">
      <c r="A53" s="143"/>
      <c r="B53" s="155"/>
      <c r="C53" s="505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43"/>
      <c r="R53" s="205"/>
      <c r="S53" s="205"/>
      <c r="T53" s="205"/>
      <c r="U53" s="205"/>
      <c r="V53" s="205"/>
      <c r="W53" s="240"/>
      <c r="Y53" s="275"/>
    </row>
    <row r="54" spans="1:25" hidden="1">
      <c r="A54" s="516" t="s">
        <v>853</v>
      </c>
      <c r="C54" s="502" t="s">
        <v>199</v>
      </c>
      <c r="D54" s="134"/>
      <c r="E54" s="134"/>
      <c r="F54" s="238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R54" s="134"/>
      <c r="S54" s="134"/>
      <c r="T54" s="134"/>
      <c r="U54" s="134"/>
      <c r="V54" s="134"/>
      <c r="W54" s="134"/>
      <c r="Y54" s="275"/>
    </row>
    <row r="55" spans="1:25" hidden="1">
      <c r="A55" s="135" t="s">
        <v>495</v>
      </c>
      <c r="B55" s="138" t="s">
        <v>367</v>
      </c>
      <c r="C55" s="503"/>
      <c r="D55" s="248"/>
      <c r="E55" s="134">
        <f>'CashCredit_dossym (indiv)'!BR$61</f>
        <v>0</v>
      </c>
      <c r="F55" s="134">
        <f>'CashCredit_dossym (indiv)'!BS$61</f>
        <v>0</v>
      </c>
      <c r="G55" s="134">
        <f>'CashCredit_dossym (indiv)'!BT$61</f>
        <v>-30.575732013405506</v>
      </c>
      <c r="H55" s="134">
        <f>'CashCredit_dossym (indiv)'!BU$61</f>
        <v>-79.240873336980101</v>
      </c>
      <c r="I55" s="134">
        <f>'CashCredit_dossym (indiv)'!BV$61</f>
        <v>429.49411850883325</v>
      </c>
      <c r="J55" s="134">
        <f>'CashCredit_dossym (indiv)'!BW$61</f>
        <v>1818.9046429740097</v>
      </c>
      <c r="K55" s="134">
        <f>'CashCredit_dossym (indiv)'!BX$61</f>
        <v>1238.0982465646266</v>
      </c>
      <c r="L55" s="134">
        <f>'CashCredit_dossym (indiv)'!BY$61</f>
        <v>4019.1344834312004</v>
      </c>
      <c r="M55" s="134">
        <f>'CashCredit_dossym (indiv)'!BZ$61</f>
        <v>2365.5461031588629</v>
      </c>
      <c r="N55" s="134">
        <f>'CashCredit_dossym (indiv)'!CA$61</f>
        <v>6906.6061292526856</v>
      </c>
      <c r="O55" s="134">
        <f>'CashCredit_dossym (indiv)'!CB$61</f>
        <v>3586.1216182853668</v>
      </c>
      <c r="P55" s="134">
        <f>'CashCredit_dossym (indiv)'!CC$61</f>
        <v>9549.748487589799</v>
      </c>
      <c r="R55" s="134"/>
      <c r="S55" s="134">
        <f>E55+F55+G55+H55</f>
        <v>-109.8166053503856</v>
      </c>
      <c r="T55" s="134">
        <f>I55+J55</f>
        <v>2248.3987614828429</v>
      </c>
      <c r="U55" s="134">
        <f>K55+L55</f>
        <v>5257.232729995827</v>
      </c>
      <c r="V55" s="134">
        <f>M55+N55</f>
        <v>9272.1522324115485</v>
      </c>
      <c r="W55" s="134">
        <f>O55+P55</f>
        <v>13135.870105875165</v>
      </c>
      <c r="Y55" s="276">
        <f>W55/$W$124</f>
        <v>8.0927921427628738E-2</v>
      </c>
    </row>
    <row r="56" spans="1:25" hidden="1">
      <c r="C56" s="502"/>
      <c r="Y56" s="275"/>
    </row>
    <row r="57" spans="1:25" hidden="1">
      <c r="A57" s="501" t="s">
        <v>795</v>
      </c>
      <c r="C57" s="502" t="s">
        <v>199</v>
      </c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R57" s="134"/>
      <c r="S57" s="134"/>
      <c r="T57" s="134"/>
      <c r="U57" s="134"/>
      <c r="V57" s="134"/>
      <c r="W57" s="134"/>
      <c r="Y57" s="275"/>
    </row>
    <row r="58" spans="1:25" hidden="1">
      <c r="A58" s="135" t="s">
        <v>383</v>
      </c>
      <c r="B58" s="247" t="s">
        <v>231</v>
      </c>
      <c r="C58" s="502"/>
      <c r="D58" s="248"/>
      <c r="E58" s="238"/>
      <c r="F58" s="238"/>
      <c r="G58" s="238"/>
      <c r="H58" s="238"/>
      <c r="I58" s="238">
        <v>0.01</v>
      </c>
      <c r="J58" s="238">
        <f>I58*(1+30%)</f>
        <v>1.3000000000000001E-2</v>
      </c>
      <c r="K58" s="238">
        <f t="shared" ref="K58:P58" si="90">J58*(1+30%)</f>
        <v>1.6900000000000002E-2</v>
      </c>
      <c r="L58" s="238">
        <f t="shared" si="90"/>
        <v>2.1970000000000003E-2</v>
      </c>
      <c r="M58" s="238">
        <f t="shared" si="90"/>
        <v>2.8561000000000007E-2</v>
      </c>
      <c r="N58" s="238">
        <f t="shared" si="90"/>
        <v>3.7129300000000011E-2</v>
      </c>
      <c r="O58" s="238">
        <f t="shared" si="90"/>
        <v>4.8268090000000013E-2</v>
      </c>
      <c r="P58" s="238">
        <f t="shared" si="90"/>
        <v>6.2748517000000018E-2</v>
      </c>
      <c r="R58" s="205"/>
      <c r="S58" s="238">
        <f t="shared" ref="S58:S62" si="91">H58</f>
        <v>0</v>
      </c>
      <c r="T58" s="238">
        <f t="shared" ref="T58:T62" si="92">J58</f>
        <v>1.3000000000000001E-2</v>
      </c>
      <c r="U58" s="238">
        <f t="shared" ref="U58:U62" si="93">L58</f>
        <v>2.1970000000000003E-2</v>
      </c>
      <c r="V58" s="238">
        <f t="shared" ref="V58:V62" si="94">N58</f>
        <v>3.7129300000000011E-2</v>
      </c>
      <c r="W58" s="238">
        <f t="shared" ref="W58:W62" si="95">P58</f>
        <v>6.2748517000000018E-2</v>
      </c>
      <c r="Y58" s="275"/>
    </row>
    <row r="59" spans="1:25" hidden="1">
      <c r="A59" s="135" t="s">
        <v>379</v>
      </c>
      <c r="B59" s="138" t="s">
        <v>230</v>
      </c>
      <c r="C59" s="502"/>
      <c r="D59" s="248"/>
      <c r="E59" s="238"/>
      <c r="F59" s="238"/>
      <c r="G59" s="238"/>
      <c r="H59" s="238"/>
      <c r="I59" s="134">
        <f t="shared" ref="I59:P59" si="96">I58*I10</f>
        <v>42115.802687999996</v>
      </c>
      <c r="J59" s="134">
        <f t="shared" si="96"/>
        <v>57849.483660800011</v>
      </c>
      <c r="K59" s="134">
        <f t="shared" si="96"/>
        <v>79520.580620000022</v>
      </c>
      <c r="L59" s="134">
        <f t="shared" si="96"/>
        <v>109251.52222524802</v>
      </c>
      <c r="M59" s="134">
        <f t="shared" si="96"/>
        <v>150821.67709816172</v>
      </c>
      <c r="N59" s="134">
        <f t="shared" si="96"/>
        <v>207998.22644575129</v>
      </c>
      <c r="O59" s="134">
        <f t="shared" si="96"/>
        <v>289348.31414679432</v>
      </c>
      <c r="P59" s="134">
        <f t="shared" si="96"/>
        <v>401743.39552301751</v>
      </c>
      <c r="R59" s="134"/>
      <c r="S59" s="134">
        <f t="shared" si="91"/>
        <v>0</v>
      </c>
      <c r="T59" s="134">
        <f t="shared" si="92"/>
        <v>57849.483660800011</v>
      </c>
      <c r="U59" s="134">
        <f t="shared" si="93"/>
        <v>109251.52222524802</v>
      </c>
      <c r="V59" s="134">
        <f t="shared" si="94"/>
        <v>207998.22644575129</v>
      </c>
      <c r="W59" s="134">
        <f t="shared" si="95"/>
        <v>401743.39552301751</v>
      </c>
      <c r="Y59" s="275"/>
    </row>
    <row r="60" spans="1:25" hidden="1">
      <c r="A60" s="140" t="s">
        <v>388</v>
      </c>
      <c r="B60" s="247" t="s">
        <v>231</v>
      </c>
      <c r="C60" s="502"/>
      <c r="D60" s="248"/>
      <c r="E60" s="238"/>
      <c r="F60" s="238"/>
      <c r="G60" s="238"/>
      <c r="H60" s="238"/>
      <c r="I60" s="237">
        <v>0.7</v>
      </c>
      <c r="J60" s="237">
        <v>0.7</v>
      </c>
      <c r="K60" s="237">
        <v>0.7</v>
      </c>
      <c r="L60" s="237">
        <v>0.7</v>
      </c>
      <c r="M60" s="237">
        <v>0.7</v>
      </c>
      <c r="N60" s="237">
        <v>0.7</v>
      </c>
      <c r="O60" s="237">
        <v>0.7</v>
      </c>
      <c r="P60" s="237">
        <v>0.7</v>
      </c>
      <c r="R60" s="205"/>
      <c r="S60" s="205">
        <f t="shared" si="91"/>
        <v>0</v>
      </c>
      <c r="T60" s="205">
        <f t="shared" si="92"/>
        <v>0.7</v>
      </c>
      <c r="U60" s="205">
        <f t="shared" si="93"/>
        <v>0.7</v>
      </c>
      <c r="V60" s="205">
        <f t="shared" si="94"/>
        <v>0.7</v>
      </c>
      <c r="W60" s="205">
        <f t="shared" si="95"/>
        <v>0.7</v>
      </c>
      <c r="Y60" s="275"/>
    </row>
    <row r="61" spans="1:25" hidden="1">
      <c r="A61" s="140" t="s">
        <v>389</v>
      </c>
      <c r="B61" s="138" t="s">
        <v>245</v>
      </c>
      <c r="C61" s="502"/>
      <c r="D61" s="248"/>
      <c r="E61" s="238"/>
      <c r="F61" s="238"/>
      <c r="G61" s="238"/>
      <c r="H61" s="238"/>
      <c r="I61" s="134">
        <f t="shared" ref="I61:O61" si="97">I59*I60</f>
        <v>29481.061881599995</v>
      </c>
      <c r="J61" s="134">
        <f>J59*J60</f>
        <v>40494.638562560009</v>
      </c>
      <c r="K61" s="134">
        <f t="shared" si="97"/>
        <v>55664.406434000011</v>
      </c>
      <c r="L61" s="134">
        <f t="shared" si="97"/>
        <v>76476.065557673603</v>
      </c>
      <c r="M61" s="134">
        <f t="shared" si="97"/>
        <v>105575.17396871319</v>
      </c>
      <c r="N61" s="134">
        <f t="shared" si="97"/>
        <v>145598.7585120259</v>
      </c>
      <c r="O61" s="134">
        <f t="shared" si="97"/>
        <v>202543.81990275602</v>
      </c>
      <c r="P61" s="134">
        <f>P59*P60</f>
        <v>281220.37686611223</v>
      </c>
      <c r="R61" s="134"/>
      <c r="S61" s="134">
        <f t="shared" si="91"/>
        <v>0</v>
      </c>
      <c r="T61" s="134">
        <f t="shared" si="92"/>
        <v>40494.638562560009</v>
      </c>
      <c r="U61" s="134">
        <f t="shared" si="93"/>
        <v>76476.065557673603</v>
      </c>
      <c r="V61" s="134">
        <f t="shared" si="94"/>
        <v>145598.7585120259</v>
      </c>
      <c r="W61" s="134">
        <f t="shared" si="95"/>
        <v>281220.37686611223</v>
      </c>
      <c r="Y61" s="275"/>
    </row>
    <row r="62" spans="1:25" hidden="1">
      <c r="A62" s="135" t="s">
        <v>492</v>
      </c>
      <c r="B62" s="138" t="s">
        <v>131</v>
      </c>
      <c r="C62" s="503"/>
      <c r="D62" s="248"/>
      <c r="E62" s="238"/>
      <c r="F62" s="238"/>
      <c r="G62" s="238"/>
      <c r="H62" s="238"/>
      <c r="I62" s="221">
        <v>3</v>
      </c>
      <c r="J62" s="221">
        <v>3</v>
      </c>
      <c r="K62" s="221">
        <v>3</v>
      </c>
      <c r="L62" s="221">
        <v>3</v>
      </c>
      <c r="M62" s="221">
        <v>3</v>
      </c>
      <c r="N62" s="221">
        <v>3</v>
      </c>
      <c r="O62" s="221">
        <v>3</v>
      </c>
      <c r="P62" s="221">
        <v>3</v>
      </c>
      <c r="R62" s="134"/>
      <c r="S62" s="134">
        <f t="shared" si="91"/>
        <v>0</v>
      </c>
      <c r="T62" s="134">
        <f t="shared" si="92"/>
        <v>3</v>
      </c>
      <c r="U62" s="134">
        <f t="shared" si="93"/>
        <v>3</v>
      </c>
      <c r="V62" s="134">
        <f t="shared" si="94"/>
        <v>3</v>
      </c>
      <c r="W62" s="134">
        <f t="shared" si="95"/>
        <v>3</v>
      </c>
      <c r="Y62" s="275"/>
    </row>
    <row r="63" spans="1:25" hidden="1">
      <c r="A63" s="135" t="s">
        <v>495</v>
      </c>
      <c r="B63" s="138" t="s">
        <v>367</v>
      </c>
      <c r="C63" s="503"/>
      <c r="D63" s="248"/>
      <c r="E63" s="238"/>
      <c r="F63" s="238"/>
      <c r="G63" s="238"/>
      <c r="H63" s="238"/>
      <c r="I63" s="134">
        <f>I61*I62/1000*6</f>
        <v>530.65911386879986</v>
      </c>
      <c r="J63" s="134">
        <f t="shared" ref="J63:P63" si="98">J61*J62/1000*6</f>
        <v>728.9034941260802</v>
      </c>
      <c r="K63" s="134">
        <f t="shared" si="98"/>
        <v>1001.9593158120001</v>
      </c>
      <c r="L63" s="134">
        <f t="shared" si="98"/>
        <v>1376.5691800381248</v>
      </c>
      <c r="M63" s="134">
        <f t="shared" si="98"/>
        <v>1900.3531314368372</v>
      </c>
      <c r="N63" s="134">
        <f t="shared" si="98"/>
        <v>2620.7776532164662</v>
      </c>
      <c r="O63" s="134">
        <f t="shared" si="98"/>
        <v>3645.7887582496082</v>
      </c>
      <c r="P63" s="134">
        <f t="shared" si="98"/>
        <v>5061.96678359002</v>
      </c>
      <c r="R63" s="134"/>
      <c r="S63" s="134">
        <f>E63+F63+G63+H63</f>
        <v>0</v>
      </c>
      <c r="T63" s="134">
        <f>I63+J63</f>
        <v>1259.5626079948802</v>
      </c>
      <c r="U63" s="134">
        <f>K63+L63</f>
        <v>2378.5284958501252</v>
      </c>
      <c r="V63" s="134">
        <f>M63+N63</f>
        <v>4521.1307846533036</v>
      </c>
      <c r="W63" s="134">
        <f>O63+P63</f>
        <v>8707.7555418396278</v>
      </c>
      <c r="Y63" s="276">
        <f>W63/$W$124</f>
        <v>5.3647040555449076E-2</v>
      </c>
    </row>
    <row r="64" spans="1:25" hidden="1">
      <c r="C64" s="502"/>
      <c r="G64" s="238"/>
      <c r="H64" s="238"/>
      <c r="Y64" s="275"/>
    </row>
    <row r="65" spans="1:25" hidden="1">
      <c r="A65" s="516" t="s">
        <v>316</v>
      </c>
      <c r="C65" s="502" t="s">
        <v>198</v>
      </c>
      <c r="D65" s="134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R65" s="134"/>
      <c r="S65" s="134"/>
      <c r="T65" s="134"/>
      <c r="U65" s="134"/>
      <c r="V65" s="134"/>
      <c r="W65" s="134"/>
      <c r="Y65" s="275"/>
    </row>
    <row r="66" spans="1:25" hidden="1">
      <c r="A66" s="217" t="s">
        <v>383</v>
      </c>
      <c r="B66" s="247" t="s">
        <v>231</v>
      </c>
      <c r="C66" s="502"/>
      <c r="D66" s="134"/>
      <c r="E66" s="134"/>
      <c r="F66" s="134"/>
      <c r="G66" s="134"/>
      <c r="H66" s="238">
        <f>H67/H$10</f>
        <v>6.3733392793825566E-3</v>
      </c>
      <c r="I66" s="238"/>
      <c r="J66" s="238">
        <f>J67/J$10</f>
        <v>1.5022993701743604E-2</v>
      </c>
      <c r="K66" s="238"/>
      <c r="L66" s="238">
        <f>L67/L$10</f>
        <v>2.921340735630926E-2</v>
      </c>
      <c r="M66" s="238"/>
      <c r="N66" s="238">
        <f>N67/N$10</f>
        <v>4.9437574689227534E-2</v>
      </c>
      <c r="O66" s="238"/>
      <c r="P66" s="238">
        <f>P67/P$10</f>
        <v>7.2083421420278418E-2</v>
      </c>
      <c r="R66" s="205"/>
      <c r="S66" s="238">
        <f t="shared" ref="S66" si="99">H66</f>
        <v>6.3733392793825566E-3</v>
      </c>
      <c r="T66" s="238">
        <f t="shared" ref="T66" si="100">J66</f>
        <v>1.5022993701743604E-2</v>
      </c>
      <c r="U66" s="238">
        <f t="shared" ref="U66" si="101">L66</f>
        <v>2.921340735630926E-2</v>
      </c>
      <c r="V66" s="238">
        <f t="shared" ref="V66" si="102">N66</f>
        <v>4.9437574689227534E-2</v>
      </c>
      <c r="W66" s="238">
        <f t="shared" ref="W66" si="103">P66</f>
        <v>7.2083421420278418E-2</v>
      </c>
      <c r="Y66" s="275"/>
    </row>
    <row r="67" spans="1:25" hidden="1">
      <c r="A67" s="217" t="s">
        <v>375</v>
      </c>
      <c r="B67" s="138" t="s">
        <v>230</v>
      </c>
      <c r="C67" s="502" t="s">
        <v>384</v>
      </c>
      <c r="D67" s="134"/>
      <c r="E67" s="134"/>
      <c r="F67" s="134"/>
      <c r="G67" s="134"/>
      <c r="H67" s="136">
        <v>25524.358671360002</v>
      </c>
      <c r="I67" s="136"/>
      <c r="J67" s="136">
        <v>66851.725283485997</v>
      </c>
      <c r="K67" s="136"/>
      <c r="L67" s="136">
        <v>145271.24365330199</v>
      </c>
      <c r="M67" s="136"/>
      <c r="N67" s="136">
        <v>276949.14407593699</v>
      </c>
      <c r="O67" s="136"/>
      <c r="P67" s="136">
        <v>461509.52830166899</v>
      </c>
      <c r="R67" s="134"/>
      <c r="S67" s="134">
        <f>E67+F67+G67+H67</f>
        <v>25524.358671360002</v>
      </c>
      <c r="T67" s="134">
        <f>I67+J67</f>
        <v>66851.725283485997</v>
      </c>
      <c r="U67" s="134">
        <f>K67+L67</f>
        <v>145271.24365330199</v>
      </c>
      <c r="V67" s="134">
        <f>M67+N67</f>
        <v>276949.14407593699</v>
      </c>
      <c r="W67" s="134">
        <f>O67+P67</f>
        <v>461509.52830166899</v>
      </c>
      <c r="Y67" s="275"/>
    </row>
    <row r="68" spans="1:25" hidden="1">
      <c r="A68" s="217" t="s">
        <v>493</v>
      </c>
      <c r="B68" s="138" t="s">
        <v>131</v>
      </c>
      <c r="C68" s="502" t="s">
        <v>384</v>
      </c>
      <c r="D68" s="134"/>
      <c r="E68" s="134"/>
      <c r="F68" s="134"/>
      <c r="G68" s="134"/>
      <c r="H68" s="221">
        <v>-0.67696698267783495</v>
      </c>
      <c r="I68" s="221"/>
      <c r="J68" s="221">
        <v>15.353216772609899</v>
      </c>
      <c r="K68" s="221"/>
      <c r="L68" s="221">
        <v>27.985305926110701</v>
      </c>
      <c r="M68" s="221"/>
      <c r="N68" s="221">
        <v>36.127206554911801</v>
      </c>
      <c r="O68" s="221"/>
      <c r="P68" s="221">
        <v>37.498000164744198</v>
      </c>
      <c r="R68" s="134"/>
      <c r="S68" s="134">
        <f t="shared" ref="S68" si="104">H68</f>
        <v>-0.67696698267783495</v>
      </c>
      <c r="T68" s="134">
        <f t="shared" ref="T68" si="105">J68</f>
        <v>15.353216772609899</v>
      </c>
      <c r="U68" s="134">
        <f t="shared" ref="U68" si="106">L68</f>
        <v>27.985305926110701</v>
      </c>
      <c r="V68" s="134">
        <f t="shared" ref="V68" si="107">N68</f>
        <v>36.127206554911801</v>
      </c>
      <c r="W68" s="134">
        <f t="shared" ref="W68" si="108">P68</f>
        <v>37.498000164744198</v>
      </c>
      <c r="Y68" s="275"/>
    </row>
    <row r="69" spans="1:25" hidden="1">
      <c r="A69" s="135" t="s">
        <v>495</v>
      </c>
      <c r="B69" s="138" t="s">
        <v>367</v>
      </c>
      <c r="C69" s="503"/>
      <c r="D69" s="134"/>
      <c r="E69" s="134"/>
      <c r="F69" s="134"/>
      <c r="G69" s="134"/>
      <c r="H69" s="134">
        <f t="shared" ref="H69" si="109">H67*H68/1000</f>
        <v>-17.279148074537414</v>
      </c>
      <c r="I69" s="134">
        <f t="shared" ref="I69" si="110">I67*I68/1000</f>
        <v>0</v>
      </c>
      <c r="J69" s="134">
        <f t="shared" ref="J69" si="111">J67*J68/1000</f>
        <v>1026.3890299003265</v>
      </c>
      <c r="K69" s="134">
        <f t="shared" ref="K69" si="112">K67*K68/1000</f>
        <v>0</v>
      </c>
      <c r="L69" s="134">
        <f t="shared" ref="L69" si="113">L67*L68/1000</f>
        <v>4065.4601959042238</v>
      </c>
      <c r="M69" s="134">
        <f t="shared" ref="M69" si="114">M67*M68/1000</f>
        <v>0</v>
      </c>
      <c r="N69" s="134">
        <f t="shared" ref="N69" si="115">N67*N68/1000</f>
        <v>10005.398933237404</v>
      </c>
      <c r="O69" s="134">
        <f t="shared" ref="O69" si="116">O67*O68/1000</f>
        <v>0</v>
      </c>
      <c r="P69" s="134">
        <f t="shared" ref="P69" si="117">P67*P68/1000</f>
        <v>17305.684368287002</v>
      </c>
      <c r="R69" s="134"/>
      <c r="S69" s="134">
        <f>E69+F69+G69+H69</f>
        <v>-17.279148074537414</v>
      </c>
      <c r="T69" s="134">
        <f>I69+J69</f>
        <v>1026.3890299003265</v>
      </c>
      <c r="U69" s="134">
        <f>K69+L69</f>
        <v>4065.4601959042238</v>
      </c>
      <c r="V69" s="134">
        <f>M69+N69</f>
        <v>10005.398933237404</v>
      </c>
      <c r="W69" s="134">
        <f>O69+P69</f>
        <v>17305.684368287002</v>
      </c>
      <c r="Y69" s="276">
        <f>W69/$W$124</f>
        <v>0.1066174568962644</v>
      </c>
    </row>
    <row r="70" spans="1:25" hidden="1">
      <c r="A70" s="314"/>
      <c r="B70" s="314"/>
      <c r="C70" s="506"/>
      <c r="D70" s="315"/>
      <c r="E70" s="315"/>
      <c r="F70" s="315"/>
      <c r="G70" s="315"/>
      <c r="H70" s="314"/>
      <c r="I70" s="314"/>
      <c r="J70" s="314"/>
      <c r="K70" s="314"/>
      <c r="L70" s="314"/>
      <c r="M70" s="314"/>
      <c r="N70" s="314"/>
      <c r="O70" s="314"/>
      <c r="P70" s="314"/>
      <c r="Q70" s="314"/>
      <c r="R70" s="314"/>
      <c r="S70" s="314"/>
      <c r="T70" s="314"/>
      <c r="U70" s="314"/>
      <c r="V70" s="314"/>
      <c r="W70" s="314"/>
      <c r="X70" s="314"/>
      <c r="Y70" s="316"/>
    </row>
    <row r="71" spans="1:25" ht="15.6" hidden="1">
      <c r="A71" s="331" t="s">
        <v>485</v>
      </c>
      <c r="B71" s="314"/>
      <c r="C71" s="506" t="s">
        <v>552</v>
      </c>
      <c r="D71" s="314"/>
      <c r="E71" s="314"/>
      <c r="F71" s="314"/>
      <c r="G71" s="314"/>
      <c r="H71" s="314"/>
      <c r="I71" s="314"/>
      <c r="J71" s="314"/>
      <c r="K71" s="314"/>
      <c r="L71" s="314"/>
      <c r="M71" s="314"/>
      <c r="N71" s="314"/>
      <c r="O71" s="314"/>
      <c r="P71" s="314"/>
      <c r="Q71" s="314"/>
      <c r="R71" s="314"/>
      <c r="S71" s="314"/>
      <c r="T71" s="314"/>
      <c r="U71" s="314"/>
      <c r="V71" s="314"/>
      <c r="W71" s="314"/>
      <c r="X71" s="314"/>
      <c r="Y71" s="316"/>
    </row>
    <row r="72" spans="1:25" hidden="1">
      <c r="A72" s="318" t="s">
        <v>383</v>
      </c>
      <c r="B72" s="319" t="s">
        <v>231</v>
      </c>
      <c r="C72" s="506"/>
      <c r="D72" s="320"/>
      <c r="E72" s="321"/>
      <c r="F72" s="321"/>
      <c r="G72" s="321"/>
      <c r="H72" s="321"/>
      <c r="I72" s="314"/>
      <c r="J72" s="321">
        <f t="shared" ref="J72:P72" si="118">J73/J10</f>
        <v>2.4269879541749119E-4</v>
      </c>
      <c r="K72" s="321">
        <f t="shared" si="118"/>
        <v>5.004133796527101E-4</v>
      </c>
      <c r="L72" s="321">
        <f t="shared" si="118"/>
        <v>8.3217379628408767E-4</v>
      </c>
      <c r="M72" s="321">
        <f t="shared" si="118"/>
        <v>1.0525052698272565E-3</v>
      </c>
      <c r="N72" s="321">
        <f t="shared" si="118"/>
        <v>1.2646918636520588E-3</v>
      </c>
      <c r="O72" s="321">
        <f t="shared" si="118"/>
        <v>1.4544318702129982E-3</v>
      </c>
      <c r="P72" s="321">
        <f t="shared" si="118"/>
        <v>1.633721787167491E-3</v>
      </c>
      <c r="Q72" s="314"/>
      <c r="R72" s="315"/>
      <c r="S72" s="314"/>
      <c r="T72" s="321">
        <f>J72</f>
        <v>2.4269879541749119E-4</v>
      </c>
      <c r="U72" s="321">
        <f>L72</f>
        <v>8.3217379628408767E-4</v>
      </c>
      <c r="V72" s="321">
        <f t="shared" ref="V72:V75" si="119">N72</f>
        <v>1.2646918636520588E-3</v>
      </c>
      <c r="W72" s="321">
        <f t="shared" ref="W72:W75" si="120">P72</f>
        <v>1.633721787167491E-3</v>
      </c>
      <c r="X72" s="314"/>
      <c r="Y72" s="316"/>
    </row>
    <row r="73" spans="1:25" hidden="1">
      <c r="A73" s="318" t="s">
        <v>395</v>
      </c>
      <c r="B73" s="322" t="s">
        <v>230</v>
      </c>
      <c r="C73" s="506"/>
      <c r="D73" s="320"/>
      <c r="E73" s="321"/>
      <c r="F73" s="321"/>
      <c r="G73" s="321"/>
      <c r="H73" s="321"/>
      <c r="I73" s="314"/>
      <c r="J73" s="323">
        <f>'Merchants(corp)'!J14</f>
        <v>1080</v>
      </c>
      <c r="K73" s="323">
        <f>'Merchants(corp)'!K14</f>
        <v>2354.6250000000005</v>
      </c>
      <c r="L73" s="323">
        <f>'Merchants(corp)'!L14</f>
        <v>4138.2000000000007</v>
      </c>
      <c r="M73" s="323">
        <f>'Merchants(corp)'!M14</f>
        <v>5557.9500000000007</v>
      </c>
      <c r="N73" s="323">
        <f>'Merchants(corp)'!N14</f>
        <v>7084.800000000002</v>
      </c>
      <c r="O73" s="323">
        <f>'Merchants(corp)'!O14</f>
        <v>8718.7500000000018</v>
      </c>
      <c r="P73" s="323">
        <f>'Merchants(corp)'!P14</f>
        <v>10459.800000000003</v>
      </c>
      <c r="Q73" s="314"/>
      <c r="R73" s="315"/>
      <c r="S73" s="314"/>
      <c r="T73" s="315">
        <f>I73+J73</f>
        <v>1080</v>
      </c>
      <c r="U73" s="315">
        <f>K73+L73</f>
        <v>6492.8250000000007</v>
      </c>
      <c r="V73" s="315">
        <f>M73+N73</f>
        <v>12642.750000000004</v>
      </c>
      <c r="W73" s="315">
        <f>O73+P73</f>
        <v>19178.550000000003</v>
      </c>
      <c r="X73" s="314"/>
      <c r="Y73" s="569">
        <f>(W73+W91+W101+W106+W113+W118)/149000</f>
        <v>2.2735204697986577</v>
      </c>
    </row>
    <row r="74" spans="1:25" hidden="1">
      <c r="A74" s="318" t="s">
        <v>376</v>
      </c>
      <c r="B74" s="322" t="s">
        <v>367</v>
      </c>
      <c r="C74" s="506"/>
      <c r="D74" s="320"/>
      <c r="E74" s="321"/>
      <c r="F74" s="321"/>
      <c r="G74" s="321"/>
      <c r="H74" s="321"/>
      <c r="I74" s="314"/>
      <c r="J74" s="315">
        <f>'Merchants(corp)'!J27</f>
        <v>8835.75</v>
      </c>
      <c r="K74" s="315">
        <f>'Merchants(corp)'!K27</f>
        <v>14049.762890625001</v>
      </c>
      <c r="L74" s="315">
        <f>'Merchants(corp)'!L27</f>
        <v>26559.712265624999</v>
      </c>
      <c r="M74" s="315">
        <f>'Merchants(corp)'!M27</f>
        <v>39663.313593749997</v>
      </c>
      <c r="N74" s="315">
        <f>'Merchants(corp)'!N27</f>
        <v>51716.749218750017</v>
      </c>
      <c r="O74" s="315">
        <f>'Merchants(corp)'!O27</f>
        <v>64646.396718750017</v>
      </c>
      <c r="P74" s="315">
        <f>'Merchants(corp)'!P27</f>
        <v>78452.256093750009</v>
      </c>
      <c r="Q74" s="314"/>
      <c r="R74" s="315"/>
      <c r="S74" s="314"/>
      <c r="T74" s="315">
        <f t="shared" ref="T74:T75" si="121">J74</f>
        <v>8835.75</v>
      </c>
      <c r="U74" s="315">
        <f t="shared" ref="U74:U75" si="122">L74</f>
        <v>26559.712265624999</v>
      </c>
      <c r="V74" s="315">
        <f t="shared" si="119"/>
        <v>51716.749218750017</v>
      </c>
      <c r="W74" s="315">
        <f t="shared" si="120"/>
        <v>78452.256093750009</v>
      </c>
      <c r="X74" s="314"/>
      <c r="Y74" s="316"/>
    </row>
    <row r="75" spans="1:25" hidden="1">
      <c r="A75" s="318" t="s">
        <v>494</v>
      </c>
      <c r="B75" s="322" t="s">
        <v>390</v>
      </c>
      <c r="C75" s="507"/>
      <c r="D75" s="320"/>
      <c r="E75" s="321"/>
      <c r="F75" s="321"/>
      <c r="G75" s="321"/>
      <c r="H75" s="321"/>
      <c r="I75" s="314"/>
      <c r="J75" s="321">
        <f>'Merchants(corp)'!J58</f>
        <v>-8.8579067990832705E-2</v>
      </c>
      <c r="K75" s="321">
        <f>'Merchants(corp)'!K58</f>
        <v>-2.8378078444551815E-3</v>
      </c>
      <c r="L75" s="321">
        <f>'Merchants(corp)'!L58</f>
        <v>6.2211999884681984E-2</v>
      </c>
      <c r="M75" s="321">
        <f>'Merchants(corp)'!M58</f>
        <v>0.14876106819696616</v>
      </c>
      <c r="N75" s="321">
        <f>'Merchants(corp)'!N58</f>
        <v>0.16607102987775701</v>
      </c>
      <c r="O75" s="321">
        <f>'Merchants(corp)'!O58</f>
        <v>0.17779585967788095</v>
      </c>
      <c r="P75" s="321">
        <f>'Merchants(corp)'!P58</f>
        <v>0.18630414536417519</v>
      </c>
      <c r="Q75" s="314"/>
      <c r="R75" s="315"/>
      <c r="S75" s="314"/>
      <c r="T75" s="321">
        <f t="shared" si="121"/>
        <v>-8.8579067990832705E-2</v>
      </c>
      <c r="U75" s="321">
        <f t="shared" si="122"/>
        <v>6.2211999884681984E-2</v>
      </c>
      <c r="V75" s="321">
        <f t="shared" si="119"/>
        <v>0.16607102987775701</v>
      </c>
      <c r="W75" s="321">
        <f t="shared" si="120"/>
        <v>0.18630414536417519</v>
      </c>
      <c r="X75" s="314"/>
      <c r="Y75" s="316"/>
    </row>
    <row r="76" spans="1:25" hidden="1">
      <c r="A76" s="318" t="s">
        <v>495</v>
      </c>
      <c r="B76" s="322" t="s">
        <v>367</v>
      </c>
      <c r="C76" s="507"/>
      <c r="D76" s="320"/>
      <c r="E76" s="321"/>
      <c r="F76" s="321"/>
      <c r="G76" s="321"/>
      <c r="H76" s="315"/>
      <c r="I76" s="314"/>
      <c r="J76" s="315">
        <f>'Merchants(corp)'!J57</f>
        <v>-391.33125000000001</v>
      </c>
      <c r="K76" s="315">
        <f>'Merchants(corp)'!K57</f>
        <v>-19.935263671875468</v>
      </c>
      <c r="L76" s="315">
        <f>'Merchants(corp)'!L57</f>
        <v>826.16640820312455</v>
      </c>
      <c r="M76" s="315">
        <f>'Merchants(corp)'!M57</f>
        <v>2950.1784492187489</v>
      </c>
      <c r="N76" s="315">
        <f>'Merchants(corp)'!N57</f>
        <v>4294.3269023437506</v>
      </c>
      <c r="O76" s="315">
        <f>'Merchants(corp)'!O57</f>
        <v>5746.9308398437506</v>
      </c>
      <c r="P76" s="315">
        <f>'Merchants(corp)'!P57</f>
        <v>7307.9902617187499</v>
      </c>
      <c r="Q76" s="314"/>
      <c r="R76" s="315"/>
      <c r="S76" s="314"/>
      <c r="T76" s="315">
        <f>I76+J76</f>
        <v>-391.33125000000001</v>
      </c>
      <c r="U76" s="315">
        <f>K76+L76</f>
        <v>806.23114453124913</v>
      </c>
      <c r="V76" s="315">
        <f>M76+N76</f>
        <v>7244.5053515624995</v>
      </c>
      <c r="W76" s="315">
        <f>O76+P76</f>
        <v>13054.921101562501</v>
      </c>
      <c r="X76" s="314"/>
      <c r="Y76" s="324">
        <f>W76/$W$124</f>
        <v>8.0429208011017675E-2</v>
      </c>
    </row>
    <row r="77" spans="1:25" ht="15.6" hidden="1">
      <c r="A77" s="317"/>
      <c r="B77" s="314"/>
      <c r="C77" s="506"/>
      <c r="D77" s="314"/>
      <c r="E77" s="314"/>
      <c r="F77" s="314"/>
      <c r="G77" s="314"/>
      <c r="H77" s="314"/>
      <c r="I77" s="314"/>
      <c r="J77" s="314"/>
      <c r="K77" s="314"/>
      <c r="L77" s="314"/>
      <c r="M77" s="314"/>
      <c r="N77" s="314"/>
      <c r="O77" s="314"/>
      <c r="P77" s="314"/>
      <c r="Q77" s="314"/>
      <c r="R77" s="314"/>
      <c r="S77" s="314"/>
      <c r="T77" s="314"/>
      <c r="U77" s="314"/>
      <c r="V77" s="314"/>
      <c r="W77" s="314"/>
      <c r="X77" s="314"/>
      <c r="Y77" s="316"/>
    </row>
    <row r="78" spans="1:25" ht="15.6" hidden="1">
      <c r="A78" s="568" t="s">
        <v>854</v>
      </c>
      <c r="B78" s="314"/>
      <c r="C78" s="506" t="s">
        <v>198</v>
      </c>
      <c r="D78" s="314"/>
      <c r="E78" s="314"/>
      <c r="F78" s="314"/>
      <c r="G78" s="314"/>
      <c r="H78" s="314"/>
      <c r="I78" s="314"/>
      <c r="J78" s="314"/>
      <c r="K78" s="314"/>
      <c r="L78" s="314"/>
      <c r="M78" s="314"/>
      <c r="N78" s="314"/>
      <c r="O78" s="314"/>
      <c r="P78" s="314"/>
      <c r="Q78" s="314"/>
      <c r="R78" s="314"/>
      <c r="S78" s="314"/>
      <c r="T78" s="314"/>
      <c r="U78" s="314"/>
      <c r="V78" s="314"/>
      <c r="W78" s="314"/>
      <c r="X78" s="314"/>
      <c r="Y78" s="316"/>
    </row>
    <row r="79" spans="1:25" hidden="1">
      <c r="A79" s="318" t="s">
        <v>383</v>
      </c>
      <c r="B79" s="319" t="s">
        <v>231</v>
      </c>
      <c r="C79" s="506"/>
      <c r="D79" s="320"/>
      <c r="E79" s="321"/>
      <c r="F79" s="321"/>
      <c r="G79" s="321"/>
      <c r="H79" s="321"/>
      <c r="I79" s="321">
        <f t="shared" ref="I79:P79" si="123">I80/I10</f>
        <v>0</v>
      </c>
      <c r="J79" s="321">
        <f t="shared" si="123"/>
        <v>0</v>
      </c>
      <c r="K79" s="321">
        <f t="shared" si="123"/>
        <v>0</v>
      </c>
      <c r="L79" s="321">
        <f t="shared" si="123"/>
        <v>0</v>
      </c>
      <c r="M79" s="321">
        <f t="shared" si="123"/>
        <v>0</v>
      </c>
      <c r="N79" s="321">
        <f t="shared" si="123"/>
        <v>0</v>
      </c>
      <c r="O79" s="321">
        <f t="shared" si="123"/>
        <v>0</v>
      </c>
      <c r="P79" s="321">
        <f t="shared" si="123"/>
        <v>0</v>
      </c>
      <c r="Q79" s="314"/>
      <c r="R79" s="315"/>
      <c r="S79" s="314"/>
      <c r="T79" s="321">
        <f>J79</f>
        <v>0</v>
      </c>
      <c r="U79" s="321">
        <f>L79</f>
        <v>0</v>
      </c>
      <c r="V79" s="321">
        <f t="shared" ref="V79:V82" si="124">N79</f>
        <v>0</v>
      </c>
      <c r="W79" s="321">
        <f t="shared" ref="W79:W82" si="125">P79</f>
        <v>0</v>
      </c>
      <c r="X79" s="314"/>
      <c r="Y79" s="316"/>
    </row>
    <row r="80" spans="1:25" hidden="1">
      <c r="A80" s="318" t="s">
        <v>395</v>
      </c>
      <c r="B80" s="322" t="s">
        <v>230</v>
      </c>
      <c r="C80" s="506"/>
      <c r="D80" s="320"/>
      <c r="E80" s="321"/>
      <c r="F80" s="321"/>
      <c r="G80" s="321"/>
      <c r="H80" s="321"/>
      <c r="I80" s="323">
        <f>'Криейтеры (ЮЛ)'!I18</f>
        <v>0</v>
      </c>
      <c r="J80" s="323">
        <f>'Криейтеры (ЮЛ)'!J18</f>
        <v>0</v>
      </c>
      <c r="K80" s="323">
        <f>'Криейтеры (ЮЛ)'!K18</f>
        <v>0</v>
      </c>
      <c r="L80" s="323">
        <f>'Криейтеры (ЮЛ)'!L18</f>
        <v>0</v>
      </c>
      <c r="M80" s="323">
        <f>'Криейтеры (ЮЛ)'!M18</f>
        <v>0</v>
      </c>
      <c r="N80" s="323">
        <f>'Криейтеры (ЮЛ)'!N18</f>
        <v>0</v>
      </c>
      <c r="O80" s="323">
        <f>'Криейтеры (ЮЛ)'!O18</f>
        <v>0</v>
      </c>
      <c r="P80" s="323">
        <f>'Криейтеры (ЮЛ)'!P18</f>
        <v>0</v>
      </c>
      <c r="Q80" s="314"/>
      <c r="R80" s="315"/>
      <c r="S80" s="314"/>
      <c r="T80" s="315">
        <f>I80+J80</f>
        <v>0</v>
      </c>
      <c r="U80" s="315">
        <f>K80+L80</f>
        <v>0</v>
      </c>
      <c r="V80" s="315">
        <f>M80+N80</f>
        <v>0</v>
      </c>
      <c r="W80" s="315">
        <f>O80+P80</f>
        <v>0</v>
      </c>
      <c r="X80" s="314"/>
      <c r="Y80" s="316"/>
    </row>
    <row r="81" spans="1:25" hidden="1">
      <c r="A81" s="318" t="s">
        <v>376</v>
      </c>
      <c r="B81" s="322" t="s">
        <v>367</v>
      </c>
      <c r="C81" s="506"/>
      <c r="D81" s="320"/>
      <c r="E81" s="321"/>
      <c r="F81" s="321"/>
      <c r="G81" s="321"/>
      <c r="H81" s="321"/>
      <c r="I81" s="315">
        <f>'Криейтеры (ЮЛ)'!I31</f>
        <v>0</v>
      </c>
      <c r="J81" s="315">
        <f>'Криейтеры (ЮЛ)'!J31</f>
        <v>0</v>
      </c>
      <c r="K81" s="315">
        <f>'Криейтеры (ЮЛ)'!K31</f>
        <v>0</v>
      </c>
      <c r="L81" s="315">
        <f>'Криейтеры (ЮЛ)'!L31</f>
        <v>0</v>
      </c>
      <c r="M81" s="315">
        <f>'Криейтеры (ЮЛ)'!M31</f>
        <v>0</v>
      </c>
      <c r="N81" s="315">
        <f>'Криейтеры (ЮЛ)'!N31</f>
        <v>0</v>
      </c>
      <c r="O81" s="315">
        <f>'Криейтеры (ЮЛ)'!O31</f>
        <v>0</v>
      </c>
      <c r="P81" s="315">
        <f>'Криейтеры (ЮЛ)'!P31</f>
        <v>0</v>
      </c>
      <c r="Q81" s="314"/>
      <c r="R81" s="315"/>
      <c r="S81" s="314"/>
      <c r="T81" s="315">
        <f t="shared" ref="T81:T82" si="126">J81</f>
        <v>0</v>
      </c>
      <c r="U81" s="315">
        <f t="shared" ref="U81:U82" si="127">L81</f>
        <v>0</v>
      </c>
      <c r="V81" s="315">
        <f t="shared" si="124"/>
        <v>0</v>
      </c>
      <c r="W81" s="315">
        <f t="shared" si="125"/>
        <v>0</v>
      </c>
      <c r="X81" s="314"/>
      <c r="Y81" s="316"/>
    </row>
    <row r="82" spans="1:25" hidden="1">
      <c r="A82" s="318" t="s">
        <v>494</v>
      </c>
      <c r="B82" s="322" t="s">
        <v>390</v>
      </c>
      <c r="C82" s="507"/>
      <c r="D82" s="320"/>
      <c r="E82" s="321"/>
      <c r="F82" s="321"/>
      <c r="G82" s="321"/>
      <c r="H82" s="321"/>
      <c r="I82" s="321" t="e">
        <f>'Криейтеры (ЮЛ)'!I60</f>
        <v>#DIV/0!</v>
      </c>
      <c r="J82" s="321" t="e">
        <f>'Криейтеры (ЮЛ)'!J60</f>
        <v>#DIV/0!</v>
      </c>
      <c r="K82" s="321" t="e">
        <f>'Криейтеры (ЮЛ)'!K60</f>
        <v>#DIV/0!</v>
      </c>
      <c r="L82" s="321" t="e">
        <f>'Криейтеры (ЮЛ)'!L60</f>
        <v>#DIV/0!</v>
      </c>
      <c r="M82" s="321" t="e">
        <f>'Криейтеры (ЮЛ)'!M60</f>
        <v>#DIV/0!</v>
      </c>
      <c r="N82" s="321" t="e">
        <f>'Криейтеры (ЮЛ)'!N60</f>
        <v>#DIV/0!</v>
      </c>
      <c r="O82" s="321" t="e">
        <f>'Криейтеры (ЮЛ)'!O60</f>
        <v>#DIV/0!</v>
      </c>
      <c r="P82" s="321" t="e">
        <f>'Криейтеры (ЮЛ)'!P60</f>
        <v>#DIV/0!</v>
      </c>
      <c r="Q82" s="314"/>
      <c r="R82" s="315"/>
      <c r="S82" s="314"/>
      <c r="T82" s="321" t="e">
        <f t="shared" si="126"/>
        <v>#DIV/0!</v>
      </c>
      <c r="U82" s="321" t="e">
        <f t="shared" si="127"/>
        <v>#DIV/0!</v>
      </c>
      <c r="V82" s="321" t="e">
        <f t="shared" si="124"/>
        <v>#DIV/0!</v>
      </c>
      <c r="W82" s="321" t="e">
        <f t="shared" si="125"/>
        <v>#DIV/0!</v>
      </c>
      <c r="X82" s="314"/>
      <c r="Y82" s="316"/>
    </row>
    <row r="83" spans="1:25" hidden="1">
      <c r="A83" s="318" t="s">
        <v>495</v>
      </c>
      <c r="B83" s="322" t="s">
        <v>367</v>
      </c>
      <c r="C83" s="507"/>
      <c r="D83" s="320"/>
      <c r="E83" s="321"/>
      <c r="F83" s="321"/>
      <c r="G83" s="321"/>
      <c r="H83" s="315"/>
      <c r="I83" s="315">
        <f>'Криейтеры (ЮЛ)'!I59</f>
        <v>0</v>
      </c>
      <c r="J83" s="315">
        <f>'Криейтеры (ЮЛ)'!J59</f>
        <v>0</v>
      </c>
      <c r="K83" s="315">
        <f>'Криейтеры (ЮЛ)'!K59</f>
        <v>0</v>
      </c>
      <c r="L83" s="315">
        <f>'Криейтеры (ЮЛ)'!L59</f>
        <v>0</v>
      </c>
      <c r="M83" s="315">
        <f>'Криейтеры (ЮЛ)'!M59</f>
        <v>0</v>
      </c>
      <c r="N83" s="315">
        <f>'Криейтеры (ЮЛ)'!N59</f>
        <v>0</v>
      </c>
      <c r="O83" s="315">
        <f>'Криейтеры (ЮЛ)'!O59</f>
        <v>0</v>
      </c>
      <c r="P83" s="315">
        <f>'Криейтеры (ЮЛ)'!P59</f>
        <v>0</v>
      </c>
      <c r="Q83" s="314"/>
      <c r="R83" s="315"/>
      <c r="S83" s="314"/>
      <c r="T83" s="315">
        <f>I83+J83</f>
        <v>0</v>
      </c>
      <c r="U83" s="315">
        <f>K83+L83</f>
        <v>0</v>
      </c>
      <c r="V83" s="315">
        <f>M83+N83</f>
        <v>0</v>
      </c>
      <c r="W83" s="315">
        <f>O83+P83</f>
        <v>0</v>
      </c>
      <c r="X83" s="314"/>
      <c r="Y83" s="324">
        <f>W83/$W$124</f>
        <v>0</v>
      </c>
    </row>
    <row r="84" spans="1:25" ht="15.6" hidden="1">
      <c r="A84" s="317"/>
      <c r="B84" s="314"/>
      <c r="C84" s="506"/>
      <c r="D84" s="314"/>
      <c r="E84" s="314"/>
      <c r="F84" s="314"/>
      <c r="G84" s="314"/>
      <c r="H84" s="314"/>
      <c r="I84" s="314"/>
      <c r="J84" s="314"/>
      <c r="K84" s="314"/>
      <c r="L84" s="314"/>
      <c r="M84" s="314"/>
      <c r="N84" s="314"/>
      <c r="O84" s="314"/>
      <c r="P84" s="314"/>
      <c r="Q84" s="314"/>
      <c r="R84" s="314"/>
      <c r="S84" s="314"/>
      <c r="T84" s="314"/>
      <c r="U84" s="314"/>
      <c r="V84" s="314"/>
      <c r="W84" s="314"/>
      <c r="X84" s="314"/>
      <c r="Y84" s="316"/>
    </row>
    <row r="85" spans="1:25" ht="15.6" hidden="1">
      <c r="A85" s="568" t="s">
        <v>460</v>
      </c>
      <c r="B85" s="314"/>
      <c r="C85" s="506" t="s">
        <v>198</v>
      </c>
      <c r="D85" s="314"/>
      <c r="E85" s="314"/>
      <c r="F85" s="314"/>
      <c r="G85" s="314"/>
      <c r="H85" s="314"/>
      <c r="I85" s="314"/>
      <c r="J85" s="314"/>
      <c r="K85" s="314"/>
      <c r="L85" s="314"/>
      <c r="M85" s="314"/>
      <c r="N85" s="314"/>
      <c r="O85" s="314"/>
      <c r="P85" s="314"/>
      <c r="Q85" s="314"/>
      <c r="R85" s="314"/>
      <c r="S85" s="314"/>
      <c r="T85" s="314"/>
      <c r="U85" s="314"/>
      <c r="V85" s="314"/>
      <c r="W85" s="314"/>
      <c r="X85" s="314"/>
      <c r="Y85" s="316"/>
    </row>
    <row r="86" spans="1:25" hidden="1">
      <c r="A86" s="318" t="s">
        <v>464</v>
      </c>
      <c r="B86" s="322" t="s">
        <v>367</v>
      </c>
      <c r="C86" s="506"/>
      <c r="D86" s="314"/>
      <c r="E86" s="314"/>
      <c r="F86" s="314"/>
      <c r="G86" s="314"/>
      <c r="H86" s="314"/>
      <c r="I86" s="315">
        <f>'Криейтеры (ЮЛ)'!I12/'Funnel QH'!I30</f>
        <v>0</v>
      </c>
      <c r="J86" s="315">
        <f>'Криейтеры (ЮЛ)'!J12/'Funnel QH'!J30</f>
        <v>0</v>
      </c>
      <c r="K86" s="315">
        <f>'Криейтеры (ЮЛ)'!K12/'Funnel QH'!K30</f>
        <v>0</v>
      </c>
      <c r="L86" s="315">
        <f>'Криейтеры (ЮЛ)'!L12/'Funnel QH'!L30</f>
        <v>0</v>
      </c>
      <c r="M86" s="315">
        <f>'Криейтеры (ЮЛ)'!M12/'Funnel QH'!M30</f>
        <v>0</v>
      </c>
      <c r="N86" s="315">
        <f>'Криейтеры (ЮЛ)'!N12/'Funnel QH'!N30</f>
        <v>0</v>
      </c>
      <c r="O86" s="315">
        <f>'Криейтеры (ЮЛ)'!O12/'Funnel QH'!O30</f>
        <v>0</v>
      </c>
      <c r="P86" s="315">
        <f>'Криейтеры (ЮЛ)'!P12/'Funnel QH'!P30</f>
        <v>0</v>
      </c>
      <c r="Q86" s="314"/>
      <c r="R86" s="314"/>
      <c r="S86" s="314"/>
      <c r="T86" s="315">
        <f>I86+J86</f>
        <v>0</v>
      </c>
      <c r="U86" s="315">
        <f>K86+L86</f>
        <v>0</v>
      </c>
      <c r="V86" s="315">
        <f>M86+N86</f>
        <v>0</v>
      </c>
      <c r="W86" s="315">
        <f>O86+P86</f>
        <v>0</v>
      </c>
      <c r="X86" s="314"/>
      <c r="Y86" s="316"/>
    </row>
    <row r="87" spans="1:25" hidden="1">
      <c r="A87" s="318" t="s">
        <v>495</v>
      </c>
      <c r="B87" s="322" t="s">
        <v>367</v>
      </c>
      <c r="C87" s="506"/>
      <c r="D87" s="314"/>
      <c r="E87" s="314"/>
      <c r="F87" s="314"/>
      <c r="G87" s="314"/>
      <c r="H87" s="314"/>
      <c r="I87" s="315">
        <f>'Криейтеры (ЮЛ)'!I65</f>
        <v>0</v>
      </c>
      <c r="J87" s="315">
        <f>'Криейтеры (ЮЛ)'!J65</f>
        <v>0</v>
      </c>
      <c r="K87" s="315">
        <f>'Криейтеры (ЮЛ)'!K65</f>
        <v>0</v>
      </c>
      <c r="L87" s="315">
        <f>'Криейтеры (ЮЛ)'!L65</f>
        <v>0</v>
      </c>
      <c r="M87" s="315">
        <f>'Криейтеры (ЮЛ)'!M65</f>
        <v>0</v>
      </c>
      <c r="N87" s="315">
        <f>'Криейтеры (ЮЛ)'!N65</f>
        <v>0</v>
      </c>
      <c r="O87" s="315">
        <f>'Криейтеры (ЮЛ)'!O65</f>
        <v>0</v>
      </c>
      <c r="P87" s="315">
        <f>'Криейтеры (ЮЛ)'!P65</f>
        <v>0</v>
      </c>
      <c r="Q87" s="314"/>
      <c r="R87" s="314"/>
      <c r="S87" s="314"/>
      <c r="T87" s="315">
        <f>I87+J87</f>
        <v>0</v>
      </c>
      <c r="U87" s="315">
        <f>K87+L87</f>
        <v>0</v>
      </c>
      <c r="V87" s="315">
        <f>M87+N87</f>
        <v>0</v>
      </c>
      <c r="W87" s="315">
        <f>O87+P87</f>
        <v>0</v>
      </c>
      <c r="X87" s="314"/>
      <c r="Y87" s="324">
        <f>W87/$W$124</f>
        <v>0</v>
      </c>
    </row>
    <row r="88" spans="1:25" ht="15.6" hidden="1">
      <c r="A88" s="317"/>
      <c r="B88" s="314"/>
      <c r="C88" s="506"/>
      <c r="D88" s="314"/>
      <c r="E88" s="314"/>
      <c r="F88" s="314"/>
      <c r="G88" s="314"/>
      <c r="H88" s="314"/>
      <c r="I88" s="314"/>
      <c r="J88" s="314"/>
      <c r="K88" s="314"/>
      <c r="L88" s="314"/>
      <c r="M88" s="314"/>
      <c r="N88" s="314"/>
      <c r="O88" s="314"/>
      <c r="P88" s="314"/>
      <c r="Q88" s="314"/>
      <c r="R88" s="314"/>
      <c r="S88" s="314"/>
      <c r="T88" s="314"/>
      <c r="U88" s="314"/>
      <c r="V88" s="314"/>
      <c r="W88" s="314"/>
      <c r="X88" s="314"/>
      <c r="Y88" s="316"/>
    </row>
    <row r="89" spans="1:25" ht="15.6" hidden="1">
      <c r="A89" s="331" t="s">
        <v>461</v>
      </c>
      <c r="B89" s="314"/>
      <c r="C89" s="506" t="s">
        <v>198</v>
      </c>
      <c r="D89" s="314"/>
      <c r="E89" s="314"/>
      <c r="F89" s="314"/>
      <c r="G89" s="314"/>
      <c r="H89" s="314"/>
      <c r="I89" s="314"/>
      <c r="J89" s="314"/>
      <c r="K89" s="314"/>
      <c r="L89" s="314"/>
      <c r="M89" s="314"/>
      <c r="N89" s="314"/>
      <c r="O89" s="314"/>
      <c r="P89" s="314"/>
      <c r="Q89" s="314"/>
      <c r="R89" s="314"/>
      <c r="S89" s="314"/>
      <c r="T89" s="314"/>
      <c r="U89" s="314"/>
      <c r="V89" s="314"/>
      <c r="W89" s="314"/>
      <c r="X89" s="314"/>
      <c r="Y89" s="316"/>
    </row>
    <row r="90" spans="1:25" hidden="1">
      <c r="A90" s="318" t="s">
        <v>383</v>
      </c>
      <c r="B90" s="319" t="s">
        <v>231</v>
      </c>
      <c r="C90" s="506"/>
      <c r="D90" s="320"/>
      <c r="E90" s="320"/>
      <c r="F90" s="320"/>
      <c r="G90" s="314"/>
      <c r="H90" s="314"/>
      <c r="I90" s="314"/>
      <c r="J90" s="321"/>
      <c r="K90" s="321"/>
      <c r="L90" s="321"/>
      <c r="M90" s="321"/>
      <c r="N90" s="321"/>
      <c r="O90" s="321"/>
      <c r="P90" s="321"/>
      <c r="Q90" s="314"/>
      <c r="R90" s="315"/>
      <c r="S90" s="314"/>
      <c r="T90" s="321"/>
      <c r="U90" s="321"/>
      <c r="V90" s="321"/>
      <c r="W90" s="321"/>
      <c r="X90" s="314"/>
      <c r="Y90" s="316"/>
    </row>
    <row r="91" spans="1:25" hidden="1">
      <c r="A91" s="318" t="s">
        <v>377</v>
      </c>
      <c r="B91" s="322" t="s">
        <v>230</v>
      </c>
      <c r="C91" s="506"/>
      <c r="D91" s="320"/>
      <c r="E91" s="320"/>
      <c r="F91" s="320"/>
      <c r="G91" s="314"/>
      <c r="H91" s="314"/>
      <c r="I91" s="314"/>
      <c r="J91" s="315"/>
      <c r="K91" s="315"/>
      <c r="L91" s="315"/>
      <c r="M91" s="315"/>
      <c r="N91" s="315"/>
      <c r="O91" s="315"/>
      <c r="P91" s="315"/>
      <c r="Q91" s="314"/>
      <c r="R91" s="315"/>
      <c r="S91" s="314"/>
      <c r="T91" s="315"/>
      <c r="U91" s="315"/>
      <c r="V91" s="315"/>
      <c r="W91" s="315"/>
      <c r="X91" s="314"/>
      <c r="Y91" s="316"/>
    </row>
    <row r="92" spans="1:25" hidden="1">
      <c r="A92" s="318" t="s">
        <v>376</v>
      </c>
      <c r="B92" s="322" t="s">
        <v>367</v>
      </c>
      <c r="C92" s="507"/>
      <c r="D92" s="320"/>
      <c r="E92" s="320"/>
      <c r="F92" s="320"/>
      <c r="G92" s="314"/>
      <c r="H92" s="314"/>
      <c r="I92" s="314"/>
      <c r="J92" s="315">
        <f>'Merchants(corp)'!J130/'Funnel QH'!J30</f>
        <v>111000</v>
      </c>
      <c r="K92" s="315">
        <f>'Merchants(corp)'!K130/'Funnel QH'!K30</f>
        <v>147691.66666666669</v>
      </c>
      <c r="L92" s="315">
        <f>'Merchants(corp)'!L130/'Funnel QH'!L30</f>
        <v>221075</v>
      </c>
      <c r="M92" s="315">
        <f>'Merchants(corp)'!M130/'Funnel QH'!M30</f>
        <v>294458.33333333337</v>
      </c>
      <c r="N92" s="315">
        <f>'Merchants(corp)'!N130/'Funnel QH'!N30</f>
        <v>367841.66666666669</v>
      </c>
      <c r="O92" s="315">
        <f>'Merchants(corp)'!O130/'Funnel QH'!O30</f>
        <v>441225</v>
      </c>
      <c r="P92" s="315">
        <f>'Merchants(corp)'!P130/'Funnel QH'!P30</f>
        <v>514608.33333333337</v>
      </c>
      <c r="Q92" s="314"/>
      <c r="R92" s="315"/>
      <c r="S92" s="314"/>
      <c r="T92" s="315">
        <f t="shared" ref="T92" si="128">J92</f>
        <v>111000</v>
      </c>
      <c r="U92" s="315">
        <f t="shared" ref="U92" si="129">L92</f>
        <v>221075</v>
      </c>
      <c r="V92" s="315">
        <f t="shared" ref="V92" si="130">N92</f>
        <v>367841.66666666669</v>
      </c>
      <c r="W92" s="315">
        <f t="shared" ref="W92" si="131">P92</f>
        <v>514608.33333333337</v>
      </c>
      <c r="X92" s="314"/>
      <c r="Y92" s="316"/>
    </row>
    <row r="93" spans="1:25" hidden="1">
      <c r="A93" s="318" t="s">
        <v>494</v>
      </c>
      <c r="B93" s="322" t="s">
        <v>390</v>
      </c>
      <c r="C93" s="507"/>
      <c r="D93" s="320"/>
      <c r="E93" s="320"/>
      <c r="F93" s="320"/>
      <c r="G93" s="314"/>
      <c r="H93" s="314"/>
      <c r="I93" s="314"/>
      <c r="J93" s="321">
        <f>'Merchants(corp)'!J157</f>
        <v>0.02</v>
      </c>
      <c r="K93" s="321">
        <f>'Merchants(corp)'!K157</f>
        <v>2.2836710369487458E-2</v>
      </c>
      <c r="L93" s="321">
        <f>'Merchants(corp)'!L157</f>
        <v>2.397993311036789E-2</v>
      </c>
      <c r="M93" s="321">
        <f>'Merchants(corp)'!M157</f>
        <v>2.2846889952153084E-2</v>
      </c>
      <c r="N93" s="321">
        <f>'Merchants(corp)'!N157</f>
        <v>2.2216014897579128E-2</v>
      </c>
      <c r="O93" s="321">
        <f>'Merchants(corp)'!O157</f>
        <v>2.1814024390243901E-2</v>
      </c>
      <c r="P93" s="321">
        <f>'Merchants(corp)'!P157</f>
        <v>2.1535483870967719E-2</v>
      </c>
      <c r="Q93" s="314"/>
      <c r="R93" s="315"/>
      <c r="S93" s="314"/>
      <c r="T93" s="321">
        <f>'Deposits (indiv)'!T92</f>
        <v>0</v>
      </c>
      <c r="U93" s="321">
        <f>'Deposits (indiv)'!U92</f>
        <v>0</v>
      </c>
      <c r="V93" s="321">
        <f>'Deposits (indiv)'!V92</f>
        <v>0</v>
      </c>
      <c r="W93" s="321">
        <f>'Deposits (indiv)'!W92</f>
        <v>0</v>
      </c>
      <c r="X93" s="321"/>
      <c r="Y93" s="316"/>
    </row>
    <row r="94" spans="1:25" hidden="1">
      <c r="A94" s="318" t="s">
        <v>495</v>
      </c>
      <c r="B94" s="322" t="s">
        <v>367</v>
      </c>
      <c r="C94" s="508"/>
      <c r="D94" s="320"/>
      <c r="E94" s="320"/>
      <c r="F94" s="320"/>
      <c r="G94" s="314"/>
      <c r="H94" s="314"/>
      <c r="I94" s="314"/>
      <c r="J94" s="315">
        <f>'Merchants(corp)'!J159</f>
        <v>1110</v>
      </c>
      <c r="K94" s="315">
        <f>'Merchants(corp)'!K159</f>
        <v>1476.9166666666652</v>
      </c>
      <c r="L94" s="315">
        <f>'Merchants(corp)'!L159</f>
        <v>3687.6666666666652</v>
      </c>
      <c r="M94" s="315">
        <f>'Merchants(corp)'!M159</f>
        <v>2944.5833333333303</v>
      </c>
      <c r="N94" s="315">
        <f>'Merchants(corp)'!N159</f>
        <v>6622.9999999999945</v>
      </c>
      <c r="O94" s="315">
        <f>'Merchants(corp)'!O159</f>
        <v>4412.25</v>
      </c>
      <c r="P94" s="315">
        <f>'Merchants(corp)'!P159</f>
        <v>9558.3333333333285</v>
      </c>
      <c r="Q94" s="314"/>
      <c r="R94" s="315"/>
      <c r="S94" s="314"/>
      <c r="T94" s="315">
        <f>I94+J94</f>
        <v>1110</v>
      </c>
      <c r="U94" s="315">
        <f>K94+L94</f>
        <v>5164.5833333333303</v>
      </c>
      <c r="V94" s="315">
        <f>M94+N94</f>
        <v>9567.5833333333248</v>
      </c>
      <c r="W94" s="315">
        <f>O94+P94</f>
        <v>13970.583333333328</v>
      </c>
      <c r="X94" s="314"/>
      <c r="Y94" s="324">
        <f>W94/$W$124</f>
        <v>8.6070451457377087E-2</v>
      </c>
    </row>
    <row r="95" spans="1:25" ht="15.6" hidden="1">
      <c r="A95" s="317"/>
      <c r="B95" s="314"/>
      <c r="C95" s="506"/>
      <c r="D95" s="314"/>
      <c r="E95" s="314"/>
      <c r="F95" s="314"/>
      <c r="G95" s="314"/>
      <c r="H95" s="314"/>
      <c r="I95" s="314"/>
      <c r="J95" s="314"/>
      <c r="K95" s="314"/>
      <c r="L95" s="314"/>
      <c r="M95" s="314"/>
      <c r="N95" s="314"/>
      <c r="O95" s="314"/>
      <c r="P95" s="314"/>
      <c r="Q95" s="314"/>
      <c r="R95" s="314"/>
      <c r="S95" s="314"/>
      <c r="T95" s="314"/>
      <c r="U95" s="314"/>
      <c r="V95" s="314"/>
      <c r="W95" s="314"/>
      <c r="X95" s="314"/>
      <c r="Y95" s="316"/>
    </row>
    <row r="96" spans="1:25" ht="15.6" hidden="1">
      <c r="A96" s="331" t="s">
        <v>462</v>
      </c>
      <c r="B96" s="314"/>
      <c r="C96" s="506" t="s">
        <v>198</v>
      </c>
      <c r="D96" s="314"/>
      <c r="E96" s="314"/>
      <c r="F96" s="314"/>
      <c r="G96" s="314"/>
      <c r="H96" s="314"/>
      <c r="I96" s="314"/>
      <c r="J96" s="314"/>
      <c r="K96" s="314"/>
      <c r="L96" s="314"/>
      <c r="M96" s="314"/>
      <c r="N96" s="314"/>
      <c r="O96" s="314"/>
      <c r="P96" s="314"/>
      <c r="Q96" s="314"/>
      <c r="R96" s="314"/>
      <c r="S96" s="314"/>
      <c r="T96" s="314"/>
      <c r="U96" s="314"/>
      <c r="V96" s="314"/>
      <c r="W96" s="314"/>
      <c r="X96" s="314"/>
      <c r="Y96" s="316"/>
    </row>
    <row r="97" spans="1:25" hidden="1" collapsed="1">
      <c r="A97" s="318" t="s">
        <v>495</v>
      </c>
      <c r="B97" s="322" t="s">
        <v>367</v>
      </c>
      <c r="C97" s="508"/>
      <c r="D97" s="320"/>
      <c r="E97" s="320"/>
      <c r="F97" s="320"/>
      <c r="G97" s="315">
        <f>'Merchants(corp)'!G197</f>
        <v>0.98940529926782494</v>
      </c>
      <c r="H97" s="315">
        <f>'Merchants(corp)'!H197</f>
        <v>3.7224466785449515</v>
      </c>
      <c r="I97" s="315">
        <f>'Merchants(corp)'!I197</f>
        <v>73.866033741793316</v>
      </c>
      <c r="J97" s="315">
        <f>'Merchants(corp)'!J197</f>
        <v>286.10781142450952</v>
      </c>
      <c r="K97" s="315">
        <f>'Merchants(corp)'!K197</f>
        <v>507.73783037489221</v>
      </c>
      <c r="L97" s="315">
        <f>'Merchants(corp)'!L197</f>
        <v>756.13145540931669</v>
      </c>
      <c r="M97" s="315">
        <f>'Merchants(corp)'!M197</f>
        <v>940.75529184278753</v>
      </c>
      <c r="N97" s="315">
        <f>'Merchants(corp)'!N197</f>
        <v>1050.6740456435907</v>
      </c>
      <c r="O97" s="315">
        <f>'Merchants(corp)'!O197</f>
        <v>1207.6799467103215</v>
      </c>
      <c r="P97" s="315">
        <f>'Merchants(corp)'!P197</f>
        <v>1251.8252179093918</v>
      </c>
      <c r="Q97" s="314"/>
      <c r="R97" s="315"/>
      <c r="S97" s="315">
        <f>E97+F97+G97+H97</f>
        <v>4.7118519778127768</v>
      </c>
      <c r="T97" s="315">
        <f>I97+J97</f>
        <v>359.97384516630285</v>
      </c>
      <c r="U97" s="315">
        <f>K97+L97</f>
        <v>1263.8692857842088</v>
      </c>
      <c r="V97" s="315">
        <f>M97+N97</f>
        <v>1991.4293374863782</v>
      </c>
      <c r="W97" s="315">
        <f>O97+P97</f>
        <v>2459.5051646197135</v>
      </c>
      <c r="X97" s="314"/>
      <c r="Y97" s="324">
        <f>W97/$W$124</f>
        <v>1.5152604213417671E-2</v>
      </c>
    </row>
    <row r="98" spans="1:25" ht="15.6" hidden="1">
      <c r="A98" s="317"/>
      <c r="B98" s="314"/>
      <c r="C98" s="506"/>
      <c r="D98" s="314"/>
      <c r="E98" s="314"/>
      <c r="F98" s="314"/>
      <c r="G98" s="314"/>
      <c r="H98" s="314"/>
      <c r="I98" s="314"/>
      <c r="J98" s="314"/>
      <c r="K98" s="314"/>
      <c r="L98" s="314"/>
      <c r="M98" s="314"/>
      <c r="N98" s="314"/>
      <c r="O98" s="314"/>
      <c r="P98" s="314"/>
      <c r="Q98" s="314"/>
      <c r="R98" s="314"/>
      <c r="S98" s="314"/>
      <c r="T98" s="314"/>
      <c r="U98" s="314"/>
      <c r="V98" s="314"/>
      <c r="W98" s="314"/>
      <c r="X98" s="314"/>
      <c r="Y98" s="316"/>
    </row>
    <row r="99" spans="1:25" ht="15.6" hidden="1">
      <c r="A99" s="331" t="s">
        <v>463</v>
      </c>
      <c r="B99" s="314"/>
      <c r="C99" s="506" t="s">
        <v>198</v>
      </c>
      <c r="D99" s="314"/>
      <c r="E99" s="314"/>
      <c r="F99" s="314"/>
      <c r="G99" s="314"/>
      <c r="H99" s="314"/>
      <c r="I99" s="314"/>
      <c r="J99" s="314"/>
      <c r="K99" s="314"/>
      <c r="L99" s="314"/>
      <c r="M99" s="314"/>
      <c r="N99" s="314"/>
      <c r="O99" s="314"/>
      <c r="P99" s="314"/>
      <c r="Q99" s="314"/>
      <c r="R99" s="314"/>
      <c r="S99" s="314"/>
      <c r="T99" s="314"/>
      <c r="U99" s="314"/>
      <c r="V99" s="314"/>
      <c r="W99" s="314"/>
      <c r="X99" s="314"/>
      <c r="Y99" s="316"/>
    </row>
    <row r="100" spans="1:25" hidden="1">
      <c r="A100" s="318" t="s">
        <v>383</v>
      </c>
      <c r="B100" s="322" t="s">
        <v>231</v>
      </c>
      <c r="C100" s="506"/>
      <c r="D100" s="314"/>
      <c r="E100" s="314"/>
      <c r="F100" s="314"/>
      <c r="G100" s="314"/>
      <c r="H100" s="314"/>
      <c r="I100" s="314"/>
      <c r="J100" s="314"/>
      <c r="K100" s="321">
        <f t="shared" ref="K100:P100" si="132">K101/K10</f>
        <v>1.0590759357729314E-3</v>
      </c>
      <c r="L100" s="321">
        <f t="shared" si="132"/>
        <v>1.4009659870102486E-3</v>
      </c>
      <c r="M100" s="321">
        <f t="shared" si="132"/>
        <v>1.6948555069682067E-3</v>
      </c>
      <c r="N100" s="321">
        <f t="shared" si="132"/>
        <v>1.9516849747716956E-3</v>
      </c>
      <c r="O100" s="321">
        <f t="shared" si="132"/>
        <v>2.1547138817970342E-3</v>
      </c>
      <c r="P100" s="321">
        <f t="shared" si="132"/>
        <v>2.3272390130591033E-3</v>
      </c>
      <c r="Q100" s="314"/>
      <c r="R100" s="315"/>
      <c r="S100" s="314"/>
      <c r="T100" s="314"/>
      <c r="U100" s="321">
        <f>L100</f>
        <v>1.4009659870102486E-3</v>
      </c>
      <c r="V100" s="321">
        <f t="shared" ref="V100:V101" si="133">N100</f>
        <v>1.9516849747716956E-3</v>
      </c>
      <c r="W100" s="321">
        <f t="shared" ref="W100:W101" si="134">P100</f>
        <v>2.3272390130591033E-3</v>
      </c>
      <c r="X100" s="314"/>
      <c r="Y100" s="316"/>
    </row>
    <row r="101" spans="1:25" hidden="1">
      <c r="A101" s="318" t="s">
        <v>489</v>
      </c>
      <c r="B101" s="322" t="s">
        <v>230</v>
      </c>
      <c r="C101" s="506"/>
      <c r="D101" s="314"/>
      <c r="E101" s="314"/>
      <c r="F101" s="314"/>
      <c r="G101" s="314"/>
      <c r="H101" s="314"/>
      <c r="I101" s="314"/>
      <c r="J101" s="314"/>
      <c r="K101" s="315">
        <f>'Merchants(corp)'!K184</f>
        <v>4983.3333333333339</v>
      </c>
      <c r="L101" s="315">
        <f>'Merchants(corp)'!L184</f>
        <v>6966.6666666666679</v>
      </c>
      <c r="M101" s="315">
        <f>'Merchants(corp)'!M184</f>
        <v>8950</v>
      </c>
      <c r="N101" s="315">
        <f>'Merchants(corp)'!N184</f>
        <v>10933.333333333336</v>
      </c>
      <c r="O101" s="315">
        <f>'Merchants(corp)'!O184</f>
        <v>12916.666666666668</v>
      </c>
      <c r="P101" s="315">
        <f>'Merchants(corp)'!P184</f>
        <v>14900</v>
      </c>
      <c r="Q101" s="314"/>
      <c r="R101" s="314"/>
      <c r="S101" s="314"/>
      <c r="T101" s="314"/>
      <c r="U101" s="315">
        <f t="shared" ref="U101" si="135">L101</f>
        <v>6966.6666666666679</v>
      </c>
      <c r="V101" s="315">
        <f t="shared" si="133"/>
        <v>10933.333333333336</v>
      </c>
      <c r="W101" s="315">
        <f t="shared" si="134"/>
        <v>14900</v>
      </c>
      <c r="X101" s="314"/>
      <c r="Y101" s="316"/>
    </row>
    <row r="102" spans="1:25" hidden="1">
      <c r="A102" s="318" t="s">
        <v>495</v>
      </c>
      <c r="B102" s="322" t="s">
        <v>367</v>
      </c>
      <c r="C102" s="506"/>
      <c r="D102" s="314"/>
      <c r="E102" s="314"/>
      <c r="F102" s="314"/>
      <c r="G102" s="314"/>
      <c r="H102" s="314"/>
      <c r="I102" s="314"/>
      <c r="J102" s="314"/>
      <c r="K102" s="315">
        <f>'Merchants(corp)'!K194</f>
        <v>478.40000000000009</v>
      </c>
      <c r="L102" s="315">
        <f>'Merchants(corp)'!L194</f>
        <v>668.80000000000007</v>
      </c>
      <c r="M102" s="315">
        <f>'Merchants(corp)'!M194</f>
        <v>859.2</v>
      </c>
      <c r="N102" s="315">
        <f>'Merchants(corp)'!N194</f>
        <v>1049.6000000000001</v>
      </c>
      <c r="O102" s="315">
        <f>'Merchants(corp)'!O194</f>
        <v>1240.0000000000002</v>
      </c>
      <c r="P102" s="315">
        <f>'Merchants(corp)'!P194</f>
        <v>1430.4</v>
      </c>
      <c r="Q102" s="314"/>
      <c r="R102" s="314"/>
      <c r="S102" s="314"/>
      <c r="T102" s="314"/>
      <c r="U102" s="315">
        <f>K102+L102</f>
        <v>1147.2000000000003</v>
      </c>
      <c r="V102" s="315">
        <f>M102+N102</f>
        <v>1908.8000000000002</v>
      </c>
      <c r="W102" s="315">
        <f>O102+P102</f>
        <v>2670.4000000000005</v>
      </c>
      <c r="X102" s="314"/>
      <c r="Y102" s="324">
        <f>W102/$W$124</f>
        <v>1.64518923861528E-2</v>
      </c>
    </row>
    <row r="103" spans="1:25" ht="15.6" hidden="1">
      <c r="A103" s="317"/>
      <c r="B103" s="314"/>
      <c r="C103" s="506"/>
      <c r="D103" s="314"/>
      <c r="E103" s="314"/>
      <c r="F103" s="314"/>
      <c r="G103" s="314"/>
      <c r="H103" s="314"/>
      <c r="I103" s="314"/>
      <c r="J103" s="314"/>
      <c r="K103" s="314"/>
      <c r="L103" s="314"/>
      <c r="M103" s="314"/>
      <c r="N103" s="314"/>
      <c r="O103" s="314"/>
      <c r="P103" s="314"/>
      <c r="Q103" s="314"/>
      <c r="R103" s="314"/>
      <c r="S103" s="314"/>
      <c r="T103" s="314"/>
      <c r="U103" s="314"/>
      <c r="V103" s="314"/>
      <c r="W103" s="314"/>
      <c r="X103" s="314"/>
      <c r="Y103" s="316"/>
    </row>
    <row r="104" spans="1:25" ht="15.6" hidden="1">
      <c r="A104" s="331" t="s">
        <v>486</v>
      </c>
      <c r="B104" s="314"/>
      <c r="C104" s="506" t="s">
        <v>198</v>
      </c>
      <c r="D104" s="314"/>
      <c r="E104" s="314"/>
      <c r="F104" s="314"/>
      <c r="G104" s="314"/>
      <c r="H104" s="314"/>
      <c r="I104" s="314"/>
      <c r="J104" s="314"/>
      <c r="K104" s="314"/>
      <c r="L104" s="314"/>
      <c r="M104" s="314"/>
      <c r="N104" s="314"/>
      <c r="O104" s="314"/>
      <c r="P104" s="314"/>
      <c r="Q104" s="314"/>
      <c r="R104" s="314"/>
      <c r="S104" s="314"/>
      <c r="T104" s="314"/>
      <c r="U104" s="314"/>
      <c r="V104" s="314"/>
      <c r="W104" s="314"/>
      <c r="X104" s="314"/>
      <c r="Y104" s="316"/>
    </row>
    <row r="105" spans="1:25" hidden="1">
      <c r="A105" s="318" t="s">
        <v>383</v>
      </c>
      <c r="B105" s="319" t="s">
        <v>231</v>
      </c>
      <c r="C105" s="506"/>
      <c r="D105" s="320"/>
      <c r="E105" s="321"/>
      <c r="F105" s="321"/>
      <c r="G105" s="321"/>
      <c r="H105" s="321"/>
      <c r="I105" s="321"/>
      <c r="J105" s="321">
        <f t="shared" ref="J105:P105" si="136">J106/J10</f>
        <v>1.6179919694499413E-4</v>
      </c>
      <c r="K105" s="321">
        <f t="shared" si="136"/>
        <v>2.5417822458550355E-4</v>
      </c>
      <c r="L105" s="321">
        <f t="shared" si="136"/>
        <v>3.3623183688245969E-4</v>
      </c>
      <c r="M105" s="321">
        <f t="shared" si="136"/>
        <v>4.0676532167236963E-4</v>
      </c>
      <c r="N105" s="321">
        <f t="shared" si="136"/>
        <v>4.6840439394520692E-4</v>
      </c>
      <c r="O105" s="321">
        <f t="shared" si="136"/>
        <v>5.1713133163128818E-4</v>
      </c>
      <c r="P105" s="321">
        <f t="shared" si="136"/>
        <v>5.5853736313418473E-4</v>
      </c>
      <c r="Q105" s="314"/>
      <c r="R105" s="315"/>
      <c r="S105" s="314"/>
      <c r="T105" s="321">
        <f>J105</f>
        <v>1.6179919694499413E-4</v>
      </c>
      <c r="U105" s="321">
        <f>L105</f>
        <v>3.3623183688245969E-4</v>
      </c>
      <c r="V105" s="321">
        <f t="shared" ref="V105" si="137">N105</f>
        <v>4.6840439394520692E-4</v>
      </c>
      <c r="W105" s="321">
        <f t="shared" ref="W105" si="138">P105</f>
        <v>5.5853736313418473E-4</v>
      </c>
      <c r="X105" s="314"/>
      <c r="Y105" s="316"/>
    </row>
    <row r="106" spans="1:25" hidden="1">
      <c r="A106" s="318" t="s">
        <v>395</v>
      </c>
      <c r="B106" s="322" t="s">
        <v>230</v>
      </c>
      <c r="C106" s="506"/>
      <c r="D106" s="320"/>
      <c r="E106" s="321"/>
      <c r="F106" s="321"/>
      <c r="G106" s="321"/>
      <c r="H106" s="321"/>
      <c r="I106" s="323"/>
      <c r="J106" s="323">
        <f>'Merchants(corp)'!J67</f>
        <v>720</v>
      </c>
      <c r="K106" s="323">
        <f>'Merchants(corp)'!K67</f>
        <v>1196.0000000000002</v>
      </c>
      <c r="L106" s="323">
        <f>'Merchants(corp)'!L67</f>
        <v>1672.0000000000005</v>
      </c>
      <c r="M106" s="323">
        <f>'Merchants(corp)'!M67</f>
        <v>2148</v>
      </c>
      <c r="N106" s="323">
        <f>'Merchants(corp)'!N67</f>
        <v>2624.0000000000005</v>
      </c>
      <c r="O106" s="323">
        <f>'Merchants(corp)'!O67</f>
        <v>3100</v>
      </c>
      <c r="P106" s="323">
        <f>'Merchants(corp)'!P67</f>
        <v>3576</v>
      </c>
      <c r="Q106" s="314"/>
      <c r="R106" s="315"/>
      <c r="S106" s="314"/>
      <c r="T106" s="315">
        <f>I106+J106</f>
        <v>720</v>
      </c>
      <c r="U106" s="315">
        <f>K106+L106</f>
        <v>2868.0000000000009</v>
      </c>
      <c r="V106" s="315">
        <f>M106+N106</f>
        <v>4772</v>
      </c>
      <c r="W106" s="315">
        <f>O106+P106</f>
        <v>6676</v>
      </c>
      <c r="X106" s="314"/>
      <c r="Y106" s="316"/>
    </row>
    <row r="107" spans="1:25" hidden="1">
      <c r="A107" s="318" t="s">
        <v>376</v>
      </c>
      <c r="B107" s="322" t="s">
        <v>367</v>
      </c>
      <c r="C107" s="506"/>
      <c r="D107" s="320"/>
      <c r="E107" s="321"/>
      <c r="F107" s="321"/>
      <c r="G107" s="321"/>
      <c r="H107" s="321"/>
      <c r="I107" s="315"/>
      <c r="J107" s="315">
        <f>'Merchants(corp)'!J83</f>
        <v>30600</v>
      </c>
      <c r="K107" s="315">
        <f>'Merchants(corp)'!K83</f>
        <v>55551.750000000007</v>
      </c>
      <c r="L107" s="315">
        <f>'Merchants(corp)'!L83</f>
        <v>108548.24062500003</v>
      </c>
      <c r="M107" s="315">
        <f>'Merchants(corp)'!M83</f>
        <v>166609.50339843755</v>
      </c>
      <c r="N107" s="315">
        <f>'Merchants(corp)'!N83</f>
        <v>227899.55841650401</v>
      </c>
      <c r="O107" s="315">
        <f>'Merchants(corp)'!O83</f>
        <v>291247.96849052131</v>
      </c>
      <c r="P107" s="315">
        <f>'Merchants(corp)'!P83</f>
        <v>355908.57991270733</v>
      </c>
      <c r="Q107" s="314"/>
      <c r="R107" s="315"/>
      <c r="S107" s="314"/>
      <c r="T107" s="315">
        <f t="shared" ref="T107:T108" si="139">J107</f>
        <v>30600</v>
      </c>
      <c r="U107" s="315">
        <f t="shared" ref="U107:U108" si="140">L107</f>
        <v>108548.24062500003</v>
      </c>
      <c r="V107" s="315">
        <f t="shared" ref="V107:V108" si="141">N107</f>
        <v>227899.55841650401</v>
      </c>
      <c r="W107" s="315">
        <f t="shared" ref="W107:W108" si="142">P107</f>
        <v>355908.57991270733</v>
      </c>
      <c r="X107" s="314"/>
      <c r="Y107" s="316"/>
    </row>
    <row r="108" spans="1:25" hidden="1">
      <c r="A108" s="318" t="s">
        <v>494</v>
      </c>
      <c r="B108" s="322" t="s">
        <v>390</v>
      </c>
      <c r="C108" s="507"/>
      <c r="D108" s="320"/>
      <c r="E108" s="321"/>
      <c r="F108" s="321"/>
      <c r="G108" s="321"/>
      <c r="H108" s="321"/>
      <c r="I108" s="321"/>
      <c r="J108" s="321">
        <f>'Merchants(corp)'!J114</f>
        <v>-0.12576470588235292</v>
      </c>
      <c r="K108" s="321">
        <f>'Merchants(corp)'!K114</f>
        <v>-0.10355370612230436</v>
      </c>
      <c r="L108" s="321">
        <f>'Merchants(corp)'!L114</f>
        <v>-1.5444442352994248E-2</v>
      </c>
      <c r="M108" s="321">
        <f>'Merchants(corp)'!M114</f>
        <v>1.9490730053503501E-2</v>
      </c>
      <c r="N108" s="321">
        <f>'Merchants(corp)'!N114</f>
        <v>3.7709002455108442E-2</v>
      </c>
      <c r="O108" s="321">
        <f>'Merchants(corp)'!O114</f>
        <v>4.8381776763657292E-2</v>
      </c>
      <c r="P108" s="321">
        <f>'Merchants(corp)'!P114</f>
        <v>5.4971695567639978E-2</v>
      </c>
      <c r="Q108" s="314"/>
      <c r="R108" s="315"/>
      <c r="S108" s="314"/>
      <c r="T108" s="321">
        <f t="shared" si="139"/>
        <v>-0.12576470588235292</v>
      </c>
      <c r="U108" s="321">
        <f t="shared" si="140"/>
        <v>-1.5444442352994248E-2</v>
      </c>
      <c r="V108" s="321">
        <f t="shared" si="141"/>
        <v>3.7709002455108442E-2</v>
      </c>
      <c r="W108" s="321">
        <f t="shared" si="142"/>
        <v>5.4971695567639978E-2</v>
      </c>
      <c r="X108" s="314"/>
      <c r="Y108" s="316"/>
    </row>
    <row r="109" spans="1:25" hidden="1">
      <c r="A109" s="318" t="s">
        <v>495</v>
      </c>
      <c r="B109" s="322" t="s">
        <v>367</v>
      </c>
      <c r="C109" s="507"/>
      <c r="D109" s="320"/>
      <c r="E109" s="321"/>
      <c r="F109" s="321"/>
      <c r="G109" s="321"/>
      <c r="H109" s="315"/>
      <c r="I109" s="315"/>
      <c r="J109" s="315">
        <f>'Merchants(corp)'!J113</f>
        <v>-1924.1999999999996</v>
      </c>
      <c r="K109" s="315">
        <f>'Merchants(corp)'!K113</f>
        <v>-2876.2947970398609</v>
      </c>
      <c r="L109" s="315">
        <f>'Merchants(corp)'!L113</f>
        <v>-838.23352242588066</v>
      </c>
      <c r="M109" s="315">
        <f>'Merchants(corp)'!M113</f>
        <v>1623.6704275436102</v>
      </c>
      <c r="N109" s="315">
        <f>'Merchants(corp)'!N113</f>
        <v>4296.9325039230398</v>
      </c>
      <c r="O109" s="315">
        <f>'Merchants(corp)'!O113</f>
        <v>7045.547097188547</v>
      </c>
      <c r="P109" s="315">
        <f>'Merchants(corp)'!P113</f>
        <v>9782.4490524362063</v>
      </c>
      <c r="Q109" s="314"/>
      <c r="R109" s="315"/>
      <c r="S109" s="314"/>
      <c r="T109" s="315">
        <f>I109+J109</f>
        <v>-1924.1999999999996</v>
      </c>
      <c r="U109" s="315">
        <f>K109+L109</f>
        <v>-3714.5283194657413</v>
      </c>
      <c r="V109" s="315">
        <f>M109+N109</f>
        <v>5920.6029314666503</v>
      </c>
      <c r="W109" s="315">
        <f>O109+P109</f>
        <v>16827.996149624752</v>
      </c>
      <c r="X109" s="314"/>
      <c r="Y109" s="324">
        <f>W109/$W$124</f>
        <v>0.10367449884969296</v>
      </c>
    </row>
    <row r="110" spans="1:25" ht="15.6" hidden="1">
      <c r="A110" s="317"/>
      <c r="B110" s="314"/>
      <c r="C110" s="506"/>
      <c r="D110" s="314"/>
      <c r="E110" s="314"/>
      <c r="F110" s="314"/>
      <c r="G110" s="314"/>
      <c r="H110" s="314"/>
      <c r="I110" s="314"/>
      <c r="J110" s="314"/>
      <c r="K110" s="314"/>
      <c r="L110" s="314"/>
      <c r="M110" s="314"/>
      <c r="N110" s="314"/>
      <c r="O110" s="314"/>
      <c r="P110" s="314"/>
      <c r="Q110" s="314"/>
      <c r="R110" s="314"/>
      <c r="S110" s="314"/>
      <c r="T110" s="314"/>
      <c r="U110" s="314"/>
      <c r="V110" s="314"/>
      <c r="W110" s="314"/>
      <c r="X110" s="314"/>
      <c r="Y110" s="316"/>
    </row>
    <row r="111" spans="1:25" ht="15.6" hidden="1">
      <c r="A111" s="331" t="s">
        <v>551</v>
      </c>
      <c r="B111" s="314"/>
      <c r="C111" s="506" t="s">
        <v>198</v>
      </c>
      <c r="D111" s="314"/>
      <c r="E111" s="314"/>
      <c r="F111" s="314"/>
      <c r="G111" s="314"/>
      <c r="H111" s="314"/>
      <c r="I111" s="314"/>
      <c r="J111" s="314"/>
      <c r="K111" s="314"/>
      <c r="L111" s="314"/>
      <c r="M111" s="314"/>
      <c r="N111" s="314"/>
      <c r="O111" s="314"/>
      <c r="P111" s="314"/>
      <c r="Q111" s="314"/>
      <c r="R111" s="314"/>
      <c r="S111" s="314"/>
      <c r="T111" s="314"/>
      <c r="U111" s="314"/>
      <c r="V111" s="314"/>
      <c r="W111" s="314"/>
      <c r="X111" s="314"/>
      <c r="Y111" s="316"/>
    </row>
    <row r="112" spans="1:25" hidden="1">
      <c r="A112" s="318" t="s">
        <v>383</v>
      </c>
      <c r="B112" s="322" t="s">
        <v>231</v>
      </c>
      <c r="C112" s="506"/>
      <c r="D112" s="314"/>
      <c r="E112" s="314"/>
      <c r="F112" s="314"/>
      <c r="G112" s="314"/>
      <c r="H112" s="314"/>
      <c r="I112" s="314"/>
      <c r="J112" s="321">
        <f t="shared" ref="J112:P112" si="143">J113/J10</f>
        <v>6.7416332060414221E-3</v>
      </c>
      <c r="K112" s="321">
        <f t="shared" si="143"/>
        <v>1.0590759357729313E-2</v>
      </c>
      <c r="L112" s="321">
        <f t="shared" si="143"/>
        <v>1.4009659870102486E-2</v>
      </c>
      <c r="M112" s="321">
        <f t="shared" si="143"/>
        <v>1.6948555069682066E-2</v>
      </c>
      <c r="N112" s="321">
        <f t="shared" si="143"/>
        <v>1.9516849747716954E-2</v>
      </c>
      <c r="O112" s="321">
        <f t="shared" si="143"/>
        <v>2.1547138817970341E-2</v>
      </c>
      <c r="P112" s="321">
        <f t="shared" si="143"/>
        <v>2.3272390130591031E-2</v>
      </c>
      <c r="Q112" s="314"/>
      <c r="R112" s="314"/>
      <c r="S112" s="314"/>
      <c r="T112" s="321">
        <f>J112</f>
        <v>6.7416332060414221E-3</v>
      </c>
      <c r="U112" s="321">
        <f>L112</f>
        <v>1.4009659870102486E-2</v>
      </c>
      <c r="V112" s="321">
        <f t="shared" ref="V112" si="144">N112</f>
        <v>1.9516849747716954E-2</v>
      </c>
      <c r="W112" s="321">
        <f t="shared" ref="W112" si="145">P112</f>
        <v>2.3272390130591031E-2</v>
      </c>
      <c r="X112" s="314"/>
      <c r="Y112" s="316"/>
    </row>
    <row r="113" spans="1:25" hidden="1">
      <c r="A113" s="318" t="s">
        <v>489</v>
      </c>
      <c r="B113" s="322" t="s">
        <v>230</v>
      </c>
      <c r="C113" s="506"/>
      <c r="D113" s="314"/>
      <c r="E113" s="314"/>
      <c r="F113" s="314"/>
      <c r="G113" s="314"/>
      <c r="H113" s="314"/>
      <c r="I113" s="314"/>
      <c r="J113" s="315">
        <f>'Merchants(corp)'!J162</f>
        <v>30000</v>
      </c>
      <c r="K113" s="315">
        <f>'Merchants(corp)'!K162</f>
        <v>49833.333333333336</v>
      </c>
      <c r="L113" s="315">
        <f>'Merchants(corp)'!L162</f>
        <v>69666.666666666672</v>
      </c>
      <c r="M113" s="315">
        <f>'Merchants(corp)'!M162</f>
        <v>89500</v>
      </c>
      <c r="N113" s="315">
        <f>'Merchants(corp)'!N162</f>
        <v>109333.33333333334</v>
      </c>
      <c r="O113" s="315">
        <f>'Merchants(corp)'!O162</f>
        <v>129166.66666666667</v>
      </c>
      <c r="P113" s="315">
        <f>'Merchants(corp)'!P162</f>
        <v>149000</v>
      </c>
      <c r="Q113" s="314"/>
      <c r="R113" s="314"/>
      <c r="S113" s="314"/>
      <c r="T113" s="315">
        <f>J113</f>
        <v>30000</v>
      </c>
      <c r="U113" s="315">
        <f>L113</f>
        <v>69666.666666666672</v>
      </c>
      <c r="V113" s="315">
        <f>N113</f>
        <v>109333.33333333334</v>
      </c>
      <c r="W113" s="315">
        <f>P113</f>
        <v>149000</v>
      </c>
      <c r="X113" s="314"/>
      <c r="Y113" s="316"/>
    </row>
    <row r="114" spans="1:25" hidden="1">
      <c r="A114" s="318" t="s">
        <v>495</v>
      </c>
      <c r="B114" s="322" t="s">
        <v>367</v>
      </c>
      <c r="C114" s="506"/>
      <c r="D114" s="314"/>
      <c r="E114" s="314"/>
      <c r="F114" s="314"/>
      <c r="G114" s="314"/>
      <c r="H114" s="314"/>
      <c r="I114" s="314"/>
      <c r="J114" s="315">
        <f>'Merchants(corp)'!J167+'Merchants(corp)'!J281</f>
        <v>651.16800000000001</v>
      </c>
      <c r="K114" s="315">
        <f>'Merchants(corp)'!K167+'Merchants(corp)'!K281</f>
        <v>1094.4117600000002</v>
      </c>
      <c r="L114" s="315">
        <f>'Merchants(corp)'!L167+'Merchants(corp)'!L281</f>
        <v>1540.0273680000003</v>
      </c>
      <c r="M114" s="315">
        <f>'Merchants(corp)'!M167+'Merchants(corp)'!M281</f>
        <v>5087.4265188000008</v>
      </c>
      <c r="N114" s="315">
        <f>'Merchants(corp)'!N167+'Merchants(corp)'!N281</f>
        <v>6387.6269865600034</v>
      </c>
      <c r="O114" s="315">
        <f>'Merchants(corp)'!O167+'Merchants(corp)'!O281</f>
        <v>7736.2944729750034</v>
      </c>
      <c r="P114" s="315">
        <f>'Merchants(corp)'!P167+'Merchants(corp)'!P281</f>
        <v>9121.8227962419041</v>
      </c>
      <c r="Q114" s="314"/>
      <c r="R114" s="314"/>
      <c r="S114" s="314"/>
      <c r="T114" s="315">
        <f>I114+J114</f>
        <v>651.16800000000001</v>
      </c>
      <c r="U114" s="315">
        <f>K114+L114</f>
        <v>2634.4391280000004</v>
      </c>
      <c r="V114" s="315">
        <f>M114+N114</f>
        <v>11475.053505360003</v>
      </c>
      <c r="W114" s="315">
        <f>O114+P114</f>
        <v>16858.117269216906</v>
      </c>
      <c r="X114" s="314"/>
      <c r="Y114" s="324">
        <f>W114/$W$124</f>
        <v>0.10386007008174829</v>
      </c>
    </row>
    <row r="115" spans="1:25" ht="15.6" hidden="1">
      <c r="A115" s="317"/>
      <c r="B115" s="314"/>
      <c r="C115" s="506"/>
      <c r="D115" s="314"/>
      <c r="E115" s="314"/>
      <c r="F115" s="314"/>
      <c r="G115" s="314"/>
      <c r="H115" s="314"/>
      <c r="I115" s="314"/>
      <c r="J115" s="314"/>
      <c r="K115" s="314"/>
      <c r="L115" s="314"/>
      <c r="M115" s="314"/>
      <c r="N115" s="314"/>
      <c r="O115" s="314"/>
      <c r="P115" s="314"/>
      <c r="Q115" s="314"/>
      <c r="R115" s="314"/>
      <c r="S115" s="314"/>
      <c r="T115" s="314"/>
      <c r="U115" s="314"/>
      <c r="V115" s="314"/>
      <c r="W115" s="314"/>
      <c r="X115" s="314"/>
      <c r="Y115" s="316"/>
    </row>
    <row r="116" spans="1:25" ht="15.6" hidden="1">
      <c r="A116" s="331" t="s">
        <v>488</v>
      </c>
      <c r="B116" s="314"/>
      <c r="C116" s="506" t="s">
        <v>198</v>
      </c>
      <c r="D116" s="314"/>
      <c r="E116" s="314"/>
      <c r="F116" s="314"/>
      <c r="G116" s="314"/>
      <c r="H116" s="314"/>
      <c r="I116" s="314"/>
      <c r="J116" s="314"/>
      <c r="K116" s="314"/>
      <c r="L116" s="314"/>
      <c r="M116" s="314"/>
      <c r="N116" s="314"/>
      <c r="O116" s="314"/>
      <c r="P116" s="314"/>
      <c r="Q116" s="314"/>
      <c r="R116" s="314"/>
      <c r="S116" s="314"/>
      <c r="T116" s="314"/>
      <c r="U116" s="314"/>
      <c r="V116" s="314"/>
      <c r="W116" s="314"/>
      <c r="X116" s="314"/>
      <c r="Y116" s="316"/>
    </row>
    <row r="117" spans="1:25" hidden="1">
      <c r="A117" s="318" t="s">
        <v>383</v>
      </c>
      <c r="B117" s="322" t="s">
        <v>231</v>
      </c>
      <c r="C117" s="314"/>
      <c r="D117" s="314"/>
      <c r="E117" s="314"/>
      <c r="F117" s="314"/>
      <c r="G117" s="314"/>
      <c r="H117" s="314"/>
      <c r="I117" s="314"/>
      <c r="J117" s="321">
        <f t="shared" ref="J117:P117" si="146">J118/J10</f>
        <v>6.7416332060414221E-3</v>
      </c>
      <c r="K117" s="321">
        <f t="shared" si="146"/>
        <v>1.0590759357729313E-2</v>
      </c>
      <c r="L117" s="321">
        <f t="shared" si="146"/>
        <v>1.4009659870102486E-2</v>
      </c>
      <c r="M117" s="321">
        <f t="shared" si="146"/>
        <v>1.6948555069682066E-2</v>
      </c>
      <c r="N117" s="321">
        <f t="shared" si="146"/>
        <v>1.9516849747716954E-2</v>
      </c>
      <c r="O117" s="321">
        <f t="shared" si="146"/>
        <v>2.1547138817970341E-2</v>
      </c>
      <c r="P117" s="321">
        <f t="shared" si="146"/>
        <v>2.3272390130591031E-2</v>
      </c>
      <c r="Q117" s="314"/>
      <c r="R117" s="314"/>
      <c r="S117" s="314"/>
      <c r="T117" s="321">
        <f>J117</f>
        <v>6.7416332060414221E-3</v>
      </c>
      <c r="U117" s="321">
        <f>L117</f>
        <v>1.4009659870102486E-2</v>
      </c>
      <c r="V117" s="321">
        <f t="shared" ref="V117" si="147">N117</f>
        <v>1.9516849747716954E-2</v>
      </c>
      <c r="W117" s="321">
        <f t="shared" ref="W117" si="148">P117</f>
        <v>2.3272390130591031E-2</v>
      </c>
      <c r="X117" s="314"/>
      <c r="Y117" s="316"/>
    </row>
    <row r="118" spans="1:25" hidden="1">
      <c r="A118" s="318" t="s">
        <v>489</v>
      </c>
      <c r="B118" s="322" t="s">
        <v>230</v>
      </c>
      <c r="C118" s="314"/>
      <c r="D118" s="314"/>
      <c r="E118" s="314"/>
      <c r="F118" s="314"/>
      <c r="G118" s="314"/>
      <c r="H118" s="314"/>
      <c r="I118" s="314"/>
      <c r="J118" s="315">
        <f>'Merchants(corp)'!J170</f>
        <v>30000</v>
      </c>
      <c r="K118" s="315">
        <f>'Merchants(corp)'!K170</f>
        <v>49833.333333333336</v>
      </c>
      <c r="L118" s="315">
        <f>'Merchants(corp)'!L170</f>
        <v>69666.666666666672</v>
      </c>
      <c r="M118" s="315">
        <f>'Merchants(corp)'!M170</f>
        <v>89500</v>
      </c>
      <c r="N118" s="315">
        <f>'Merchants(corp)'!N170</f>
        <v>109333.33333333334</v>
      </c>
      <c r="O118" s="315">
        <f>'Merchants(corp)'!O170</f>
        <v>129166.66666666667</v>
      </c>
      <c r="P118" s="315">
        <f>'Merchants(corp)'!P170</f>
        <v>149000</v>
      </c>
      <c r="Q118" s="314"/>
      <c r="R118" s="314"/>
      <c r="S118" s="314"/>
      <c r="T118" s="315">
        <f>J118</f>
        <v>30000</v>
      </c>
      <c r="U118" s="315">
        <f>L118</f>
        <v>69666.666666666672</v>
      </c>
      <c r="V118" s="315">
        <f>N118</f>
        <v>109333.33333333334</v>
      </c>
      <c r="W118" s="315">
        <f>P118</f>
        <v>149000</v>
      </c>
      <c r="X118" s="314"/>
      <c r="Y118" s="316"/>
    </row>
    <row r="119" spans="1:25" hidden="1">
      <c r="A119" s="318" t="s">
        <v>495</v>
      </c>
      <c r="B119" s="322" t="s">
        <v>367</v>
      </c>
      <c r="C119" s="314"/>
      <c r="D119" s="314"/>
      <c r="E119" s="314"/>
      <c r="F119" s="314"/>
      <c r="G119" s="314"/>
      <c r="H119" s="314"/>
      <c r="I119" s="314"/>
      <c r="J119" s="315">
        <f>'Merchants(corp)'!J179</f>
        <v>-180</v>
      </c>
      <c r="K119" s="315">
        <f>'Merchants(corp)'!K179</f>
        <v>-134.54999999999953</v>
      </c>
      <c r="L119" s="315">
        <f>'Merchants(corp)'!L179</f>
        <v>53.295000000000933</v>
      </c>
      <c r="M119" s="315">
        <f>'Merchants(corp)'!M179</f>
        <v>394.09087500000095</v>
      </c>
      <c r="N119" s="315">
        <f>'Merchants(corp)'!N179</f>
        <v>899.09310000000153</v>
      </c>
      <c r="O119" s="315">
        <f>'Merchants(corp)'!O179</f>
        <v>1580.3003203125038</v>
      </c>
      <c r="P119" s="315">
        <f>'Merchants(corp)'!P179</f>
        <v>2450.5005299062541</v>
      </c>
      <c r="Q119" s="314"/>
      <c r="R119" s="314"/>
      <c r="S119" s="314"/>
      <c r="T119" s="315">
        <f>I119+J119</f>
        <v>-180</v>
      </c>
      <c r="U119" s="315">
        <f>K119+L119</f>
        <v>-81.254999999998603</v>
      </c>
      <c r="V119" s="315">
        <f>M119+N119</f>
        <v>1293.1839750000024</v>
      </c>
      <c r="W119" s="315">
        <f>O119+P119</f>
        <v>4030.8008502187577</v>
      </c>
      <c r="X119" s="314"/>
      <c r="Y119" s="324">
        <f>W119/$W$124</f>
        <v>2.4833096846095044E-2</v>
      </c>
    </row>
    <row r="120" spans="1:25" ht="15.6" hidden="1">
      <c r="A120" s="317"/>
      <c r="B120" s="314"/>
      <c r="C120" s="314"/>
      <c r="D120" s="314"/>
      <c r="E120" s="314"/>
      <c r="F120" s="314"/>
      <c r="G120" s="314"/>
      <c r="H120" s="314"/>
      <c r="I120" s="314"/>
      <c r="J120" s="314"/>
      <c r="K120" s="314"/>
      <c r="L120" s="314"/>
      <c r="M120" s="314"/>
      <c r="N120" s="314"/>
      <c r="O120" s="314"/>
      <c r="P120" s="314"/>
      <c r="Q120" s="314"/>
      <c r="R120" s="314"/>
      <c r="S120" s="314"/>
      <c r="T120" s="314"/>
      <c r="U120" s="314"/>
      <c r="V120" s="314"/>
      <c r="W120" s="314"/>
      <c r="X120" s="314"/>
      <c r="Y120" s="316"/>
    </row>
    <row r="121" spans="1:25" ht="15.6" hidden="1">
      <c r="A121" s="325"/>
      <c r="B121" s="314"/>
      <c r="C121" s="314"/>
      <c r="D121" s="314"/>
      <c r="E121" s="314"/>
      <c r="F121" s="314"/>
      <c r="G121" s="314"/>
      <c r="H121" s="314"/>
      <c r="I121" s="314"/>
      <c r="J121" s="314"/>
      <c r="K121" s="314"/>
      <c r="L121" s="314"/>
      <c r="M121" s="314"/>
      <c r="N121" s="314"/>
      <c r="O121" s="314"/>
      <c r="P121" s="314"/>
      <c r="Q121" s="314"/>
      <c r="R121" s="314"/>
      <c r="S121" s="314"/>
      <c r="T121" s="314"/>
      <c r="U121" s="314"/>
      <c r="V121" s="314"/>
      <c r="W121" s="314"/>
      <c r="X121" s="314"/>
      <c r="Y121" s="316"/>
    </row>
    <row r="122" spans="1:25" hidden="1">
      <c r="A122" s="326"/>
      <c r="B122" s="322"/>
      <c r="C122" s="314"/>
      <c r="D122" s="314"/>
      <c r="E122" s="314"/>
      <c r="F122" s="314"/>
      <c r="G122" s="314"/>
      <c r="H122" s="314"/>
      <c r="I122" s="314"/>
      <c r="J122" s="315"/>
      <c r="K122" s="315"/>
      <c r="L122" s="315"/>
      <c r="M122" s="315"/>
      <c r="N122" s="315"/>
      <c r="O122" s="315"/>
      <c r="P122" s="315"/>
      <c r="Q122" s="314"/>
      <c r="R122" s="314"/>
      <c r="S122" s="314"/>
      <c r="T122" s="315"/>
      <c r="U122" s="315"/>
      <c r="V122" s="315"/>
      <c r="W122" s="315"/>
      <c r="X122" s="314"/>
      <c r="Y122" s="324"/>
    </row>
    <row r="123" spans="1:25" hidden="1">
      <c r="A123" s="318"/>
      <c r="B123" s="322"/>
      <c r="C123" s="314"/>
      <c r="D123" s="314"/>
      <c r="E123" s="314"/>
      <c r="F123" s="314"/>
      <c r="G123" s="314"/>
      <c r="H123" s="314"/>
      <c r="I123" s="314"/>
      <c r="J123" s="315"/>
      <c r="K123" s="315"/>
      <c r="L123" s="315"/>
      <c r="M123" s="315"/>
      <c r="N123" s="315"/>
      <c r="O123" s="315"/>
      <c r="P123" s="315"/>
      <c r="Q123" s="314"/>
      <c r="R123" s="314"/>
      <c r="S123" s="314"/>
      <c r="T123" s="315"/>
      <c r="U123" s="315"/>
      <c r="V123" s="315"/>
      <c r="W123" s="315"/>
      <c r="X123" s="314"/>
      <c r="Y123" s="324"/>
    </row>
    <row r="124" spans="1:25" s="239" customFormat="1" hidden="1">
      <c r="A124" s="241" t="s">
        <v>852</v>
      </c>
      <c r="B124" s="242" t="s">
        <v>367</v>
      </c>
      <c r="C124" s="243"/>
      <c r="D124" s="244"/>
      <c r="E124" s="244">
        <f t="shared" ref="E124:P124" si="149">E33+E22+E52+E30+E55+E63+E69+E76+E83+E87+E94+E97+E102+E109+E114+E119</f>
        <v>3367.9944166765658</v>
      </c>
      <c r="F124" s="244">
        <f t="shared" si="149"/>
        <v>3402.0404034338376</v>
      </c>
      <c r="G124" s="244">
        <f t="shared" si="149"/>
        <v>2767.5839434986051</v>
      </c>
      <c r="H124" s="244">
        <f t="shared" si="149"/>
        <v>2658.4036219262125</v>
      </c>
      <c r="I124" s="244">
        <f t="shared" si="149"/>
        <v>1916.9731009745656</v>
      </c>
      <c r="J124" s="244">
        <f t="shared" si="149"/>
        <v>3925.7539589616326</v>
      </c>
      <c r="K124" s="244">
        <f t="shared" si="149"/>
        <v>9086.7109283862428</v>
      </c>
      <c r="L124" s="244">
        <f t="shared" si="149"/>
        <v>24478.949832035298</v>
      </c>
      <c r="M124" s="244">
        <f t="shared" si="149"/>
        <v>34532.704482294954</v>
      </c>
      <c r="N124" s="244">
        <f t="shared" si="149"/>
        <v>61852.803694052112</v>
      </c>
      <c r="O124" s="244">
        <f t="shared" si="149"/>
        <v>61849.494414618908</v>
      </c>
      <c r="P124" s="244">
        <f t="shared" si="149"/>
        <v>100466.17951038305</v>
      </c>
      <c r="Q124" s="243"/>
      <c r="R124" s="244">
        <f>D124</f>
        <v>0</v>
      </c>
      <c r="S124" s="244">
        <f>E124+F124+G124+H124</f>
        <v>12196.022385535221</v>
      </c>
      <c r="T124" s="244">
        <f>I124+J124</f>
        <v>5842.7270599361982</v>
      </c>
      <c r="U124" s="244">
        <f>K124+L124</f>
        <v>33565.660760421539</v>
      </c>
      <c r="V124" s="244">
        <f>M124+N124</f>
        <v>96385.508176347066</v>
      </c>
      <c r="W124" s="245">
        <f>O124+P124</f>
        <v>162315.67392500196</v>
      </c>
      <c r="Y124" s="250"/>
    </row>
    <row r="125" spans="1:25" hidden="1">
      <c r="A125" s="145"/>
    </row>
    <row r="126" spans="1:25" hidden="1">
      <c r="A126" s="133" t="s">
        <v>381</v>
      </c>
      <c r="B126" s="200" t="s">
        <v>367</v>
      </c>
      <c r="D126" s="134"/>
      <c r="E126" s="134"/>
      <c r="F126" s="134"/>
      <c r="G126" s="134"/>
      <c r="H126" s="134"/>
      <c r="I126" s="134"/>
      <c r="J126" s="134"/>
      <c r="K126" s="134"/>
      <c r="L126" s="134"/>
      <c r="M126" s="134"/>
      <c r="N126" s="134"/>
      <c r="O126" s="134"/>
      <c r="P126" s="134"/>
      <c r="R126" s="134"/>
      <c r="S126" s="134"/>
      <c r="T126" s="134"/>
      <c r="U126" s="134"/>
      <c r="V126" s="134"/>
      <c r="W126" s="246">
        <v>500000</v>
      </c>
    </row>
    <row r="128" spans="1:25">
      <c r="A128" s="563" t="s">
        <v>546</v>
      </c>
      <c r="B128" s="564"/>
      <c r="C128" s="565"/>
      <c r="D128" s="565"/>
      <c r="E128" s="565"/>
      <c r="F128" s="565"/>
      <c r="G128" s="565"/>
      <c r="H128" s="565"/>
      <c r="I128" s="565"/>
      <c r="J128" s="566"/>
      <c r="K128" s="566"/>
      <c r="L128" s="566"/>
      <c r="M128" s="566"/>
      <c r="N128" s="566"/>
      <c r="O128" s="566"/>
      <c r="P128" s="566"/>
      <c r="Q128" s="565"/>
      <c r="R128" s="565"/>
      <c r="S128" s="565"/>
      <c r="T128" s="566"/>
      <c r="U128" s="566"/>
      <c r="V128" s="566"/>
      <c r="W128" s="566"/>
      <c r="Y128" s="276"/>
    </row>
    <row r="129" spans="1:25" ht="15" thickBot="1">
      <c r="A129" s="135"/>
      <c r="B129" s="138"/>
      <c r="J129" s="134"/>
      <c r="K129" s="134"/>
      <c r="L129" s="134"/>
      <c r="M129" s="134"/>
      <c r="N129" s="134"/>
      <c r="O129" s="134"/>
      <c r="P129" s="134"/>
      <c r="T129" s="134"/>
      <c r="U129" s="134"/>
      <c r="V129" s="134"/>
      <c r="W129" s="134"/>
      <c r="Y129" s="276"/>
    </row>
    <row r="130" spans="1:25" ht="16.8" thickBot="1">
      <c r="A130" s="133" t="s">
        <v>547</v>
      </c>
      <c r="B130" s="558"/>
      <c r="C130" s="521"/>
      <c r="D130" s="546"/>
      <c r="E130" s="546"/>
      <c r="F130" s="546"/>
      <c r="G130" s="546"/>
      <c r="H130" s="546"/>
      <c r="I130" s="546"/>
      <c r="J130" s="546"/>
      <c r="K130" s="546"/>
      <c r="L130" s="546"/>
      <c r="M130" s="546"/>
      <c r="N130" s="546"/>
      <c r="O130" s="546"/>
      <c r="P130" s="546"/>
      <c r="Q130" s="521"/>
      <c r="R130" s="546"/>
      <c r="S130" s="561">
        <f>-'PL (Ecosystem)'!S24/('PL (Ecosystem)'!S22-'PL (Ecosystem)'!S16)</f>
        <v>23.202712691573346</v>
      </c>
      <c r="T130" s="561">
        <f>-'PL (Ecosystem)'!T24/('PL (Ecosystem)'!T22-'PL (Ecosystem)'!T16)</f>
        <v>1.3916425144428932</v>
      </c>
      <c r="U130" s="561">
        <f>-'PL (Ecosystem)'!U24/('PL (Ecosystem)'!U22-'PL (Ecosystem)'!U16)</f>
        <v>0.61157028157102422</v>
      </c>
      <c r="V130" s="561">
        <f>-'PL (Ecosystem)'!V24/('PL (Ecosystem)'!V22-'PL (Ecosystem)'!V16)</f>
        <v>0.39743184207606308</v>
      </c>
      <c r="W130" s="561">
        <f>-'PL (Ecosystem)'!W24/('PL (Ecosystem)'!W22-'PL (Ecosystem)'!W16)</f>
        <v>0.33756728314070455</v>
      </c>
    </row>
    <row r="131" spans="1:25" ht="16.8" thickBot="1">
      <c r="A131" s="133"/>
      <c r="B131" s="558"/>
      <c r="C131" s="521"/>
      <c r="D131" s="546"/>
      <c r="E131" s="546"/>
      <c r="F131" s="546"/>
      <c r="G131" s="546"/>
      <c r="H131" s="546"/>
      <c r="I131" s="546"/>
      <c r="J131" s="546"/>
      <c r="K131" s="546"/>
      <c r="L131" s="546"/>
      <c r="M131" s="546"/>
      <c r="N131" s="546"/>
      <c r="O131" s="546"/>
      <c r="P131" s="546"/>
      <c r="Q131" s="521"/>
      <c r="R131" s="546"/>
      <c r="S131" s="546"/>
      <c r="T131" s="546"/>
      <c r="U131" s="546"/>
      <c r="V131" s="546"/>
      <c r="W131" s="562"/>
    </row>
    <row r="132" spans="1:25" ht="16.8" thickBot="1">
      <c r="A132" s="133" t="s">
        <v>912</v>
      </c>
      <c r="B132" s="558"/>
      <c r="C132" s="521"/>
      <c r="D132" s="546"/>
      <c r="E132" s="546"/>
      <c r="F132" s="546"/>
      <c r="G132" s="546"/>
      <c r="H132" s="546"/>
      <c r="I132" s="546"/>
      <c r="J132" s="546"/>
      <c r="K132" s="546"/>
      <c r="L132" s="546"/>
      <c r="M132" s="546"/>
      <c r="N132" s="546"/>
      <c r="O132" s="546"/>
      <c r="P132" s="546"/>
      <c r="Q132" s="521"/>
      <c r="R132" s="546"/>
      <c r="S132" s="610">
        <f>'PL (Ecosystem+KEM)'!D11/1000</f>
        <v>-5.8012093203416573</v>
      </c>
      <c r="T132" s="610">
        <f>'PL (Ecosystem+KEM)'!E11/1000</f>
        <v>-1.2237264349000525</v>
      </c>
      <c r="U132" s="559">
        <f>'PL (Ecosystem+KEM)'!F11/1000</f>
        <v>18.889384795981645</v>
      </c>
      <c r="V132" s="559">
        <f>'PL (Ecosystem+KEM)'!G11/1000</f>
        <v>73.601704624091511</v>
      </c>
      <c r="W132" s="559">
        <f>'PL (Ecosystem+KEM)'!H11/1000</f>
        <v>127.26354030782262</v>
      </c>
    </row>
    <row r="133" spans="1:25" ht="16.8" thickBot="1">
      <c r="A133" s="133"/>
      <c r="B133" s="558"/>
      <c r="C133" s="521"/>
      <c r="D133" s="546"/>
      <c r="E133" s="546"/>
      <c r="F133" s="546"/>
      <c r="G133" s="546"/>
      <c r="H133" s="546"/>
      <c r="I133" s="546"/>
      <c r="J133" s="546"/>
      <c r="K133" s="546"/>
      <c r="L133" s="546"/>
      <c r="M133" s="546"/>
      <c r="N133" s="546"/>
      <c r="O133" s="546"/>
      <c r="P133" s="546"/>
      <c r="Q133" s="521"/>
      <c r="R133" s="546"/>
      <c r="S133" s="546"/>
      <c r="T133" s="546"/>
      <c r="U133" s="546"/>
      <c r="V133" s="546"/>
      <c r="W133" s="560"/>
    </row>
    <row r="134" spans="1:25" ht="16.8" thickBot="1">
      <c r="A134" s="133" t="s">
        <v>548</v>
      </c>
      <c r="B134" s="558"/>
      <c r="C134" s="521"/>
      <c r="D134" s="546"/>
      <c r="E134" s="546"/>
      <c r="F134" s="546"/>
      <c r="G134" s="546"/>
      <c r="H134" s="546"/>
      <c r="I134" s="546"/>
      <c r="J134" s="546"/>
      <c r="K134" s="546"/>
      <c r="L134" s="546"/>
      <c r="M134" s="546"/>
      <c r="N134" s="546"/>
      <c r="O134" s="546"/>
      <c r="P134" s="546"/>
      <c r="Q134" s="521"/>
      <c r="R134" s="546"/>
      <c r="S134" s="561">
        <f>'BS (Ecosystem)'!S9/('BS (Ecosystem)'!S23+'BS (Ecosystem)'!S27)</f>
        <v>1.1465882185322198</v>
      </c>
      <c r="T134" s="561">
        <f>'BS (Ecosystem)'!T9/('BS (Ecosystem)'!T23+'BS (Ecosystem)'!T27)</f>
        <v>1.0245851272317066</v>
      </c>
      <c r="U134" s="561">
        <f>'BS (Ecosystem)'!U9/('BS (Ecosystem)'!U23+'BS (Ecosystem)'!U27)</f>
        <v>0.98991073731395085</v>
      </c>
      <c r="V134" s="561">
        <f>'BS (Ecosystem)'!V9/('BS (Ecosystem)'!V23+'BS (Ecosystem)'!V27)</f>
        <v>0.90014731968560935</v>
      </c>
      <c r="W134" s="561">
        <f>'BS (Ecosystem)'!W9/('BS (Ecosystem)'!W23+'BS (Ecosystem)'!W27)</f>
        <v>0.91721397021299156</v>
      </c>
    </row>
    <row r="135" spans="1:25" ht="16.8" thickBot="1">
      <c r="A135" s="133"/>
      <c r="B135" s="558"/>
      <c r="C135" s="521"/>
      <c r="D135" s="546"/>
      <c r="E135" s="546"/>
      <c r="F135" s="546"/>
      <c r="G135" s="546"/>
      <c r="H135" s="546"/>
      <c r="I135" s="546"/>
      <c r="J135" s="546"/>
      <c r="K135" s="546"/>
      <c r="L135" s="546"/>
      <c r="M135" s="546"/>
      <c r="N135" s="546"/>
      <c r="O135" s="546"/>
      <c r="P135" s="546"/>
      <c r="Q135" s="521"/>
      <c r="R135" s="546"/>
      <c r="S135" s="546"/>
      <c r="T135" s="546"/>
      <c r="U135" s="546"/>
      <c r="V135" s="546"/>
      <c r="W135" s="562"/>
    </row>
    <row r="136" spans="1:25" ht="16.8" thickBot="1">
      <c r="A136" s="133" t="s">
        <v>549</v>
      </c>
      <c r="B136" s="558"/>
      <c r="C136" s="521"/>
      <c r="D136" s="546"/>
      <c r="E136" s="546"/>
      <c r="F136" s="546"/>
      <c r="G136" s="546"/>
      <c r="H136" s="546"/>
      <c r="I136" s="546"/>
      <c r="J136" s="546"/>
      <c r="K136" s="546"/>
      <c r="L136" s="546"/>
      <c r="M136" s="546"/>
      <c r="N136" s="546"/>
      <c r="O136" s="546"/>
      <c r="P136" s="546"/>
      <c r="Q136" s="521"/>
      <c r="R136" s="546"/>
      <c r="S136" s="561">
        <f>-('PL (Ecosystem)'!S22-'PL (Ecosystem)'!S17)/'PL (Ecosystem)'!S24</f>
        <v>-7.349713109493004E-3</v>
      </c>
      <c r="T136" s="561">
        <f>-('PL (Ecosystem)'!T22-'PL (Ecosystem)'!T17)/'PL (Ecosystem)'!T24</f>
        <v>0.26206207624329436</v>
      </c>
      <c r="U136" s="561">
        <f>-('PL (Ecosystem)'!U22-'PL (Ecosystem)'!U17)/'PL (Ecosystem)'!U24</f>
        <v>0.89308065078276977</v>
      </c>
      <c r="V136" s="561">
        <f>-('PL (Ecosystem)'!V22-'PL (Ecosystem)'!V17)/'PL (Ecosystem)'!V24</f>
        <v>1.4256807489400991</v>
      </c>
      <c r="W136" s="561">
        <f>-('PL (Ecosystem)'!W22-'PL (Ecosystem)'!W17)/'PL (Ecosystem)'!W24</f>
        <v>1.6560621502717283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 tint="0.79998168889431442"/>
    <outlinePr summaryBelow="0"/>
  </sheetPr>
  <dimension ref="A1:T141"/>
  <sheetViews>
    <sheetView showGridLines="0" zoomScaleNormal="100" workbookViewId="0">
      <pane xSplit="3" ySplit="6" topLeftCell="I7" activePane="bottomRight" state="frozen"/>
      <selection activeCell="B132" sqref="B132"/>
      <selection pane="topRight" activeCell="B132" sqref="B132"/>
      <selection pane="bottomLeft" activeCell="B132" sqref="B132"/>
      <selection pane="bottomRight"/>
    </sheetView>
  </sheetViews>
  <sheetFormatPr defaultColWidth="9.109375" defaultRowHeight="13.8" outlineLevelRow="1"/>
  <cols>
    <col min="1" max="1" width="5.6640625" style="50" customWidth="1"/>
    <col min="2" max="2" width="85.88671875" style="4" bestFit="1" customWidth="1"/>
    <col min="3" max="3" width="6.44140625" style="4" customWidth="1"/>
    <col min="4" max="4" width="12.6640625" style="4" customWidth="1"/>
    <col min="5" max="8" width="16.88671875" style="4" bestFit="1" customWidth="1"/>
    <col min="9" max="9" width="18" style="4" customWidth="1"/>
    <col min="10" max="10" width="5.109375" style="4" hidden="1" customWidth="1"/>
    <col min="11" max="11" width="14.88671875" style="4" hidden="1" customWidth="1"/>
    <col min="12" max="12" width="13.6640625" style="4" hidden="1" customWidth="1"/>
    <col min="13" max="13" width="55" style="4" hidden="1" customWidth="1"/>
    <col min="14" max="14" width="10.88671875" style="4" customWidth="1"/>
    <col min="15" max="15" width="85.88671875" style="4" bestFit="1" customWidth="1"/>
    <col min="16" max="19" width="10.88671875" style="4" customWidth="1"/>
    <col min="20" max="20" width="13" style="4" bestFit="1" customWidth="1"/>
    <col min="21" max="95" width="10.88671875" style="4" customWidth="1"/>
    <col min="96" max="995" width="11.6640625" style="4" customWidth="1"/>
    <col min="996" max="9995" width="12.44140625" style="4" customWidth="1"/>
    <col min="9996" max="16384" width="13.33203125" style="4" customWidth="1"/>
  </cols>
  <sheetData>
    <row r="1" spans="1:15">
      <c r="C1" s="22"/>
      <c r="D1" s="4" t="s">
        <v>906</v>
      </c>
    </row>
    <row r="5" spans="1:15" s="23" customFormat="1" ht="18.899999999999999" customHeight="1">
      <c r="A5" s="47"/>
      <c r="B5" s="47" t="s">
        <v>10</v>
      </c>
      <c r="D5" s="48">
        <v>500</v>
      </c>
      <c r="E5" s="48">
        <f>D5</f>
        <v>500</v>
      </c>
      <c r="F5" s="48">
        <f>E5</f>
        <v>500</v>
      </c>
      <c r="G5" s="48">
        <f>F5</f>
        <v>500</v>
      </c>
      <c r="H5" s="48">
        <f>G5</f>
        <v>500</v>
      </c>
      <c r="I5" s="48">
        <f>H5</f>
        <v>500</v>
      </c>
      <c r="J5" s="24"/>
      <c r="K5" s="711" t="s">
        <v>120</v>
      </c>
      <c r="L5" s="711"/>
      <c r="O5" s="47"/>
    </row>
    <row r="6" spans="1:15" s="41" customFormat="1" ht="15.6">
      <c r="A6" s="49"/>
      <c r="B6" s="42"/>
      <c r="C6" s="42"/>
      <c r="D6" s="42">
        <v>2024</v>
      </c>
      <c r="E6" s="42">
        <v>2025</v>
      </c>
      <c r="F6" s="42">
        <v>2026</v>
      </c>
      <c r="G6" s="42">
        <v>2027</v>
      </c>
      <c r="H6" s="42">
        <v>2028</v>
      </c>
      <c r="I6" s="42">
        <v>2029</v>
      </c>
      <c r="K6" s="71" t="s">
        <v>130</v>
      </c>
      <c r="L6" s="71" t="s">
        <v>131</v>
      </c>
      <c r="O6" s="42"/>
    </row>
    <row r="7" spans="1:15" s="1" customFormat="1">
      <c r="A7" s="47"/>
      <c r="B7" s="2" t="s">
        <v>4</v>
      </c>
      <c r="C7" s="2"/>
      <c r="D7" s="338">
        <v>5000000</v>
      </c>
      <c r="E7" s="338">
        <v>6200000</v>
      </c>
      <c r="F7" s="338">
        <v>6795000</v>
      </c>
      <c r="G7" s="338">
        <v>7500000</v>
      </c>
      <c r="H7" s="338">
        <v>8365000</v>
      </c>
      <c r="I7" s="338">
        <v>9510000</v>
      </c>
      <c r="O7" s="2" t="s">
        <v>1170</v>
      </c>
    </row>
    <row r="8" spans="1:15">
      <c r="B8" s="4" t="s">
        <v>592</v>
      </c>
      <c r="D8" s="3">
        <v>4100000</v>
      </c>
      <c r="E8" s="3">
        <f>E9+E13</f>
        <v>5006080.32</v>
      </c>
      <c r="F8" s="3">
        <f>F9+F13</f>
        <v>5562450.352</v>
      </c>
      <c r="G8" s="3">
        <f>G9+G13</f>
        <v>6215949.148</v>
      </c>
      <c r="H8" s="3">
        <f>H9+H13</f>
        <v>7002496.2241999991</v>
      </c>
      <c r="I8" s="3">
        <f>I9+I13</f>
        <v>8003045.6242299993</v>
      </c>
      <c r="O8" s="4" t="s">
        <v>1176</v>
      </c>
    </row>
    <row r="9" spans="1:15" s="6" customFormat="1">
      <c r="A9" s="51"/>
      <c r="B9" s="14" t="s">
        <v>0</v>
      </c>
      <c r="C9" s="14"/>
      <c r="D9" s="5">
        <f>D8-D13</f>
        <v>3096448</v>
      </c>
      <c r="E9" s="5">
        <f>E7*E12</f>
        <v>3851995.52</v>
      </c>
      <c r="F9" s="5">
        <f>F7*F12</f>
        <v>4235252.8320000004</v>
      </c>
      <c r="G9" s="5">
        <f>G7*G12</f>
        <v>4689672</v>
      </c>
      <c r="H9" s="5">
        <f>H7*H12</f>
        <v>5247277.5039999997</v>
      </c>
      <c r="I9" s="5">
        <f>I7*I12</f>
        <v>5984544.0959999999</v>
      </c>
      <c r="M9" s="12"/>
      <c r="O9" s="14" t="s">
        <v>0</v>
      </c>
    </row>
    <row r="10" spans="1:15" s="13" customFormat="1" ht="10.199999999999999">
      <c r="A10" s="52"/>
      <c r="B10" s="11" t="s">
        <v>2</v>
      </c>
      <c r="C10" s="11"/>
      <c r="D10" s="12">
        <v>237217</v>
      </c>
      <c r="E10" s="12"/>
      <c r="F10" s="12"/>
      <c r="G10" s="12"/>
      <c r="H10" s="12"/>
      <c r="I10" s="12"/>
      <c r="M10" s="12"/>
      <c r="O10" s="11" t="s">
        <v>1172</v>
      </c>
    </row>
    <row r="11" spans="1:15" s="13" customFormat="1" ht="10.199999999999999">
      <c r="A11" s="52"/>
      <c r="B11" s="11" t="s">
        <v>3</v>
      </c>
      <c r="C11" s="11"/>
      <c r="D11" s="12">
        <f>D9-D10</f>
        <v>2859231</v>
      </c>
      <c r="E11" s="12"/>
      <c r="F11" s="12"/>
      <c r="G11" s="12"/>
      <c r="H11" s="12"/>
      <c r="I11" s="12"/>
      <c r="O11" s="11" t="s">
        <v>1173</v>
      </c>
    </row>
    <row r="12" spans="1:15" s="10" customFormat="1">
      <c r="A12" s="53"/>
      <c r="B12" s="7" t="s">
        <v>5</v>
      </c>
      <c r="C12" s="7"/>
      <c r="D12" s="337">
        <f>D9/D7</f>
        <v>0.6192896</v>
      </c>
      <c r="E12" s="39">
        <f>D12+0.2%</f>
        <v>0.6212896</v>
      </c>
      <c r="F12" s="39">
        <f>E12+0.2%</f>
        <v>0.6232896</v>
      </c>
      <c r="G12" s="39">
        <f>F12+0.2%</f>
        <v>0.6252896</v>
      </c>
      <c r="H12" s="39">
        <f>G12+0.2%</f>
        <v>0.6272896</v>
      </c>
      <c r="I12" s="39">
        <f>H12+0.2%</f>
        <v>0.6292896</v>
      </c>
      <c r="O12" s="7" t="s">
        <v>1174</v>
      </c>
    </row>
    <row r="13" spans="1:15" s="6" customFormat="1">
      <c r="A13" s="51"/>
      <c r="B13" s="14" t="s">
        <v>1</v>
      </c>
      <c r="C13" s="14"/>
      <c r="D13" s="16">
        <v>1003552</v>
      </c>
      <c r="E13" s="16">
        <f>D13*115%</f>
        <v>1154084.7999999998</v>
      </c>
      <c r="F13" s="16">
        <f>E13*115%</f>
        <v>1327197.5199999998</v>
      </c>
      <c r="G13" s="16">
        <f>F13*115%</f>
        <v>1526277.1479999996</v>
      </c>
      <c r="H13" s="16">
        <f>G13*115%</f>
        <v>1755218.7201999994</v>
      </c>
      <c r="I13" s="16">
        <f>H13*115%</f>
        <v>2018501.5282299991</v>
      </c>
      <c r="O13" s="14" t="s">
        <v>1175</v>
      </c>
    </row>
    <row r="14" spans="1:15" s="13" customFormat="1" ht="10.199999999999999">
      <c r="A14" s="52"/>
      <c r="B14" s="11" t="s">
        <v>2</v>
      </c>
      <c r="C14" s="11"/>
      <c r="D14" s="12">
        <v>134108</v>
      </c>
      <c r="E14" s="12"/>
      <c r="F14" s="12"/>
      <c r="G14" s="12"/>
      <c r="H14" s="12"/>
      <c r="I14" s="12"/>
      <c r="O14" s="11" t="s">
        <v>1172</v>
      </c>
    </row>
    <row r="15" spans="1:15" s="13" customFormat="1" ht="10.199999999999999">
      <c r="A15" s="52"/>
      <c r="B15" s="11" t="s">
        <v>3</v>
      </c>
      <c r="C15" s="11"/>
      <c r="D15" s="12">
        <v>869444</v>
      </c>
      <c r="E15" s="12"/>
      <c r="F15" s="12"/>
      <c r="G15" s="12"/>
      <c r="H15" s="12"/>
      <c r="I15" s="12"/>
      <c r="O15" s="11" t="s">
        <v>1173</v>
      </c>
    </row>
    <row r="16" spans="1:15">
      <c r="B16" s="4" t="s">
        <v>900</v>
      </c>
      <c r="D16" s="3">
        <f t="shared" ref="D16:I16" si="0">D17*D8</f>
        <v>0</v>
      </c>
      <c r="E16" s="3">
        <f t="shared" si="0"/>
        <v>0</v>
      </c>
      <c r="F16" s="3">
        <f t="shared" si="0"/>
        <v>0</v>
      </c>
      <c r="G16" s="3">
        <f t="shared" si="0"/>
        <v>0</v>
      </c>
      <c r="H16" s="3">
        <f t="shared" si="0"/>
        <v>0</v>
      </c>
      <c r="I16" s="3">
        <f t="shared" si="0"/>
        <v>0</v>
      </c>
    </row>
    <row r="17" spans="1:15" s="10" customFormat="1">
      <c r="A17" s="53"/>
      <c r="B17" s="7" t="s">
        <v>591</v>
      </c>
      <c r="C17" s="7"/>
      <c r="D17" s="8"/>
      <c r="E17" s="9"/>
      <c r="F17" s="9"/>
      <c r="G17" s="9"/>
      <c r="H17" s="9"/>
      <c r="I17" s="9"/>
      <c r="O17" s="7"/>
    </row>
    <row r="18" spans="1:15" s="13" customFormat="1" ht="10.199999999999999">
      <c r="A18" s="52"/>
      <c r="B18" s="11"/>
      <c r="C18" s="11"/>
      <c r="D18" s="12"/>
      <c r="E18" s="12"/>
      <c r="F18" s="12"/>
      <c r="G18" s="12"/>
      <c r="H18" s="12"/>
      <c r="I18" s="12"/>
      <c r="O18" s="11"/>
    </row>
    <row r="19" spans="1:15" s="17" customFormat="1" ht="15.6" hidden="1">
      <c r="A19" s="54">
        <v>1</v>
      </c>
      <c r="B19" s="614" t="s">
        <v>25</v>
      </c>
      <c r="O19" s="614" t="s">
        <v>25</v>
      </c>
    </row>
    <row r="20" spans="1:15" hidden="1">
      <c r="B20" s="4" t="s">
        <v>590</v>
      </c>
      <c r="D20" s="3">
        <v>956516</v>
      </c>
      <c r="E20" s="3">
        <f>E8*E21</f>
        <v>1001216.0640000001</v>
      </c>
      <c r="F20" s="3">
        <f>F8*F21</f>
        <v>1112490.0704000001</v>
      </c>
      <c r="G20" s="3">
        <f>G8*G21</f>
        <v>1243189.8296000001</v>
      </c>
      <c r="H20" s="3">
        <f>H8*H21</f>
        <v>1400499.2448399998</v>
      </c>
      <c r="I20" s="3">
        <f>I8*I21</f>
        <v>1600609.124846</v>
      </c>
      <c r="O20" s="4" t="s">
        <v>590</v>
      </c>
    </row>
    <row r="21" spans="1:15" s="10" customFormat="1" hidden="1">
      <c r="A21" s="53"/>
      <c r="B21" s="7" t="s">
        <v>6</v>
      </c>
      <c r="C21" s="7"/>
      <c r="D21" s="8">
        <f>D20/D8</f>
        <v>0.23329658536585365</v>
      </c>
      <c r="E21" s="9">
        <v>0.2</v>
      </c>
      <c r="F21" s="9">
        <v>0.2</v>
      </c>
      <c r="G21" s="9">
        <v>0.2</v>
      </c>
      <c r="H21" s="9">
        <v>0.2</v>
      </c>
      <c r="I21" s="9">
        <v>0.2</v>
      </c>
      <c r="O21" s="7" t="s">
        <v>6</v>
      </c>
    </row>
    <row r="22" spans="1:15" hidden="1">
      <c r="B22" s="45" t="s">
        <v>7</v>
      </c>
      <c r="C22" s="45"/>
      <c r="D22" s="46">
        <v>129307.44444444444</v>
      </c>
      <c r="E22" s="46">
        <v>106852.5</v>
      </c>
      <c r="F22" s="46">
        <v>191162.5</v>
      </c>
      <c r="G22" s="46">
        <v>233951.01523646381</v>
      </c>
      <c r="H22" s="46">
        <v>286317.02101705153</v>
      </c>
      <c r="I22" s="46">
        <v>350404.27775541309</v>
      </c>
      <c r="O22" s="45" t="s">
        <v>7</v>
      </c>
    </row>
    <row r="23" spans="1:15" s="10" customFormat="1" hidden="1">
      <c r="A23" s="53"/>
      <c r="B23" s="7" t="s">
        <v>8</v>
      </c>
      <c r="C23" s="7"/>
      <c r="D23" s="8">
        <f t="shared" ref="D23:I23" si="1">D22/D20</f>
        <v>0.13518586667075558</v>
      </c>
      <c r="E23" s="8">
        <f t="shared" si="1"/>
        <v>0.10672271834423942</v>
      </c>
      <c r="F23" s="8">
        <f t="shared" si="1"/>
        <v>0.17183299436665245</v>
      </c>
      <c r="G23" s="8">
        <f t="shared" si="1"/>
        <v>0.18818607558247016</v>
      </c>
      <c r="H23" s="8">
        <f t="shared" si="1"/>
        <v>0.20443925412452604</v>
      </c>
      <c r="I23" s="8">
        <f t="shared" si="1"/>
        <v>0.2189193303450189</v>
      </c>
      <c r="O23" s="7" t="s">
        <v>8</v>
      </c>
    </row>
    <row r="24" spans="1:15" hidden="1"/>
    <row r="25" spans="1:15" s="17" customFormat="1" ht="15.6" hidden="1">
      <c r="A25" s="54">
        <v>2</v>
      </c>
      <c r="B25" s="614" t="s">
        <v>18</v>
      </c>
      <c r="O25" s="614" t="s">
        <v>18</v>
      </c>
    </row>
    <row r="26" spans="1:15" hidden="1">
      <c r="B26" s="45" t="s">
        <v>9</v>
      </c>
      <c r="C26" s="45"/>
      <c r="D26" s="46">
        <v>733460.63066578028</v>
      </c>
      <c r="E26" s="46">
        <v>767663.01276067179</v>
      </c>
      <c r="F26" s="46">
        <v>871479.76268259191</v>
      </c>
      <c r="G26" s="46">
        <v>989336.41994040273</v>
      </c>
      <c r="H26" s="46">
        <v>1137736.882931463</v>
      </c>
      <c r="I26" s="46">
        <v>1308397.4153711824</v>
      </c>
      <c r="O26" s="45" t="s">
        <v>9</v>
      </c>
    </row>
    <row r="27" spans="1:15" s="10" customFormat="1" hidden="1">
      <c r="A27" s="53"/>
      <c r="B27" s="7" t="s">
        <v>6</v>
      </c>
      <c r="C27" s="7"/>
      <c r="D27" s="8">
        <f>D26/D8</f>
        <v>0.17889283674775128</v>
      </c>
      <c r="E27" s="9">
        <f>D27+1%</f>
        <v>0.18889283674775129</v>
      </c>
      <c r="F27" s="9">
        <f>E27+1%</f>
        <v>0.19889283674775129</v>
      </c>
      <c r="G27" s="9">
        <f>F27+1%</f>
        <v>0.2088928367477513</v>
      </c>
      <c r="H27" s="9">
        <f>G27+1%</f>
        <v>0.21889283674775131</v>
      </c>
      <c r="I27" s="9">
        <f>H27+1%</f>
        <v>0.22889283674775132</v>
      </c>
      <c r="O27" s="7" t="s">
        <v>6</v>
      </c>
    </row>
    <row r="28" spans="1:15" hidden="1">
      <c r="B28" s="4" t="s">
        <v>12</v>
      </c>
      <c r="D28" s="15">
        <v>1.7964564470296127</v>
      </c>
      <c r="E28" s="15">
        <v>1.6483668929021889</v>
      </c>
      <c r="F28" s="15">
        <v>1.4518881584881009</v>
      </c>
      <c r="G28" s="15">
        <v>1.2951235830504335</v>
      </c>
      <c r="H28" s="15">
        <v>1.1476457423304052</v>
      </c>
      <c r="I28" s="15">
        <v>1.0084751644978849</v>
      </c>
      <c r="O28" s="4" t="s">
        <v>12</v>
      </c>
    </row>
    <row r="29" spans="1:15" s="3" customFormat="1" hidden="1">
      <c r="A29" s="55"/>
      <c r="B29" s="3" t="s">
        <v>11</v>
      </c>
      <c r="D29" s="3">
        <f t="shared" ref="D29:I29" si="2">D30*D5</f>
        <v>1500</v>
      </c>
      <c r="E29" s="3">
        <f t="shared" si="2"/>
        <v>1500</v>
      </c>
      <c r="F29" s="3">
        <f t="shared" si="2"/>
        <v>1500</v>
      </c>
      <c r="G29" s="3">
        <f t="shared" si="2"/>
        <v>1500</v>
      </c>
      <c r="H29" s="3">
        <f t="shared" si="2"/>
        <v>1500</v>
      </c>
      <c r="I29" s="3">
        <f t="shared" si="2"/>
        <v>1500</v>
      </c>
      <c r="O29" s="3" t="s">
        <v>11</v>
      </c>
    </row>
    <row r="30" spans="1:15" s="6" customFormat="1" hidden="1">
      <c r="A30" s="51"/>
      <c r="B30" s="5" t="s">
        <v>28</v>
      </c>
      <c r="C30" s="5"/>
      <c r="D30" s="16">
        <v>3</v>
      </c>
      <c r="E30" s="16">
        <v>3</v>
      </c>
      <c r="F30" s="16">
        <v>3</v>
      </c>
      <c r="G30" s="16">
        <v>3</v>
      </c>
      <c r="H30" s="16">
        <v>3</v>
      </c>
      <c r="I30" s="16">
        <v>3</v>
      </c>
      <c r="O30" s="5" t="s">
        <v>28</v>
      </c>
    </row>
    <row r="31" spans="1:15" hidden="1">
      <c r="B31" s="3" t="s">
        <v>29</v>
      </c>
      <c r="C31" s="3"/>
      <c r="D31" s="3"/>
      <c r="E31" s="3">
        <f>E29*E26</f>
        <v>1151494519.1410077</v>
      </c>
      <c r="F31" s="3">
        <f>F29*F26</f>
        <v>1307219644.0238879</v>
      </c>
      <c r="G31" s="3">
        <f>G29*G26</f>
        <v>1484004629.910604</v>
      </c>
      <c r="H31" s="3">
        <f>H29*H26</f>
        <v>1706605324.3971944</v>
      </c>
      <c r="I31" s="3">
        <f>I29*I26</f>
        <v>1962596123.0567737</v>
      </c>
      <c r="K31" s="3">
        <f>E31+F31+G31+H31+I31</f>
        <v>7611920240.5294685</v>
      </c>
      <c r="L31" s="72">
        <f>E31/$E$5+F31/$F$5+G31/$G$5+H31/$H$5+I31/$I$5</f>
        <v>15223840.481058937</v>
      </c>
      <c r="O31" s="3" t="s">
        <v>29</v>
      </c>
    </row>
    <row r="32" spans="1:15" hidden="1">
      <c r="B32" s="3"/>
      <c r="C32" s="3"/>
      <c r="D32" s="3"/>
      <c r="E32" s="3"/>
      <c r="F32" s="3"/>
      <c r="G32" s="3"/>
      <c r="H32" s="3"/>
      <c r="I32" s="3"/>
      <c r="O32" s="3"/>
    </row>
    <row r="33" spans="1:20" s="17" customFormat="1" ht="15.6">
      <c r="A33" s="54">
        <v>3</v>
      </c>
      <c r="B33" s="614" t="s">
        <v>177</v>
      </c>
      <c r="C33" s="18"/>
      <c r="E33" s="59"/>
      <c r="F33" s="59"/>
      <c r="G33" s="59"/>
      <c r="H33" s="59"/>
      <c r="I33" s="59"/>
      <c r="O33" s="614" t="s">
        <v>1179</v>
      </c>
    </row>
    <row r="34" spans="1:20" s="10" customFormat="1">
      <c r="A34" s="53"/>
      <c r="B34" s="7" t="s">
        <v>173</v>
      </c>
      <c r="C34" s="7"/>
      <c r="D34" s="8"/>
      <c r="E34" s="9">
        <v>0.35</v>
      </c>
      <c r="F34" s="9">
        <v>0.5</v>
      </c>
      <c r="G34" s="9">
        <v>0.6</v>
      </c>
      <c r="H34" s="9">
        <f>G34</f>
        <v>0.6</v>
      </c>
      <c r="I34" s="9">
        <f>H34</f>
        <v>0.6</v>
      </c>
      <c r="O34" s="7" t="s">
        <v>1180</v>
      </c>
    </row>
    <row r="35" spans="1:20" s="17" customFormat="1" ht="15.6">
      <c r="A35" s="54"/>
      <c r="B35" s="4" t="s">
        <v>589</v>
      </c>
      <c r="C35" s="4"/>
      <c r="D35" s="3"/>
      <c r="E35" s="3">
        <f>E8*E34/2</f>
        <v>876064.05599999998</v>
      </c>
      <c r="F35" s="3">
        <f>F8*F34</f>
        <v>2781225.176</v>
      </c>
      <c r="G35" s="3">
        <f>G8*G34</f>
        <v>3729569.4887999999</v>
      </c>
      <c r="H35" s="3">
        <f>H8*H34</f>
        <v>4201497.7345199995</v>
      </c>
      <c r="I35" s="3">
        <f>I8*I34</f>
        <v>4801827.3745379997</v>
      </c>
      <c r="O35" s="4" t="s">
        <v>1181</v>
      </c>
    </row>
    <row r="36" spans="1:20" s="10" customFormat="1">
      <c r="A36" s="53"/>
      <c r="B36" s="7" t="s">
        <v>174</v>
      </c>
      <c r="C36" s="7"/>
      <c r="D36" s="8"/>
      <c r="E36" s="39">
        <v>0.8</v>
      </c>
      <c r="F36" s="39">
        <v>0.8</v>
      </c>
      <c r="G36" s="39">
        <v>0.8</v>
      </c>
      <c r="H36" s="39">
        <v>0.8</v>
      </c>
      <c r="I36" s="39">
        <v>0.8</v>
      </c>
      <c r="O36" s="7" t="s">
        <v>1182</v>
      </c>
    </row>
    <row r="37" spans="1:20" s="17" customFormat="1" ht="15.6">
      <c r="A37" s="54"/>
      <c r="B37" s="4" t="s">
        <v>588</v>
      </c>
      <c r="C37" s="4"/>
      <c r="D37" s="3"/>
      <c r="E37" s="3">
        <f>E35*E36</f>
        <v>700851.24479999999</v>
      </c>
      <c r="F37" s="3">
        <f>F35*F36</f>
        <v>2224980.1408000002</v>
      </c>
      <c r="G37" s="3">
        <f>G35*G36</f>
        <v>2983655.5910400003</v>
      </c>
      <c r="H37" s="3">
        <f>H35*H36</f>
        <v>3361198.187616</v>
      </c>
      <c r="I37" s="3">
        <f>I35*I36</f>
        <v>3841461.8996303999</v>
      </c>
      <c r="K37" s="64"/>
      <c r="O37" s="4" t="s">
        <v>948</v>
      </c>
    </row>
    <row r="38" spans="1:20" s="10" customFormat="1">
      <c r="A38" s="53"/>
      <c r="B38" s="7" t="s">
        <v>581</v>
      </c>
      <c r="C38" s="7"/>
      <c r="D38" s="8"/>
      <c r="E38" s="39">
        <v>0.5</v>
      </c>
      <c r="F38" s="39">
        <v>0.5</v>
      </c>
      <c r="G38" s="39">
        <v>0.5</v>
      </c>
      <c r="H38" s="39">
        <v>0.5</v>
      </c>
      <c r="I38" s="39">
        <v>0.5</v>
      </c>
      <c r="O38" s="7" t="s">
        <v>581</v>
      </c>
    </row>
    <row r="39" spans="1:20">
      <c r="B39" s="4" t="s">
        <v>901</v>
      </c>
      <c r="D39" s="3"/>
      <c r="E39" s="3">
        <f>E37*E38</f>
        <v>350425.62239999999</v>
      </c>
      <c r="F39" s="3">
        <f>F37*F38</f>
        <v>1112490.0704000001</v>
      </c>
      <c r="G39" s="3">
        <f>G37*G38</f>
        <v>1491827.7955200002</v>
      </c>
      <c r="H39" s="3">
        <f>H37*H38</f>
        <v>1680599.093808</v>
      </c>
      <c r="I39" s="3">
        <f>I37*I38</f>
        <v>1920730.9498151999</v>
      </c>
      <c r="O39" s="4" t="s">
        <v>949</v>
      </c>
    </row>
    <row r="40" spans="1:20" s="10" customFormat="1">
      <c r="A40" s="53"/>
      <c r="B40" s="7" t="s">
        <v>580</v>
      </c>
      <c r="C40" s="7"/>
      <c r="D40" s="8"/>
      <c r="E40" s="39">
        <v>0.3</v>
      </c>
      <c r="F40" s="39">
        <f>E40+5%</f>
        <v>0.35</v>
      </c>
      <c r="G40" s="39">
        <f>F40+5%</f>
        <v>0.39999999999999997</v>
      </c>
      <c r="H40" s="39">
        <f>G40</f>
        <v>0.39999999999999997</v>
      </c>
      <c r="I40" s="39">
        <f>H40</f>
        <v>0.39999999999999997</v>
      </c>
      <c r="O40" s="7" t="s">
        <v>952</v>
      </c>
    </row>
    <row r="41" spans="1:20">
      <c r="B41" s="4" t="s">
        <v>587</v>
      </c>
      <c r="D41" s="3"/>
      <c r="E41" s="3">
        <f>E39*E40</f>
        <v>105127.68672</v>
      </c>
      <c r="F41" s="3">
        <f>F39*F40</f>
        <v>389371.52464000002</v>
      </c>
      <c r="G41" s="3">
        <f>G39*G40</f>
        <v>596731.11820799997</v>
      </c>
      <c r="H41" s="3">
        <f>H39*H40</f>
        <v>672239.6375231999</v>
      </c>
      <c r="I41" s="3">
        <f>I39*I40</f>
        <v>768292.37992607988</v>
      </c>
      <c r="O41" s="4" t="s">
        <v>950</v>
      </c>
    </row>
    <row r="42" spans="1:20" s="10" customFormat="1">
      <c r="A42" s="53"/>
      <c r="B42" s="7" t="s">
        <v>578</v>
      </c>
      <c r="C42" s="7"/>
      <c r="D42" s="8"/>
      <c r="E42" s="39">
        <v>0.95</v>
      </c>
      <c r="F42" s="39">
        <v>0.95</v>
      </c>
      <c r="G42" s="39">
        <v>0.95</v>
      </c>
      <c r="H42" s="39">
        <v>0.95</v>
      </c>
      <c r="I42" s="39">
        <v>0.95</v>
      </c>
      <c r="O42" s="7" t="s">
        <v>956</v>
      </c>
    </row>
    <row r="43" spans="1:20" ht="15.6">
      <c r="B43" s="336" t="s">
        <v>577</v>
      </c>
      <c r="C43" s="336"/>
      <c r="D43" s="335"/>
      <c r="E43" s="335">
        <f>'Micro_30 (indiv)'!P18</f>
        <v>55590.31951015404</v>
      </c>
      <c r="F43" s="335">
        <f>'Micro_30 (indiv)'!AC18</f>
        <v>399794.50493692665</v>
      </c>
      <c r="G43" s="335">
        <f>'Micro_30 (indiv)'!AP18</f>
        <v>851814.28035451949</v>
      </c>
      <c r="H43" s="335">
        <f>'Micro_30 (indiv)'!BC18</f>
        <v>1224673.5323498745</v>
      </c>
      <c r="I43" s="335">
        <f>'Micro_30 (indiv)'!BP18</f>
        <v>1507002.9331499357</v>
      </c>
      <c r="O43" s="336" t="s">
        <v>1177</v>
      </c>
    </row>
    <row r="44" spans="1:20" s="3" customFormat="1">
      <c r="A44" s="55"/>
      <c r="B44" s="3" t="s">
        <v>124</v>
      </c>
      <c r="E44" s="3">
        <f>E45*D5</f>
        <v>15000</v>
      </c>
      <c r="F44" s="3">
        <f>F45*E5</f>
        <v>15000</v>
      </c>
      <c r="G44" s="3">
        <f>G45*F5</f>
        <v>15000</v>
      </c>
      <c r="H44" s="3">
        <f>H45*G5</f>
        <v>15000</v>
      </c>
      <c r="I44" s="3">
        <f>I45*H5</f>
        <v>15000</v>
      </c>
      <c r="O44" s="3" t="s">
        <v>1199</v>
      </c>
    </row>
    <row r="45" spans="1:20" s="6" customFormat="1">
      <c r="A45" s="51"/>
      <c r="B45" s="5" t="s">
        <v>118</v>
      </c>
      <c r="C45" s="5"/>
      <c r="D45" s="5"/>
      <c r="E45" s="16">
        <v>30</v>
      </c>
      <c r="F45" s="16">
        <f>E45</f>
        <v>30</v>
      </c>
      <c r="G45" s="16">
        <f>F45</f>
        <v>30</v>
      </c>
      <c r="H45" s="16">
        <f>G45</f>
        <v>30</v>
      </c>
      <c r="I45" s="16">
        <f>H45</f>
        <v>30</v>
      </c>
      <c r="O45" s="5" t="s">
        <v>1200</v>
      </c>
    </row>
    <row r="46" spans="1:20" s="3" customFormat="1">
      <c r="A46" s="55"/>
      <c r="B46" s="3" t="s">
        <v>111</v>
      </c>
      <c r="E46" s="3">
        <f>E44*E43</f>
        <v>833854792.65231061</v>
      </c>
      <c r="F46" s="3">
        <f>F44*F43</f>
        <v>5996917574.0538998</v>
      </c>
      <c r="G46" s="3">
        <f>G44*G43</f>
        <v>12777214205.317793</v>
      </c>
      <c r="H46" s="3">
        <f>H44*H43</f>
        <v>18370102985.248119</v>
      </c>
      <c r="I46" s="3">
        <f>I44*I43</f>
        <v>22605043997.249035</v>
      </c>
      <c r="L46" s="72"/>
      <c r="O46" s="3" t="s">
        <v>1186</v>
      </c>
    </row>
    <row r="47" spans="1:20" s="10" customFormat="1">
      <c r="A47" s="53"/>
      <c r="B47" s="7" t="s">
        <v>586</v>
      </c>
      <c r="C47" s="7"/>
      <c r="D47" s="8"/>
      <c r="E47" s="39">
        <v>0.8</v>
      </c>
      <c r="F47" s="39">
        <v>0.8</v>
      </c>
      <c r="G47" s="39">
        <v>0.8</v>
      </c>
      <c r="H47" s="39">
        <v>0.8</v>
      </c>
      <c r="I47" s="39">
        <v>0.8</v>
      </c>
      <c r="O47" s="7" t="s">
        <v>1042</v>
      </c>
    </row>
    <row r="48" spans="1:20" ht="15.6">
      <c r="B48" s="334" t="s">
        <v>128</v>
      </c>
      <c r="C48" s="334"/>
      <c r="D48" s="333"/>
      <c r="E48" s="333">
        <f>'Micro_30 (indiv)'!P22</f>
        <v>44472.255608123232</v>
      </c>
      <c r="F48" s="333">
        <f>'Micro_30 (indiv)'!AC22</f>
        <v>319835.60394954134</v>
      </c>
      <c r="G48" s="333">
        <f>'Micro_30 (indiv)'!AP22</f>
        <v>681451.42428361566</v>
      </c>
      <c r="H48" s="333">
        <f>'Micro_30 (indiv)'!BC22</f>
        <v>979738.82587989967</v>
      </c>
      <c r="I48" s="333">
        <f>'Micro_30 (indiv)'!BP22</f>
        <v>1205602.3465199487</v>
      </c>
      <c r="O48" s="333" t="s">
        <v>1183</v>
      </c>
      <c r="T48" s="60"/>
    </row>
    <row r="49" spans="1:20">
      <c r="B49" s="7" t="s">
        <v>585</v>
      </c>
      <c r="C49" s="7"/>
      <c r="D49" s="8"/>
      <c r="E49" s="9">
        <v>0.05</v>
      </c>
      <c r="F49" s="9">
        <v>0.05</v>
      </c>
      <c r="G49" s="9">
        <v>0.05</v>
      </c>
      <c r="H49" s="9">
        <v>0.05</v>
      </c>
      <c r="I49" s="9">
        <v>0.05</v>
      </c>
      <c r="O49" s="7" t="s">
        <v>1043</v>
      </c>
      <c r="T49" s="61"/>
    </row>
    <row r="50" spans="1:20" s="3" customFormat="1">
      <c r="A50" s="55"/>
      <c r="B50" s="3" t="s">
        <v>902</v>
      </c>
      <c r="E50" s="3">
        <f>E46*E49</f>
        <v>41692739.632615536</v>
      </c>
      <c r="F50" s="3">
        <f>F46*F49</f>
        <v>299845878.70269501</v>
      </c>
      <c r="G50" s="3">
        <f>G46*G49</f>
        <v>638860710.26588964</v>
      </c>
      <c r="H50" s="3">
        <f>H46*H49</f>
        <v>918505149.26240599</v>
      </c>
      <c r="I50" s="3">
        <f>I46*I49</f>
        <v>1130252199.8624518</v>
      </c>
      <c r="K50" s="3">
        <f>I50</f>
        <v>1130252199.8624518</v>
      </c>
      <c r="L50" s="72">
        <f>K50/I5</f>
        <v>2260504.3997249035</v>
      </c>
      <c r="M50" s="43"/>
      <c r="O50" s="3" t="s">
        <v>1187</v>
      </c>
    </row>
    <row r="51" spans="1:20" s="3" customFormat="1">
      <c r="A51" s="55"/>
      <c r="B51" s="693" t="s">
        <v>114</v>
      </c>
      <c r="C51" s="693"/>
      <c r="D51" s="693"/>
      <c r="E51" s="693">
        <f>E50/E48</f>
        <v>937.50000000000011</v>
      </c>
      <c r="F51" s="693">
        <f t="shared" ref="F51:I51" si="3">F50/F48</f>
        <v>937.5</v>
      </c>
      <c r="G51" s="693">
        <f t="shared" si="3"/>
        <v>937.49999999999989</v>
      </c>
      <c r="H51" s="693">
        <f t="shared" si="3"/>
        <v>937.5</v>
      </c>
      <c r="I51" s="693">
        <f t="shared" si="3"/>
        <v>937.49999999999989</v>
      </c>
      <c r="L51" s="72"/>
      <c r="O51" s="3" t="s">
        <v>1185</v>
      </c>
    </row>
    <row r="52" spans="1:20" s="6" customFormat="1">
      <c r="A52" s="51"/>
      <c r="B52" s="5" t="s">
        <v>119</v>
      </c>
      <c r="C52" s="5"/>
      <c r="D52" s="5"/>
      <c r="E52" s="5">
        <f>E51/E5</f>
        <v>1.8750000000000002</v>
      </c>
      <c r="F52" s="5">
        <f>F51/F5</f>
        <v>1.875</v>
      </c>
      <c r="G52" s="5">
        <f>G51/G5</f>
        <v>1.8749999999999998</v>
      </c>
      <c r="H52" s="5">
        <f>H51/H5</f>
        <v>1.875</v>
      </c>
      <c r="I52" s="5">
        <f>I51/I5</f>
        <v>1.8749999999999998</v>
      </c>
      <c r="O52" s="5" t="s">
        <v>1184</v>
      </c>
      <c r="T52" s="5"/>
    </row>
    <row r="53" spans="1:20" s="3" customFormat="1">
      <c r="A53" s="55"/>
      <c r="B53" s="332" t="s">
        <v>575</v>
      </c>
      <c r="C53" s="332"/>
      <c r="D53" s="332"/>
      <c r="E53" s="332">
        <f>'Micro_30 (indiv)'!P26*1000000</f>
        <v>2282295374.8914137</v>
      </c>
      <c r="F53" s="332">
        <f>'Micro_30 (indiv)'!AC26*1000000</f>
        <v>33259778494.910664</v>
      </c>
      <c r="G53" s="332">
        <f>'Micro_30 (indiv)'!AP26*1000000</f>
        <v>90910753682.253448</v>
      </c>
      <c r="H53" s="332">
        <f>'Micro_30 (indiv)'!BC26*1000000</f>
        <v>149888718350.56363</v>
      </c>
      <c r="I53" s="332">
        <f>'Micro_30 (indiv)'!BP26*1000000</f>
        <v>196203914471.08484</v>
      </c>
      <c r="K53" s="3">
        <f>E53+F53+G53+H53+I53</f>
        <v>472545460373.70398</v>
      </c>
      <c r="L53" s="70">
        <f>E53/$E$5+F53/$F$5+G53/$G$5+H53/$H$5+I53/$I$5</f>
        <v>945090920.74740791</v>
      </c>
      <c r="O53" s="332" t="s">
        <v>1188</v>
      </c>
    </row>
    <row r="55" spans="1:20" s="17" customFormat="1" ht="15.6">
      <c r="A55" s="54">
        <v>4</v>
      </c>
      <c r="B55" s="18" t="s">
        <v>1189</v>
      </c>
      <c r="E55" s="58"/>
      <c r="F55" s="58"/>
      <c r="G55" s="58"/>
      <c r="H55" s="58"/>
      <c r="I55" s="58"/>
      <c r="O55" s="18" t="s">
        <v>1191</v>
      </c>
    </row>
    <row r="56" spans="1:20" s="17" customFormat="1" ht="15.6">
      <c r="A56" s="54" t="s">
        <v>26</v>
      </c>
      <c r="B56" s="614" t="s">
        <v>1190</v>
      </c>
      <c r="E56" s="58"/>
      <c r="F56" s="58"/>
      <c r="G56" s="58"/>
      <c r="H56" s="58"/>
      <c r="I56" s="58"/>
      <c r="O56" s="614" t="s">
        <v>1192</v>
      </c>
    </row>
    <row r="57" spans="1:20">
      <c r="B57" s="7" t="s">
        <v>173</v>
      </c>
      <c r="C57" s="7"/>
      <c r="D57" s="8"/>
      <c r="E57" s="9">
        <v>0.35</v>
      </c>
      <c r="F57" s="9">
        <v>0.5</v>
      </c>
      <c r="G57" s="9">
        <v>0.6</v>
      </c>
      <c r="H57" s="9">
        <f>G57</f>
        <v>0.6</v>
      </c>
      <c r="I57" s="9">
        <f>H57</f>
        <v>0.6</v>
      </c>
      <c r="O57" s="7" t="s">
        <v>1180</v>
      </c>
    </row>
    <row r="58" spans="1:20">
      <c r="B58" s="4" t="s">
        <v>583</v>
      </c>
      <c r="D58" s="3"/>
      <c r="E58" s="3">
        <f>E8*E57/4</f>
        <v>438032.02799999999</v>
      </c>
      <c r="F58" s="3">
        <f>F8*F57</f>
        <v>2781225.176</v>
      </c>
      <c r="G58" s="3">
        <f>G8*G57</f>
        <v>3729569.4887999999</v>
      </c>
      <c r="H58" s="3">
        <f>H8*H57</f>
        <v>4201497.7345199995</v>
      </c>
      <c r="I58" s="3">
        <f>I8*I57</f>
        <v>4801827.3745379997</v>
      </c>
      <c r="O58" s="4" t="s">
        <v>1181</v>
      </c>
    </row>
    <row r="59" spans="1:20">
      <c r="B59" s="7" t="s">
        <v>174</v>
      </c>
      <c r="C59" s="7"/>
      <c r="D59" s="8"/>
      <c r="E59" s="39">
        <v>0.8</v>
      </c>
      <c r="F59" s="39">
        <v>0.8</v>
      </c>
      <c r="G59" s="39">
        <v>0.8</v>
      </c>
      <c r="H59" s="39">
        <v>0.8</v>
      </c>
      <c r="I59" s="39">
        <v>0.8</v>
      </c>
      <c r="O59" s="7" t="s">
        <v>1182</v>
      </c>
    </row>
    <row r="60" spans="1:20">
      <c r="B60" s="4" t="s">
        <v>582</v>
      </c>
      <c r="D60" s="3"/>
      <c r="E60" s="3">
        <f>E58*E59</f>
        <v>350425.62239999999</v>
      </c>
      <c r="F60" s="3">
        <f>F58*F59</f>
        <v>2224980.1408000002</v>
      </c>
      <c r="G60" s="3">
        <f>G58*G59</f>
        <v>2983655.5910400003</v>
      </c>
      <c r="H60" s="3">
        <f>H58*H59</f>
        <v>3361198.187616</v>
      </c>
      <c r="I60" s="3">
        <f>I58*I59</f>
        <v>3841461.8996303999</v>
      </c>
      <c r="O60" s="4" t="s">
        <v>948</v>
      </c>
    </row>
    <row r="61" spans="1:20">
      <c r="B61" s="7" t="s">
        <v>581</v>
      </c>
      <c r="C61" s="7"/>
      <c r="D61" s="8"/>
      <c r="E61" s="39">
        <f>E38-35%</f>
        <v>0.15000000000000002</v>
      </c>
      <c r="F61" s="39">
        <f>F38-35%</f>
        <v>0.15000000000000002</v>
      </c>
      <c r="G61" s="39">
        <f>G38-35%</f>
        <v>0.15000000000000002</v>
      </c>
      <c r="H61" s="39">
        <f>H38-35%</f>
        <v>0.15000000000000002</v>
      </c>
      <c r="I61" s="39">
        <f>I38-35%</f>
        <v>0.15000000000000002</v>
      </c>
      <c r="O61" s="7" t="s">
        <v>581</v>
      </c>
    </row>
    <row r="62" spans="1:20">
      <c r="B62" s="613" t="s">
        <v>903</v>
      </c>
      <c r="D62" s="3"/>
      <c r="E62" s="3">
        <f>E60*E61</f>
        <v>52563.843360000006</v>
      </c>
      <c r="F62" s="3">
        <f>F60*F61</f>
        <v>333747.02112000005</v>
      </c>
      <c r="G62" s="3">
        <f>G60*G61</f>
        <v>447548.33865600009</v>
      </c>
      <c r="H62" s="3">
        <f>H60*H61</f>
        <v>504179.72814240004</v>
      </c>
      <c r="I62" s="3">
        <f>I60*I61</f>
        <v>576219.28494456003</v>
      </c>
      <c r="O62" s="613" t="s">
        <v>949</v>
      </c>
    </row>
    <row r="63" spans="1:20">
      <c r="B63" s="7" t="s">
        <v>580</v>
      </c>
      <c r="C63" s="7"/>
      <c r="D63" s="8"/>
      <c r="E63" s="9">
        <f>E40</f>
        <v>0.3</v>
      </c>
      <c r="F63" s="9">
        <f>F40</f>
        <v>0.35</v>
      </c>
      <c r="G63" s="9">
        <f>G40</f>
        <v>0.39999999999999997</v>
      </c>
      <c r="H63" s="9">
        <f>H40</f>
        <v>0.39999999999999997</v>
      </c>
      <c r="I63" s="9">
        <f>I40</f>
        <v>0.39999999999999997</v>
      </c>
      <c r="O63" s="7" t="s">
        <v>952</v>
      </c>
    </row>
    <row r="64" spans="1:20">
      <c r="B64" s="4" t="s">
        <v>579</v>
      </c>
      <c r="D64" s="3"/>
      <c r="E64" s="3">
        <f>E62*E63</f>
        <v>15769.153008000001</v>
      </c>
      <c r="F64" s="3">
        <f>F62*F63</f>
        <v>116811.45739200001</v>
      </c>
      <c r="G64" s="3">
        <f>G62*G63</f>
        <v>179019.33546240002</v>
      </c>
      <c r="H64" s="3">
        <f>H62*H63</f>
        <v>201671.89125695999</v>
      </c>
      <c r="I64" s="3">
        <f>I62*I63</f>
        <v>230487.71397782399</v>
      </c>
      <c r="O64" s="4" t="s">
        <v>950</v>
      </c>
    </row>
    <row r="65" spans="1:17">
      <c r="B65" s="7" t="s">
        <v>578</v>
      </c>
      <c r="C65" s="7"/>
      <c r="D65" s="8"/>
      <c r="E65" s="39">
        <f>E42</f>
        <v>0.95</v>
      </c>
      <c r="F65" s="39">
        <f>F42</f>
        <v>0.95</v>
      </c>
      <c r="G65" s="39">
        <f>G42</f>
        <v>0.95</v>
      </c>
      <c r="H65" s="39">
        <f>H42</f>
        <v>0.95</v>
      </c>
      <c r="I65" s="39">
        <f>I42</f>
        <v>0.95</v>
      </c>
      <c r="O65" s="7" t="s">
        <v>956</v>
      </c>
    </row>
    <row r="66" spans="1:17" s="17" customFormat="1" ht="15.6">
      <c r="A66" s="54"/>
      <c r="B66" s="336" t="s">
        <v>577</v>
      </c>
      <c r="C66" s="336"/>
      <c r="D66" s="335"/>
      <c r="E66" s="335">
        <f>'Installment card_150 (indiv)'!P18</f>
        <v>4248.2898469406991</v>
      </c>
      <c r="F66" s="335">
        <f>'Installment card_150 (indiv)'!AC18</f>
        <v>114420.59793550649</v>
      </c>
      <c r="G66" s="335">
        <f>'Installment card_150 (indiv)'!AP18</f>
        <v>259215.92174088259</v>
      </c>
      <c r="H66" s="335">
        <f>'Installment card_150 (indiv)'!BC18</f>
        <v>379228.95841523504</v>
      </c>
      <c r="I66" s="335">
        <f>'Installment card_150 (indiv)'!BP18</f>
        <v>470538.0648769408</v>
      </c>
      <c r="K66" s="4"/>
      <c r="O66" s="336" t="s">
        <v>1177</v>
      </c>
    </row>
    <row r="67" spans="1:17">
      <c r="B67" s="3" t="s">
        <v>125</v>
      </c>
      <c r="C67" s="3"/>
      <c r="D67" s="3"/>
      <c r="E67" s="3">
        <f>E68*E5</f>
        <v>75000</v>
      </c>
      <c r="F67" s="3">
        <f>F68*F5</f>
        <v>82500</v>
      </c>
      <c r="G67" s="3">
        <f>G68*G5</f>
        <v>90750.000000000015</v>
      </c>
      <c r="H67" s="3">
        <f>H68*H5</f>
        <v>99825.000000000015</v>
      </c>
      <c r="I67" s="3">
        <f>I68*I5</f>
        <v>109807.50000000003</v>
      </c>
      <c r="O67" s="3" t="s">
        <v>1199</v>
      </c>
    </row>
    <row r="68" spans="1:17" s="6" customFormat="1">
      <c r="A68" s="51"/>
      <c r="B68" s="5" t="s">
        <v>126</v>
      </c>
      <c r="C68" s="5"/>
      <c r="D68" s="5"/>
      <c r="E68" s="16">
        <v>150</v>
      </c>
      <c r="F68" s="16">
        <f>E68*110%</f>
        <v>165</v>
      </c>
      <c r="G68" s="16">
        <f>F68*110%</f>
        <v>181.50000000000003</v>
      </c>
      <c r="H68" s="16">
        <f>G68*110%</f>
        <v>199.65000000000003</v>
      </c>
      <c r="I68" s="16">
        <f>H68*110%</f>
        <v>219.61500000000007</v>
      </c>
      <c r="O68" s="5" t="s">
        <v>1200</v>
      </c>
    </row>
    <row r="69" spans="1:17">
      <c r="B69" s="3" t="s">
        <v>111</v>
      </c>
      <c r="C69" s="3"/>
      <c r="D69" s="3"/>
      <c r="E69" s="3">
        <f>E66*E67</f>
        <v>318621738.52055246</v>
      </c>
      <c r="F69" s="3">
        <f>F66*F67</f>
        <v>9439699329.679285</v>
      </c>
      <c r="G69" s="3">
        <f>G66*G67</f>
        <v>23523844897.9851</v>
      </c>
      <c r="H69" s="3">
        <f>H66*H67</f>
        <v>37856530773.800842</v>
      </c>
      <c r="I69" s="3">
        <f>I66*I67</f>
        <v>51668608558.974693</v>
      </c>
      <c r="M69" s="3"/>
      <c r="N69" s="3"/>
      <c r="O69" s="3" t="s">
        <v>1186</v>
      </c>
      <c r="P69" s="3"/>
      <c r="Q69" s="3"/>
    </row>
    <row r="70" spans="1:17" s="10" customFormat="1">
      <c r="A70" s="53"/>
      <c r="B70" s="7" t="s">
        <v>117</v>
      </c>
      <c r="C70" s="7"/>
      <c r="D70" s="8"/>
      <c r="E70" s="39">
        <v>0.99</v>
      </c>
      <c r="F70" s="39">
        <f>E70-0.5%</f>
        <v>0.98499999999999999</v>
      </c>
      <c r="G70" s="39">
        <f>F70-0.5%</f>
        <v>0.98</v>
      </c>
      <c r="H70" s="39">
        <f>G70-0.5%</f>
        <v>0.97499999999999998</v>
      </c>
      <c r="I70" s="39">
        <f>H70-0.5%</f>
        <v>0.97</v>
      </c>
      <c r="M70" s="3"/>
      <c r="N70" s="3"/>
      <c r="O70" s="7" t="s">
        <v>1042</v>
      </c>
      <c r="P70" s="3"/>
      <c r="Q70" s="3"/>
    </row>
    <row r="71" spans="1:17" s="17" customFormat="1" ht="15.6">
      <c r="A71" s="54"/>
      <c r="B71" s="334" t="s">
        <v>116</v>
      </c>
      <c r="C71" s="334"/>
      <c r="D71" s="333"/>
      <c r="E71" s="333">
        <f>'Installment card_150 (indiv)'!P22</f>
        <v>4205.8069484712923</v>
      </c>
      <c r="F71" s="333">
        <f>'Installment card_150 (indiv)'!AC22</f>
        <v>112704.28896647389</v>
      </c>
      <c r="G71" s="333">
        <f>'Installment card_150 (indiv)'!AP22</f>
        <v>254031.60330606494</v>
      </c>
      <c r="H71" s="333">
        <f>'Installment card_150 (indiv)'!BC22</f>
        <v>369748.23445485416</v>
      </c>
      <c r="I71" s="333">
        <f>'Installment card_150 (indiv)'!BP22</f>
        <v>456421.92293063254</v>
      </c>
      <c r="O71" s="334" t="s">
        <v>1183</v>
      </c>
    </row>
    <row r="72" spans="1:17" s="10" customFormat="1">
      <c r="A72" s="53"/>
      <c r="B72" s="7" t="s">
        <v>584</v>
      </c>
      <c r="C72" s="7"/>
      <c r="D72" s="8"/>
      <c r="E72" s="39">
        <v>0.7</v>
      </c>
      <c r="F72" s="39">
        <v>0.7</v>
      </c>
      <c r="G72" s="39">
        <v>0.7</v>
      </c>
      <c r="H72" s="39">
        <v>0.7</v>
      </c>
      <c r="I72" s="39">
        <v>0.7</v>
      </c>
      <c r="O72" s="7" t="s">
        <v>1043</v>
      </c>
    </row>
    <row r="73" spans="1:17">
      <c r="B73" s="3" t="s">
        <v>902</v>
      </c>
      <c r="C73" s="3"/>
      <c r="D73" s="3"/>
      <c r="E73" s="3">
        <f>E69*E72</f>
        <v>223035216.9643867</v>
      </c>
      <c r="F73" s="3">
        <f>F69*F72</f>
        <v>6607789530.7754993</v>
      </c>
      <c r="G73" s="3">
        <f>G69*G72</f>
        <v>16466691428.589569</v>
      </c>
      <c r="H73" s="3">
        <f>H69*H72</f>
        <v>26499571541.660587</v>
      </c>
      <c r="I73" s="3">
        <f>I69*I72</f>
        <v>36168025991.28228</v>
      </c>
      <c r="K73" s="3">
        <f>I73</f>
        <v>36168025991.28228</v>
      </c>
      <c r="L73" s="70">
        <f>K73/I5</f>
        <v>72336051.982564554</v>
      </c>
      <c r="O73" s="3" t="s">
        <v>1187</v>
      </c>
    </row>
    <row r="74" spans="1:17">
      <c r="B74" s="3" t="s">
        <v>114</v>
      </c>
      <c r="C74" s="3"/>
      <c r="D74" s="3"/>
      <c r="E74" s="3">
        <f>E73/E71</f>
        <v>53030.303030303025</v>
      </c>
      <c r="F74" s="3">
        <f>F73/F71</f>
        <v>58629.441624365478</v>
      </c>
      <c r="G74" s="3">
        <f>G73/G71</f>
        <v>64821.42857142858</v>
      </c>
      <c r="H74" s="3">
        <f>H73/H71</f>
        <v>71669.230769230766</v>
      </c>
      <c r="I74" s="3">
        <f>I73/I71</f>
        <v>79242.525773195899</v>
      </c>
      <c r="O74" s="3" t="s">
        <v>1185</v>
      </c>
    </row>
    <row r="75" spans="1:17" s="6" customFormat="1">
      <c r="A75" s="51"/>
      <c r="B75" s="5" t="s">
        <v>119</v>
      </c>
      <c r="C75" s="5"/>
      <c r="D75" s="5"/>
      <c r="E75" s="5">
        <f>E74/E5</f>
        <v>106.06060606060605</v>
      </c>
      <c r="F75" s="5">
        <f>F74/F5</f>
        <v>117.25888324873095</v>
      </c>
      <c r="G75" s="5">
        <f>G74/G5</f>
        <v>129.64285714285717</v>
      </c>
      <c r="H75" s="5">
        <f>H74/H5</f>
        <v>143.33846153846153</v>
      </c>
      <c r="I75" s="5">
        <f>I74/I5</f>
        <v>158.48505154639179</v>
      </c>
      <c r="O75" s="5" t="s">
        <v>1184</v>
      </c>
    </row>
    <row r="76" spans="1:17" s="3" customFormat="1">
      <c r="A76" s="55"/>
      <c r="B76" s="332" t="s">
        <v>575</v>
      </c>
      <c r="C76" s="332"/>
      <c r="D76" s="332"/>
      <c r="E76" s="332">
        <f>'Installment card_150 (indiv)'!P52*1000000</f>
        <v>249096129.82906932</v>
      </c>
      <c r="F76" s="332">
        <f>'Installment card_150 (indiv)'!AC52*1000000</f>
        <v>9226267237.7848892</v>
      </c>
      <c r="G76" s="332">
        <f>'Installment card_150 (indiv)'!AP52*1000000</f>
        <v>20605955855.583313</v>
      </c>
      <c r="H76" s="332">
        <f>'Installment card_150 (indiv)'!BC52*1000000</f>
        <v>30798067428.910389</v>
      </c>
      <c r="I76" s="332">
        <f>'Installment card_150 (indiv)'!BP52*1000000</f>
        <v>40353952564.743462</v>
      </c>
      <c r="K76" s="3">
        <f>E76+F76+G76+H76+I76</f>
        <v>101233339216.85114</v>
      </c>
      <c r="L76" s="70">
        <f>E76/$E$5+F76/$F$5+G76/$G$5+H76/$H$5+I76/$I$5</f>
        <v>202466678.43370223</v>
      </c>
      <c r="O76" s="332" t="s">
        <v>1188</v>
      </c>
    </row>
    <row r="77" spans="1:17">
      <c r="B77" s="3"/>
      <c r="C77" s="3"/>
      <c r="D77" s="3"/>
      <c r="E77" s="3"/>
      <c r="F77" s="3"/>
      <c r="G77" s="3"/>
      <c r="H77" s="3"/>
      <c r="I77" s="3"/>
      <c r="O77" s="3"/>
    </row>
    <row r="78" spans="1:17" s="17" customFormat="1" ht="15.6">
      <c r="A78" s="54" t="s">
        <v>27</v>
      </c>
      <c r="B78" s="615" t="s">
        <v>1193</v>
      </c>
      <c r="O78" s="614" t="s">
        <v>1194</v>
      </c>
    </row>
    <row r="79" spans="1:17">
      <c r="B79" s="7" t="s">
        <v>173</v>
      </c>
      <c r="C79" s="7"/>
      <c r="D79" s="8"/>
      <c r="E79" s="9">
        <v>0.35</v>
      </c>
      <c r="F79" s="9">
        <v>0.5</v>
      </c>
      <c r="G79" s="9">
        <v>0.6</v>
      </c>
      <c r="H79" s="9">
        <f>G79</f>
        <v>0.6</v>
      </c>
      <c r="I79" s="9">
        <f>H79</f>
        <v>0.6</v>
      </c>
      <c r="O79" s="7" t="s">
        <v>1180</v>
      </c>
    </row>
    <row r="80" spans="1:17">
      <c r="B80" s="4" t="s">
        <v>583</v>
      </c>
      <c r="D80" s="3"/>
      <c r="E80" s="3">
        <f>E8*E79/4</f>
        <v>438032.02799999999</v>
      </c>
      <c r="F80" s="3">
        <f>F8*F79</f>
        <v>2781225.176</v>
      </c>
      <c r="G80" s="3">
        <f>G8*G79</f>
        <v>3729569.4887999999</v>
      </c>
      <c r="H80" s="3">
        <f>H8*H79</f>
        <v>4201497.7345199995</v>
      </c>
      <c r="I80" s="3">
        <f>I8*I79</f>
        <v>4801827.3745379997</v>
      </c>
      <c r="K80" s="64"/>
      <c r="O80" s="4" t="s">
        <v>1181</v>
      </c>
    </row>
    <row r="81" spans="1:15">
      <c r="B81" s="7" t="s">
        <v>174</v>
      </c>
      <c r="C81" s="7"/>
      <c r="D81" s="8"/>
      <c r="E81" s="39">
        <v>0.8</v>
      </c>
      <c r="F81" s="39">
        <v>0.8</v>
      </c>
      <c r="G81" s="39">
        <v>0.8</v>
      </c>
      <c r="H81" s="39">
        <v>0.8</v>
      </c>
      <c r="I81" s="39">
        <v>0.8</v>
      </c>
      <c r="O81" s="7" t="s">
        <v>1182</v>
      </c>
    </row>
    <row r="82" spans="1:15">
      <c r="B82" s="4" t="s">
        <v>582</v>
      </c>
      <c r="C82" s="3"/>
      <c r="D82" s="3"/>
      <c r="E82" s="3">
        <f>E80*E81</f>
        <v>350425.62239999999</v>
      </c>
      <c r="F82" s="3">
        <f>F80*F81</f>
        <v>2224980.1408000002</v>
      </c>
      <c r="G82" s="3">
        <f>G80*G81</f>
        <v>2983655.5910400003</v>
      </c>
      <c r="H82" s="3">
        <f>H80*H81</f>
        <v>3361198.187616</v>
      </c>
      <c r="I82" s="3">
        <f>I80*I81</f>
        <v>3841461.8996303999</v>
      </c>
      <c r="O82" s="4" t="s">
        <v>948</v>
      </c>
    </row>
    <row r="83" spans="1:15">
      <c r="B83" s="7" t="s">
        <v>581</v>
      </c>
      <c r="C83" s="7"/>
      <c r="D83" s="8"/>
      <c r="E83" s="9">
        <v>0.05</v>
      </c>
      <c r="F83" s="9">
        <v>0.05</v>
      </c>
      <c r="G83" s="9">
        <v>0.05</v>
      </c>
      <c r="H83" s="9">
        <v>0.05</v>
      </c>
      <c r="I83" s="9">
        <v>0.05</v>
      </c>
      <c r="O83" s="7" t="s">
        <v>581</v>
      </c>
    </row>
    <row r="84" spans="1:15">
      <c r="B84" s="4" t="s">
        <v>904</v>
      </c>
      <c r="D84" s="3"/>
      <c r="E84" s="3">
        <f>E82*E83</f>
        <v>17521.28112</v>
      </c>
      <c r="F84" s="3">
        <f>F82*F83</f>
        <v>111249.00704000001</v>
      </c>
      <c r="G84" s="3">
        <f>G82*G83</f>
        <v>149182.77955200002</v>
      </c>
      <c r="H84" s="3">
        <f>H82*H83</f>
        <v>168059.9093808</v>
      </c>
      <c r="I84" s="3">
        <f>I82*I83</f>
        <v>192073.09498152</v>
      </c>
      <c r="O84" s="613" t="s">
        <v>949</v>
      </c>
    </row>
    <row r="85" spans="1:15">
      <c r="B85" s="7" t="s">
        <v>580</v>
      </c>
      <c r="D85" s="3"/>
      <c r="E85" s="9">
        <f>E40</f>
        <v>0.3</v>
      </c>
      <c r="F85" s="9">
        <f>F40</f>
        <v>0.35</v>
      </c>
      <c r="G85" s="9">
        <f>G40</f>
        <v>0.39999999999999997</v>
      </c>
      <c r="H85" s="9">
        <f>H40</f>
        <v>0.39999999999999997</v>
      </c>
      <c r="I85" s="9">
        <f>I40</f>
        <v>0.39999999999999997</v>
      </c>
      <c r="O85" s="7" t="s">
        <v>952</v>
      </c>
    </row>
    <row r="86" spans="1:15">
      <c r="B86" s="4" t="s">
        <v>579</v>
      </c>
      <c r="D86" s="3"/>
      <c r="E86" s="3">
        <f>E84*E85</f>
        <v>5256.3843360000001</v>
      </c>
      <c r="F86" s="3">
        <f>F84*F85</f>
        <v>38937.152463999999</v>
      </c>
      <c r="G86" s="3">
        <f>G84*G85</f>
        <v>59673.111820800004</v>
      </c>
      <c r="H86" s="3">
        <f>H84*H85</f>
        <v>67223.963752319993</v>
      </c>
      <c r="I86" s="3">
        <f>I84*I85</f>
        <v>76829.237992607988</v>
      </c>
      <c r="O86" s="4" t="s">
        <v>950</v>
      </c>
    </row>
    <row r="87" spans="1:15">
      <c r="B87" s="7" t="s">
        <v>578</v>
      </c>
      <c r="C87" s="7"/>
      <c r="D87" s="8"/>
      <c r="E87" s="39">
        <f>E42</f>
        <v>0.95</v>
      </c>
      <c r="F87" s="39">
        <f>F42</f>
        <v>0.95</v>
      </c>
      <c r="G87" s="39">
        <f>G42</f>
        <v>0.95</v>
      </c>
      <c r="H87" s="39">
        <f>H42</f>
        <v>0.95</v>
      </c>
      <c r="I87" s="39">
        <f>I42</f>
        <v>0.95</v>
      </c>
      <c r="O87" s="7" t="s">
        <v>956</v>
      </c>
    </row>
    <row r="88" spans="1:15" s="17" customFormat="1" ht="15.6">
      <c r="A88" s="54"/>
      <c r="B88" s="336" t="s">
        <v>577</v>
      </c>
      <c r="C88" s="336"/>
      <c r="D88" s="335"/>
      <c r="E88" s="335">
        <f>'Installment card_1000 (indiv)'!P18</f>
        <v>0</v>
      </c>
      <c r="F88" s="335">
        <f>'Installment card_1000 (indiv)'!AC18</f>
        <v>21363.260018793415</v>
      </c>
      <c r="G88" s="335">
        <f>'Installment card_1000 (indiv)'!AP18</f>
        <v>72538.713212047223</v>
      </c>
      <c r="H88" s="335">
        <f>'Installment card_1000 (indiv)'!BC18</f>
        <v>115759.39874496429</v>
      </c>
      <c r="I88" s="335">
        <f>'Installment card_1000 (indiv)'!BP18</f>
        <v>149248.23352204598</v>
      </c>
      <c r="K88" s="4"/>
      <c r="O88" s="336" t="s">
        <v>1177</v>
      </c>
    </row>
    <row r="89" spans="1:15">
      <c r="B89" s="3" t="s">
        <v>125</v>
      </c>
      <c r="C89" s="3"/>
      <c r="D89" s="3"/>
      <c r="E89" s="3">
        <f>E90*E5</f>
        <v>500000</v>
      </c>
      <c r="F89" s="3">
        <f>F90*F5</f>
        <v>525000</v>
      </c>
      <c r="G89" s="3">
        <f>G90*G5</f>
        <v>551250</v>
      </c>
      <c r="H89" s="3">
        <f>H90*H5</f>
        <v>578812.5</v>
      </c>
      <c r="I89" s="3">
        <f>I90*I5</f>
        <v>607753.12500000012</v>
      </c>
      <c r="O89" s="3" t="s">
        <v>1199</v>
      </c>
    </row>
    <row r="90" spans="1:15" s="6" customFormat="1">
      <c r="A90" s="51"/>
      <c r="B90" s="5" t="s">
        <v>126</v>
      </c>
      <c r="C90" s="5"/>
      <c r="D90" s="5"/>
      <c r="E90" s="16">
        <v>1000</v>
      </c>
      <c r="F90" s="16">
        <f>E90*105%</f>
        <v>1050</v>
      </c>
      <c r="G90" s="16">
        <f>F90*105%</f>
        <v>1102.5</v>
      </c>
      <c r="H90" s="16">
        <f>G90*105%</f>
        <v>1157.625</v>
      </c>
      <c r="I90" s="16">
        <f>H90*105%</f>
        <v>1215.5062500000001</v>
      </c>
      <c r="O90" s="5" t="s">
        <v>1200</v>
      </c>
    </row>
    <row r="91" spans="1:15">
      <c r="B91" s="3" t="s">
        <v>111</v>
      </c>
      <c r="C91" s="3"/>
      <c r="D91" s="3"/>
      <c r="E91" s="3">
        <f>E88*E89</f>
        <v>0</v>
      </c>
      <c r="F91" s="3">
        <f>F88*F89</f>
        <v>11215711509.866543</v>
      </c>
      <c r="G91" s="3">
        <f>G88*G89</f>
        <v>39986965658.141029</v>
      </c>
      <c r="H91" s="3">
        <f>H88*H89</f>
        <v>67002986986.069641</v>
      </c>
      <c r="I91" s="3">
        <f>I88*I89</f>
        <v>90706080323.75322</v>
      </c>
      <c r="O91" s="3" t="s">
        <v>1186</v>
      </c>
    </row>
    <row r="92" spans="1:15" s="10" customFormat="1">
      <c r="A92" s="53"/>
      <c r="B92" s="7" t="s">
        <v>117</v>
      </c>
      <c r="C92" s="7"/>
      <c r="D92" s="8"/>
      <c r="E92" s="39">
        <v>0.95</v>
      </c>
      <c r="F92" s="39">
        <f>E92-1%</f>
        <v>0.94</v>
      </c>
      <c r="G92" s="39">
        <f>F92-1%</f>
        <v>0.92999999999999994</v>
      </c>
      <c r="H92" s="39">
        <f>G92-1%</f>
        <v>0.91999999999999993</v>
      </c>
      <c r="I92" s="39">
        <f>H92-1%</f>
        <v>0.90999999999999992</v>
      </c>
      <c r="O92" s="7" t="s">
        <v>1042</v>
      </c>
    </row>
    <row r="93" spans="1:15" s="17" customFormat="1" ht="15.6">
      <c r="A93" s="54"/>
      <c r="B93" s="334" t="s">
        <v>116</v>
      </c>
      <c r="C93" s="334"/>
      <c r="D93" s="333"/>
      <c r="E93" s="333">
        <f>'Installment card_1000 (indiv)'!P22</f>
        <v>0</v>
      </c>
      <c r="F93" s="333">
        <f>'Installment card_1000 (indiv)'!AC22</f>
        <v>20081.464417665808</v>
      </c>
      <c r="G93" s="333">
        <f>'Installment card_1000 (indiv)'!AP22</f>
        <v>67461.003287203916</v>
      </c>
      <c r="H93" s="333">
        <f>'Installment card_1000 (indiv)'!BC22</f>
        <v>106498.64684536714</v>
      </c>
      <c r="I93" s="333">
        <f>'Installment card_1000 (indiv)'!BP22</f>
        <v>135815.89250506184</v>
      </c>
      <c r="O93" s="334" t="s">
        <v>1183</v>
      </c>
    </row>
    <row r="94" spans="1:15" s="10" customFormat="1">
      <c r="A94" s="53"/>
      <c r="B94" s="7" t="s">
        <v>576</v>
      </c>
      <c r="C94" s="7"/>
      <c r="D94" s="8"/>
      <c r="E94" s="39">
        <v>0.5</v>
      </c>
      <c r="F94" s="39">
        <v>0.5</v>
      </c>
      <c r="G94" s="39">
        <v>0.5</v>
      </c>
      <c r="H94" s="39">
        <v>0.5</v>
      </c>
      <c r="I94" s="39">
        <v>0.5</v>
      </c>
      <c r="O94" s="7" t="s">
        <v>1043</v>
      </c>
    </row>
    <row r="95" spans="1:15">
      <c r="B95" s="3" t="s">
        <v>905</v>
      </c>
      <c r="C95" s="3"/>
      <c r="D95" s="3"/>
      <c r="E95" s="3">
        <f>E91*E94</f>
        <v>0</v>
      </c>
      <c r="F95" s="3">
        <f>F91*F94</f>
        <v>5607855754.9332714</v>
      </c>
      <c r="G95" s="3">
        <f>G91*G94</f>
        <v>19993482829.070515</v>
      </c>
      <c r="H95" s="3">
        <f>H91*H94</f>
        <v>33501493493.034821</v>
      </c>
      <c r="I95" s="3">
        <f>I91*I94</f>
        <v>45353040161.87661</v>
      </c>
      <c r="K95" s="3">
        <f>I95</f>
        <v>45353040161.87661</v>
      </c>
      <c r="L95" s="70">
        <f>K95/I5</f>
        <v>90706080.323753223</v>
      </c>
      <c r="O95" s="3" t="s">
        <v>1187</v>
      </c>
    </row>
    <row r="96" spans="1:15">
      <c r="B96" s="3" t="s">
        <v>114</v>
      </c>
      <c r="C96" s="3"/>
      <c r="D96" s="3"/>
      <c r="E96" s="3"/>
      <c r="F96" s="3">
        <f>F95/F93</f>
        <v>279255.31914893619</v>
      </c>
      <c r="G96" s="3">
        <f>G95/G93</f>
        <v>296370.96774193546</v>
      </c>
      <c r="H96" s="3">
        <f>H95/H93</f>
        <v>314572.01086956525</v>
      </c>
      <c r="I96" s="3">
        <f>I95/I93</f>
        <v>333930.28846153856</v>
      </c>
      <c r="O96" s="3" t="s">
        <v>1185</v>
      </c>
    </row>
    <row r="97" spans="1:18" s="6" customFormat="1">
      <c r="A97" s="51"/>
      <c r="B97" s="5" t="s">
        <v>119</v>
      </c>
      <c r="C97" s="5"/>
      <c r="D97" s="5"/>
      <c r="E97" s="5"/>
      <c r="F97" s="5">
        <f>F96/F5</f>
        <v>558.51063829787233</v>
      </c>
      <c r="G97" s="5">
        <f>G96/G5</f>
        <v>592.74193548387086</v>
      </c>
      <c r="H97" s="5">
        <f>H96/H5</f>
        <v>629.14402173913049</v>
      </c>
      <c r="I97" s="5">
        <f>I96/I5</f>
        <v>667.86057692307713</v>
      </c>
      <c r="O97" s="5" t="s">
        <v>1184</v>
      </c>
      <c r="P97" s="5"/>
      <c r="Q97" s="5"/>
      <c r="R97" s="5"/>
    </row>
    <row r="98" spans="1:18" s="3" customFormat="1">
      <c r="A98" s="55"/>
      <c r="B98" s="332" t="s">
        <v>575</v>
      </c>
      <c r="C98" s="332"/>
      <c r="D98" s="332"/>
      <c r="E98" s="332">
        <f>'Installment card_1000 (indiv)'!P52*1000000</f>
        <v>0</v>
      </c>
      <c r="F98" s="332">
        <f>'Installment card_1000 (indiv)'!AC52*1000000</f>
        <v>6703654373.4704218</v>
      </c>
      <c r="G98" s="332">
        <f>'Installment card_1000 (indiv)'!AP52*1000000</f>
        <v>25872126226.74535</v>
      </c>
      <c r="H98" s="332">
        <f>'Installment card_1000 (indiv)'!BC52*1000000</f>
        <v>38818346574.571526</v>
      </c>
      <c r="I98" s="332">
        <f>'Installment card_1000 (indiv)'!BP52*1000000</f>
        <v>49729241268.95578</v>
      </c>
      <c r="K98" s="3">
        <f>E98+F98+G98+H98+I98</f>
        <v>121123368443.74307</v>
      </c>
      <c r="L98" s="70">
        <f>E98/$E$5+F98/$F$5+G98/$G$5+H98/$H$5+I98/$I$5</f>
        <v>242246736.88748616</v>
      </c>
      <c r="O98" s="332" t="s">
        <v>1188</v>
      </c>
    </row>
    <row r="99" spans="1:18" s="6" customFormat="1">
      <c r="A99" s="51"/>
      <c r="B99" s="5" t="s">
        <v>508</v>
      </c>
      <c r="C99" s="5"/>
      <c r="D99" s="5"/>
      <c r="E99" s="5">
        <f>E43-E66-E88</f>
        <v>51342.02966321334</v>
      </c>
      <c r="F99" s="5">
        <f>F43-F66-F88</f>
        <v>264010.64698262676</v>
      </c>
      <c r="G99" s="5">
        <f>G43-G66-G88</f>
        <v>520059.64540158969</v>
      </c>
      <c r="H99" s="5">
        <f>H43-H66-H88</f>
        <v>729685.17518967518</v>
      </c>
      <c r="I99" s="5">
        <f>I43-I66-I88</f>
        <v>887216.63475094887</v>
      </c>
      <c r="O99" s="5" t="s">
        <v>913</v>
      </c>
    </row>
    <row r="100" spans="1:18" s="17" customFormat="1" ht="15.6">
      <c r="A100" s="54">
        <v>5</v>
      </c>
      <c r="B100" s="614" t="s">
        <v>186</v>
      </c>
      <c r="O100" s="614" t="s">
        <v>1195</v>
      </c>
    </row>
    <row r="101" spans="1:18">
      <c r="B101" s="4" t="s">
        <v>19</v>
      </c>
      <c r="D101" s="3">
        <f t="shared" ref="D101:I101" si="4">D8-D26</f>
        <v>3366539.36933422</v>
      </c>
      <c r="E101" s="3">
        <f t="shared" si="4"/>
        <v>4238417.3072393285</v>
      </c>
      <c r="F101" s="3">
        <f t="shared" si="4"/>
        <v>4690970.5893174084</v>
      </c>
      <c r="G101" s="3">
        <f t="shared" si="4"/>
        <v>5226612.7280595973</v>
      </c>
      <c r="H101" s="3">
        <f t="shared" si="4"/>
        <v>5864759.3412685357</v>
      </c>
      <c r="I101" s="3">
        <f t="shared" si="4"/>
        <v>6694648.2088588169</v>
      </c>
      <c r="O101" s="4" t="s">
        <v>1209</v>
      </c>
    </row>
    <row r="102" spans="1:18">
      <c r="B102" s="7" t="s">
        <v>20</v>
      </c>
      <c r="C102" s="7"/>
      <c r="D102" s="8"/>
      <c r="E102" s="9">
        <v>0.3</v>
      </c>
      <c r="F102" s="9">
        <v>0.3</v>
      </c>
      <c r="G102" s="9">
        <v>0.4</v>
      </c>
      <c r="H102" s="9">
        <v>0.5</v>
      </c>
      <c r="I102" s="9">
        <v>0.5</v>
      </c>
      <c r="O102" s="7" t="s">
        <v>1180</v>
      </c>
    </row>
    <row r="103" spans="1:18">
      <c r="B103" s="4" t="s">
        <v>574</v>
      </c>
      <c r="D103" s="3"/>
      <c r="E103" s="3">
        <f>E101*E102/2</f>
        <v>635762.59608589928</v>
      </c>
      <c r="F103" s="3">
        <f>F101*F102</f>
        <v>1407291.1767952226</v>
      </c>
      <c r="G103" s="3">
        <f>G101*G102</f>
        <v>2090645.091223839</v>
      </c>
      <c r="H103" s="3">
        <f>H101*H102</f>
        <v>2932379.6706342679</v>
      </c>
      <c r="I103" s="3">
        <f>I101*I102</f>
        <v>3347324.1044294084</v>
      </c>
      <c r="O103" s="4" t="s">
        <v>1181</v>
      </c>
    </row>
    <row r="104" spans="1:18">
      <c r="B104" s="7" t="s">
        <v>21</v>
      </c>
      <c r="C104" s="7"/>
      <c r="D104" s="8"/>
      <c r="E104" s="9">
        <v>0.9</v>
      </c>
      <c r="F104" s="9">
        <v>0.9</v>
      </c>
      <c r="G104" s="9">
        <v>0.9</v>
      </c>
      <c r="H104" s="9">
        <v>0.9</v>
      </c>
      <c r="I104" s="9">
        <v>0.9</v>
      </c>
      <c r="O104" s="7" t="s">
        <v>1210</v>
      </c>
    </row>
    <row r="105" spans="1:18">
      <c r="B105" s="4" t="s">
        <v>22</v>
      </c>
      <c r="E105" s="3">
        <f>E103*E104</f>
        <v>572186.33647730935</v>
      </c>
      <c r="F105" s="3">
        <f>F103*F104</f>
        <v>1266562.0591157004</v>
      </c>
      <c r="G105" s="3">
        <f>G103*G104</f>
        <v>1881580.5821014552</v>
      </c>
      <c r="H105" s="3">
        <f>H103*H104</f>
        <v>2639141.7035708413</v>
      </c>
      <c r="I105" s="3">
        <f>I103*I104</f>
        <v>3012591.6939864676</v>
      </c>
      <c r="O105" s="4" t="s">
        <v>1212</v>
      </c>
    </row>
    <row r="106" spans="1:18">
      <c r="B106" s="7" t="s">
        <v>23</v>
      </c>
      <c r="C106" s="7"/>
      <c r="D106" s="8"/>
      <c r="E106" s="9">
        <v>0.2</v>
      </c>
      <c r="F106" s="9">
        <v>0.2</v>
      </c>
      <c r="G106" s="9">
        <v>0.2</v>
      </c>
      <c r="H106" s="9">
        <v>0.2</v>
      </c>
      <c r="I106" s="9">
        <v>0.2</v>
      </c>
      <c r="O106" s="7" t="s">
        <v>1211</v>
      </c>
    </row>
    <row r="107" spans="1:18">
      <c r="B107" s="4" t="s">
        <v>24</v>
      </c>
      <c r="E107" s="3">
        <f>E105*E106</f>
        <v>114437.26729546188</v>
      </c>
      <c r="F107" s="3">
        <f>F105*F106</f>
        <v>253312.41182314011</v>
      </c>
      <c r="G107" s="3">
        <f>G105*G106</f>
        <v>376316.11642029107</v>
      </c>
      <c r="H107" s="3">
        <f>H105*H106</f>
        <v>527828.34071416827</v>
      </c>
      <c r="I107" s="3">
        <f>I105*I106</f>
        <v>602518.33879729349</v>
      </c>
      <c r="O107" s="3" t="s">
        <v>1102</v>
      </c>
    </row>
    <row r="108" spans="1:18">
      <c r="B108" s="7" t="s">
        <v>13</v>
      </c>
      <c r="C108" s="7"/>
      <c r="D108" s="8"/>
      <c r="E108" s="9">
        <v>0.2</v>
      </c>
      <c r="F108" s="9">
        <v>0.3</v>
      </c>
      <c r="G108" s="9">
        <v>0.35</v>
      </c>
      <c r="H108" s="9">
        <v>0.35</v>
      </c>
      <c r="I108" s="9">
        <v>0.35</v>
      </c>
      <c r="O108" s="7" t="s">
        <v>13</v>
      </c>
    </row>
    <row r="109" spans="1:18">
      <c r="B109" s="4" t="s">
        <v>14</v>
      </c>
      <c r="E109" s="3">
        <f>E107*E108</f>
        <v>22887.453459092376</v>
      </c>
      <c r="F109" s="3">
        <f>F107*F108</f>
        <v>75993.723546942027</v>
      </c>
      <c r="G109" s="3">
        <f>G107*G108</f>
        <v>131710.64074710186</v>
      </c>
      <c r="H109" s="3">
        <f>H107*H108</f>
        <v>184739.91924995888</v>
      </c>
      <c r="I109" s="3">
        <f>I107*I108</f>
        <v>210881.4185790527</v>
      </c>
      <c r="O109" s="3" t="s">
        <v>1206</v>
      </c>
    </row>
    <row r="110" spans="1:18">
      <c r="B110" s="7" t="s">
        <v>15</v>
      </c>
      <c r="C110" s="7"/>
      <c r="D110" s="8"/>
      <c r="E110" s="9">
        <v>0.8</v>
      </c>
      <c r="F110" s="9">
        <v>0.8</v>
      </c>
      <c r="G110" s="9">
        <v>0.8</v>
      </c>
      <c r="H110" s="9">
        <v>0.8</v>
      </c>
      <c r="I110" s="9">
        <v>0.8</v>
      </c>
      <c r="O110" s="7" t="s">
        <v>15</v>
      </c>
    </row>
    <row r="111" spans="1:18" s="17" customFormat="1" ht="15.6">
      <c r="A111" s="54"/>
      <c r="B111" s="37" t="s">
        <v>16</v>
      </c>
      <c r="C111" s="37"/>
      <c r="D111" s="37"/>
      <c r="E111" s="38">
        <f>E109*E110</f>
        <v>18309.962767273901</v>
      </c>
      <c r="F111" s="38">
        <f>F109*F110</f>
        <v>60794.978837553623</v>
      </c>
      <c r="G111" s="38">
        <f>G109*G110</f>
        <v>105368.51259768149</v>
      </c>
      <c r="H111" s="38">
        <f>H109*H110</f>
        <v>147791.9353999671</v>
      </c>
      <c r="I111" s="38">
        <f>I109*I110</f>
        <v>168705.13486324216</v>
      </c>
      <c r="O111" s="38" t="s">
        <v>1207</v>
      </c>
    </row>
    <row r="112" spans="1:18">
      <c r="B112" s="4" t="s">
        <v>17</v>
      </c>
      <c r="E112" s="3">
        <f>E113*E5</f>
        <v>1000000</v>
      </c>
      <c r="F112" s="3">
        <f>E112*110%</f>
        <v>1100000</v>
      </c>
      <c r="G112" s="3">
        <f>F112*110%</f>
        <v>1210000</v>
      </c>
      <c r="H112" s="3">
        <f>G112*110%</f>
        <v>1331000</v>
      </c>
      <c r="I112" s="3">
        <f>H112*110%</f>
        <v>1464100.0000000002</v>
      </c>
      <c r="O112" s="3" t="s">
        <v>1213</v>
      </c>
    </row>
    <row r="113" spans="1:15" s="6" customFormat="1">
      <c r="A113" s="51"/>
      <c r="B113" s="5" t="s">
        <v>28</v>
      </c>
      <c r="C113" s="5"/>
      <c r="D113" s="5"/>
      <c r="E113" s="5">
        <v>2000</v>
      </c>
      <c r="F113" s="694">
        <f>F112/F5</f>
        <v>2200</v>
      </c>
      <c r="G113" s="694">
        <f t="shared" ref="G113:I113" si="5">G112/G5</f>
        <v>2420</v>
      </c>
      <c r="H113" s="694">
        <f t="shared" si="5"/>
        <v>2662</v>
      </c>
      <c r="I113" s="694">
        <f t="shared" si="5"/>
        <v>2928.2000000000003</v>
      </c>
      <c r="O113" s="5" t="s">
        <v>1214</v>
      </c>
    </row>
    <row r="114" spans="1:15">
      <c r="B114" s="3" t="s">
        <v>29</v>
      </c>
      <c r="E114" s="3">
        <f>E111*E112</f>
        <v>18309962767.273899</v>
      </c>
      <c r="F114" s="3">
        <f>F111*F112</f>
        <v>66874476721.308983</v>
      </c>
      <c r="G114" s="3">
        <f>G111*G112</f>
        <v>127495900243.1946</v>
      </c>
      <c r="H114" s="3">
        <f>H111*H112</f>
        <v>196711066017.3562</v>
      </c>
      <c r="I114" s="3">
        <f>I111*I112</f>
        <v>247001187953.27289</v>
      </c>
      <c r="K114" s="3">
        <f>E114+F114+G114+H114+I114</f>
        <v>656392593702.40649</v>
      </c>
      <c r="L114" s="72">
        <f>E114/$E$5+F114/$F$5+G114/$G$5+H114/$H$5+I114/$I$5</f>
        <v>1312785187.4048133</v>
      </c>
      <c r="O114" s="3" t="s">
        <v>1215</v>
      </c>
    </row>
    <row r="115" spans="1:15" s="3" customFormat="1">
      <c r="A115" s="55"/>
      <c r="B115" s="3" t="s">
        <v>573</v>
      </c>
      <c r="E115" s="3">
        <f>'CashCredit_dossym (indiv)'!P15*1000000</f>
        <v>17441849679.775547</v>
      </c>
      <c r="F115" s="3">
        <f>'CashCredit_dossym (indiv)'!AC15*1000000</f>
        <v>53957983995.501183</v>
      </c>
      <c r="G115" s="3">
        <f>'CashCredit_dossym (indiv)'!AP15*1000000</f>
        <v>102870662801.34714</v>
      </c>
      <c r="H115" s="3">
        <f>'CashCredit_dossym (indiv)'!BC15*1000000</f>
        <v>158717242695.3793</v>
      </c>
      <c r="I115" s="3">
        <f>'CashCredit_dossym (indiv)'!BP15*1000000</f>
        <v>199294062546.3725</v>
      </c>
      <c r="K115" s="3">
        <f>I115</f>
        <v>199294062546.3725</v>
      </c>
      <c r="L115" s="70">
        <f>K115/I5</f>
        <v>398588125.09274501</v>
      </c>
      <c r="O115" s="3" t="s">
        <v>1216</v>
      </c>
    </row>
    <row r="116" spans="1:15">
      <c r="B116" s="3"/>
      <c r="E116" s="3"/>
      <c r="F116" s="3"/>
      <c r="G116" s="3"/>
      <c r="H116" s="3"/>
      <c r="I116" s="3"/>
      <c r="K116" s="74"/>
      <c r="L116" s="72"/>
      <c r="O116" s="3"/>
    </row>
    <row r="117" spans="1:15" s="35" customFormat="1" ht="18">
      <c r="A117" s="57"/>
      <c r="B117" s="36" t="s">
        <v>572</v>
      </c>
      <c r="E117" s="36">
        <f>E43</f>
        <v>55590.31951015404</v>
      </c>
      <c r="F117" s="36">
        <f>F43</f>
        <v>399794.50493692665</v>
      </c>
      <c r="G117" s="36">
        <f>G43</f>
        <v>851814.28035451949</v>
      </c>
      <c r="H117" s="36">
        <f>H43</f>
        <v>1224673.5323498745</v>
      </c>
      <c r="I117" s="36">
        <f>I43</f>
        <v>1507002.9331499357</v>
      </c>
      <c r="K117" s="329">
        <f>I117</f>
        <v>1507002.9331499357</v>
      </c>
      <c r="L117" s="328"/>
      <c r="O117" s="36" t="s">
        <v>1201</v>
      </c>
    </row>
    <row r="118" spans="1:15">
      <c r="B118" s="3" t="s">
        <v>167</v>
      </c>
      <c r="E118" s="3">
        <f>(E46+E69+E91)/1000000</f>
        <v>1152.4765311728629</v>
      </c>
      <c r="F118" s="3">
        <f>(F46+F69+F91)/1000000</f>
        <v>26652.328413599727</v>
      </c>
      <c r="G118" s="3">
        <f>(G46+G69+G91)/1000000</f>
        <v>76288.024761443929</v>
      </c>
      <c r="H118" s="3">
        <f>(H46+H69+H91)/1000000</f>
        <v>123229.62074511861</v>
      </c>
      <c r="I118" s="3">
        <f>(I46+I69+I91)/1000000</f>
        <v>164979.73287997692</v>
      </c>
      <c r="K118" s="74">
        <f>I118</f>
        <v>164979.73287997692</v>
      </c>
      <c r="L118" s="72">
        <f>K118/I5</f>
        <v>329.95946575995384</v>
      </c>
      <c r="M118" s="4" t="s">
        <v>160</v>
      </c>
      <c r="O118" s="3" t="s">
        <v>1202</v>
      </c>
    </row>
    <row r="119" spans="1:15" s="35" customFormat="1" ht="18">
      <c r="A119" s="57"/>
      <c r="B119" s="36" t="s">
        <v>571</v>
      </c>
      <c r="E119" s="36">
        <f>E111+E48</f>
        <v>62782.218375397133</v>
      </c>
      <c r="F119" s="36">
        <f>F111+F48</f>
        <v>380630.58278709499</v>
      </c>
      <c r="G119" s="36">
        <f>G111+G48</f>
        <v>786819.93688129715</v>
      </c>
      <c r="H119" s="36">
        <f>H111+H48</f>
        <v>1127530.7612798668</v>
      </c>
      <c r="I119" s="36">
        <f>I111+I48</f>
        <v>1374307.481383191</v>
      </c>
      <c r="J119" s="36"/>
      <c r="K119" s="329"/>
      <c r="L119" s="328"/>
      <c r="O119" s="36" t="s">
        <v>1203</v>
      </c>
    </row>
    <row r="120" spans="1:15">
      <c r="B120" s="3" t="s">
        <v>108</v>
      </c>
      <c r="E120" s="3">
        <f>(E53+E76+E98+E114)/1000000</f>
        <v>20841.35427199438</v>
      </c>
      <c r="F120" s="3">
        <f>(F53+F76+F98+F114)/1000000</f>
        <v>116064.17682747496</v>
      </c>
      <c r="G120" s="3">
        <f>(G53+G76+G98+G114)/1000000</f>
        <v>264884.73600777669</v>
      </c>
      <c r="H120" s="3">
        <f>(H53+H76+H98+H114)/1000000</f>
        <v>416216.19837140176</v>
      </c>
      <c r="I120" s="3">
        <f>(I53+I76+I98+I114)/1000000</f>
        <v>533288.296258057</v>
      </c>
      <c r="K120" s="74">
        <f>E120+F120+G120+H120+I120</f>
        <v>1351294.7617367047</v>
      </c>
      <c r="L120" s="72">
        <f>E120/$E$5+F120/$F$5+G120/$G$5+H120/$H$5+I120/$I$5</f>
        <v>2702.5895234734094</v>
      </c>
      <c r="M120" s="4" t="s">
        <v>160</v>
      </c>
      <c r="O120" s="3" t="s">
        <v>1205</v>
      </c>
    </row>
    <row r="121" spans="1:15">
      <c r="B121" s="3" t="s">
        <v>109</v>
      </c>
      <c r="E121" s="3">
        <f>(E50+E73+E95+E115)/1000000</f>
        <v>17706.577636372553</v>
      </c>
      <c r="F121" s="3">
        <f>(F50+F73+F95+F115)/1000000</f>
        <v>66473.475159912647</v>
      </c>
      <c r="G121" s="3">
        <f>(G50+G73+G95+G115)/1000000</f>
        <v>139969.6977692731</v>
      </c>
      <c r="H121" s="3">
        <f>(H50+H73+H95+H115)/1000000</f>
        <v>219636.81287933709</v>
      </c>
      <c r="I121" s="3">
        <f>(I50+I73+I95+I115)/1000000</f>
        <v>281945.38089939381</v>
      </c>
      <c r="K121" s="74">
        <f>I121</f>
        <v>281945.38089939381</v>
      </c>
      <c r="L121" s="72">
        <f>K121/I5</f>
        <v>563.89076179878759</v>
      </c>
      <c r="M121" s="4" t="s">
        <v>160</v>
      </c>
      <c r="O121" s="3" t="s">
        <v>1204</v>
      </c>
    </row>
    <row r="122" spans="1:15" s="35" customFormat="1" ht="18">
      <c r="A122" s="57"/>
      <c r="B122" s="36" t="s">
        <v>570</v>
      </c>
      <c r="E122" s="36"/>
      <c r="F122" s="36">
        <f>SUM(F123:F127)</f>
        <v>-2317.7994880294614</v>
      </c>
      <c r="G122" s="36">
        <f>SUM(G123:G127)</f>
        <v>4560.1170084928854</v>
      </c>
      <c r="H122" s="36">
        <f>SUM(H123:H127)</f>
        <v>15193.769657870169</v>
      </c>
      <c r="I122" s="36">
        <f>SUM(I123:I127)</f>
        <v>26260.597577055101</v>
      </c>
      <c r="J122" s="36"/>
      <c r="K122" s="329">
        <f>SUM(E122:I122)</f>
        <v>43696.684755388691</v>
      </c>
      <c r="L122" s="328">
        <f>E122/E5+F122/F5+G122/G5+H122/H5+I122/I5</f>
        <v>87.39336951077739</v>
      </c>
      <c r="O122" s="36" t="s">
        <v>1217</v>
      </c>
    </row>
    <row r="123" spans="1:15" outlineLevel="1">
      <c r="B123" s="330" t="s">
        <v>569</v>
      </c>
      <c r="E123" s="3"/>
      <c r="F123" s="3">
        <f>'packages (indiv)'!AC57+'packages (indiv)'!AC64</f>
        <v>1194.3768885064565</v>
      </c>
      <c r="G123" s="3">
        <f>'packages (indiv)'!AP57+'packages (indiv)'!AP64</f>
        <v>5903.8135613521563</v>
      </c>
      <c r="H123" s="3">
        <f>'packages (indiv)'!BC57+'packages (indiv)'!BC64</f>
        <v>11064.986901528855</v>
      </c>
      <c r="I123" s="3">
        <f>'packages (indiv)'!BP57+'packages (indiv)'!BP64</f>
        <v>15825.523264848896</v>
      </c>
      <c r="K123" s="74"/>
      <c r="L123" s="72"/>
      <c r="O123" s="330" t="s">
        <v>985</v>
      </c>
    </row>
    <row r="124" spans="1:15" outlineLevel="1">
      <c r="B124" s="100" t="s">
        <v>568</v>
      </c>
      <c r="E124" s="3"/>
      <c r="F124" s="3">
        <f>'packages (indiv)'!AC65+'packages (indiv)'!AC73</f>
        <v>373.84930509056085</v>
      </c>
      <c r="G124" s="3">
        <f>'packages (indiv)'!AP65+'packages (indiv)'!AP73</f>
        <v>3995.6713778133908</v>
      </c>
      <c r="H124" s="3">
        <f>'packages (indiv)'!BC65+'packages (indiv)'!BC73</f>
        <v>8427.2250923917545</v>
      </c>
      <c r="I124" s="3">
        <f>'packages (indiv)'!BP65+'packages (indiv)'!BP73</f>
        <v>12921.741430248203</v>
      </c>
      <c r="O124" s="100" t="s">
        <v>1218</v>
      </c>
    </row>
    <row r="125" spans="1:15" outlineLevel="1">
      <c r="B125" s="100" t="s">
        <v>567</v>
      </c>
      <c r="E125" s="3"/>
      <c r="F125" s="3">
        <f>'packages (indiv)'!AC74+'packages (indiv)'!AC81</f>
        <v>-228.13242744281177</v>
      </c>
      <c r="G125" s="3">
        <f>'packages (indiv)'!AP74+'packages (indiv)'!AP81</f>
        <v>-607.42237825111442</v>
      </c>
      <c r="H125" s="3">
        <f>'packages (indiv)'!BC74+'packages (indiv)'!BC81</f>
        <v>-232.42904410701885</v>
      </c>
      <c r="I125" s="3">
        <f>'packages (indiv)'!BP74+'packages (indiv)'!BP81</f>
        <v>945.63169621825728</v>
      </c>
      <c r="O125" s="100" t="s">
        <v>986</v>
      </c>
    </row>
    <row r="126" spans="1:15" outlineLevel="1">
      <c r="B126" s="100" t="s">
        <v>566</v>
      </c>
      <c r="E126" s="3">
        <f>'packages (indiv)'!P83</f>
        <v>-806.65485623712107</v>
      </c>
      <c r="F126" s="3">
        <f>'packages (indiv)'!AC83</f>
        <v>-4782.0926349250885</v>
      </c>
      <c r="G126" s="3">
        <f>'packages (indiv)'!AP83</f>
        <v>-7360.5619174194608</v>
      </c>
      <c r="H126" s="3">
        <f>'packages (indiv)'!BC83</f>
        <v>-8702.089408149197</v>
      </c>
      <c r="I126" s="3">
        <f>'packages (indiv)'!BP83</f>
        <v>-10000.233867197836</v>
      </c>
      <c r="O126" s="100" t="s">
        <v>1219</v>
      </c>
    </row>
    <row r="127" spans="1:15" outlineLevel="1">
      <c r="B127" s="100" t="s">
        <v>565</v>
      </c>
      <c r="E127" s="3">
        <f>'CashCredit_dossym (indiv)'!P60</f>
        <v>-54.9083026751928</v>
      </c>
      <c r="F127" s="3">
        <f>'CashCredit_dossym (indiv)'!AC60</f>
        <v>1124.1993807414215</v>
      </c>
      <c r="G127" s="3">
        <f>'CashCredit_dossym (indiv)'!AP60</f>
        <v>2628.616364997913</v>
      </c>
      <c r="H127" s="3">
        <f>'CashCredit_dossym (indiv)'!BC60</f>
        <v>4636.0761162057743</v>
      </c>
      <c r="I127" s="3">
        <f>'CashCredit_dossym (indiv)'!BP60</f>
        <v>6567.9350529375824</v>
      </c>
      <c r="O127" s="100" t="s">
        <v>1220</v>
      </c>
    </row>
    <row r="128" spans="1:15" s="35" customFormat="1" ht="18">
      <c r="A128" s="57"/>
      <c r="B128" s="36" t="s">
        <v>564</v>
      </c>
      <c r="E128" s="36">
        <f>E122/E5</f>
        <v>0</v>
      </c>
      <c r="F128" s="36">
        <f>F122/F5</f>
        <v>-4.6355989760589225</v>
      </c>
      <c r="G128" s="36">
        <f>G122/G5</f>
        <v>9.120234016985771</v>
      </c>
      <c r="H128" s="36">
        <f>H122/H5</f>
        <v>30.387539315740337</v>
      </c>
      <c r="I128" s="36">
        <f>I122/I5</f>
        <v>52.521195154110202</v>
      </c>
      <c r="J128" s="36"/>
      <c r="K128" s="329"/>
      <c r="L128" s="328"/>
      <c r="O128" s="36" t="s">
        <v>1221</v>
      </c>
    </row>
    <row r="129" spans="1:15" s="35" customFormat="1" ht="18">
      <c r="A129" s="57"/>
      <c r="B129" s="36" t="s">
        <v>563</v>
      </c>
      <c r="E129" s="36">
        <f>E128/E130*1000000</f>
        <v>0</v>
      </c>
      <c r="F129" s="36">
        <f>F128/F130*1000000</f>
        <v>-22.984903679847914</v>
      </c>
      <c r="G129" s="36">
        <f>G128/G130*1000000</f>
        <v>16.881126483417244</v>
      </c>
      <c r="H129" s="36">
        <f>H128/H130*1000000</f>
        <v>34.078710976438217</v>
      </c>
      <c r="I129" s="36">
        <f>I128/I130*1000000</f>
        <v>45.127319415927907</v>
      </c>
      <c r="J129" s="36"/>
      <c r="K129" s="329"/>
      <c r="L129" s="328"/>
      <c r="O129" s="36" t="s">
        <v>1222</v>
      </c>
    </row>
    <row r="130" spans="1:15" outlineLevel="1">
      <c r="B130" s="4" t="s">
        <v>562</v>
      </c>
      <c r="E130" s="3">
        <f>E131+E132</f>
        <v>17296.175540916185</v>
      </c>
      <c r="F130" s="3">
        <f>F131+F132</f>
        <v>201680.15670751748</v>
      </c>
      <c r="G130" s="3">
        <f>G131+G132</f>
        <v>540262.16946747038</v>
      </c>
      <c r="H130" s="3">
        <f>H131+H132</f>
        <v>891686.87562009227</v>
      </c>
      <c r="I130" s="3">
        <f>I131+I132</f>
        <v>1163844.7803654075</v>
      </c>
      <c r="O130" s="4" t="s">
        <v>1223</v>
      </c>
    </row>
    <row r="131" spans="1:15" outlineLevel="1">
      <c r="B131" s="100" t="s">
        <v>561</v>
      </c>
      <c r="E131" s="3">
        <f>AVERAGE('packages (indiv)'!C25:O25)</f>
        <v>11704.078845596991</v>
      </c>
      <c r="F131" s="3">
        <f>AVERAGE('packages (indiv)'!P25:AB25)</f>
        <v>173983.90937965395</v>
      </c>
      <c r="G131" s="3">
        <f>AVERAGE('packages (indiv)'!AC25:AO25)</f>
        <v>490811.73200767464</v>
      </c>
      <c r="H131" s="3">
        <f>AVERAGE('packages (indiv)'!AP25:BB25)</f>
        <v>821079.43443496339</v>
      </c>
      <c r="I131" s="3">
        <f>AVERAGE('packages (indiv)'!BC25:BO25)</f>
        <v>1081538.445432222</v>
      </c>
      <c r="O131" s="100" t="s">
        <v>1224</v>
      </c>
    </row>
    <row r="132" spans="1:15" outlineLevel="1">
      <c r="B132" s="100" t="s">
        <v>560</v>
      </c>
      <c r="E132" s="3">
        <f>AVERAGE('CashCredit_dossym (indiv)'!C18:O18)</f>
        <v>5592.0966953191964</v>
      </c>
      <c r="F132" s="3">
        <f>AVERAGE('CashCredit_dossym (indiv)'!P18:AB18)</f>
        <v>27696.247327863533</v>
      </c>
      <c r="G132" s="3">
        <f>AVERAGE('CashCredit_dossym (indiv)'!AC18:AO18)</f>
        <v>49450.437459795685</v>
      </c>
      <c r="H132" s="3">
        <f>AVERAGE('CashCredit_dossym (indiv)'!AP18:BB19)</f>
        <v>70607.441185128904</v>
      </c>
      <c r="I132" s="3">
        <f>AVERAGE('CashCredit_dossym (indiv)'!BC18:BO18)</f>
        <v>82306.334933185499</v>
      </c>
      <c r="O132" s="100" t="s">
        <v>1225</v>
      </c>
    </row>
    <row r="134" spans="1:15" hidden="1">
      <c r="I134" s="3">
        <f>'packages (indiv)'!BP25</f>
        <v>1205602.3465199487</v>
      </c>
      <c r="J134" s="4" t="s">
        <v>559</v>
      </c>
    </row>
    <row r="135" spans="1:15" hidden="1">
      <c r="I135" s="3">
        <f>'packages (indiv)'!BP25</f>
        <v>1205602.3465199487</v>
      </c>
      <c r="J135" s="4" t="s">
        <v>558</v>
      </c>
    </row>
    <row r="136" spans="1:15" hidden="1">
      <c r="I136" s="3">
        <f>'Installment card_150 (indiv)'!BP22</f>
        <v>456421.92293063254</v>
      </c>
      <c r="J136" s="4" t="s">
        <v>557</v>
      </c>
    </row>
    <row r="137" spans="1:15" hidden="1">
      <c r="I137" s="3">
        <f>'Installment card_1000 (indiv)'!BP22</f>
        <v>135815.89250506184</v>
      </c>
      <c r="J137" s="4" t="s">
        <v>556</v>
      </c>
    </row>
    <row r="138" spans="1:15" hidden="1">
      <c r="I138" s="3">
        <f>I111</f>
        <v>168705.13486324216</v>
      </c>
      <c r="J138" s="4" t="s">
        <v>555</v>
      </c>
    </row>
    <row r="139" spans="1:15" hidden="1">
      <c r="I139" s="63">
        <f>SUM(I134:I138)</f>
        <v>3172147.6433388339</v>
      </c>
      <c r="J139" s="4" t="s">
        <v>554</v>
      </c>
    </row>
    <row r="140" spans="1:15" hidden="1">
      <c r="I140" s="327">
        <f>I139/I119</f>
        <v>2.3081789820034899</v>
      </c>
      <c r="J140" s="4" t="s">
        <v>553</v>
      </c>
    </row>
    <row r="141" spans="1:15" hidden="1"/>
  </sheetData>
  <mergeCells count="1">
    <mergeCell ref="K5:L5"/>
  </mergeCells>
  <conditionalFormatting sqref="E99:I99">
    <cfRule type="cellIs" dxfId="2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0.79998168889431442"/>
  </sheetPr>
  <dimension ref="A1:W33"/>
  <sheetViews>
    <sheetView zoomScale="90" zoomScaleNormal="90" workbookViewId="0"/>
  </sheetViews>
  <sheetFormatPr defaultColWidth="8.88671875" defaultRowHeight="14.4" outlineLevelCol="1"/>
  <cols>
    <col min="1" max="1" width="76.44140625" style="162" bestFit="1" customWidth="1"/>
    <col min="2" max="2" width="6.33203125" style="162" bestFit="1" customWidth="1"/>
    <col min="3" max="3" width="5.33203125" style="162" customWidth="1"/>
    <col min="4" max="4" width="13.44140625" style="162" customWidth="1" outlineLevel="1"/>
    <col min="5" max="8" width="12.33203125" style="162" customWidth="1" outlineLevel="1"/>
    <col min="9" max="14" width="11.6640625" style="162" customWidth="1" outlineLevel="1"/>
    <col min="15" max="15" width="12.109375" style="162" customWidth="1" outlineLevel="1"/>
    <col min="16" max="16" width="12.6640625" style="162" customWidth="1" outlineLevel="1"/>
    <col min="17" max="17" width="5.109375" style="162" customWidth="1" outlineLevel="1"/>
    <col min="18" max="23" width="14.33203125" style="162" customWidth="1"/>
    <col min="24" max="16384" width="8.88671875" style="162"/>
  </cols>
  <sheetData>
    <row r="1" spans="1:23" s="105" customFormat="1" ht="19.8">
      <c r="A1" s="103" t="s">
        <v>1246</v>
      </c>
      <c r="B1" s="152"/>
      <c r="C1" s="103"/>
      <c r="D1" s="103"/>
      <c r="E1" s="103"/>
      <c r="F1" s="103"/>
      <c r="G1" s="104"/>
      <c r="H1" s="104"/>
      <c r="I1" s="104"/>
      <c r="J1" s="104"/>
      <c r="K1" s="104"/>
      <c r="L1" s="104"/>
      <c r="M1" s="104"/>
      <c r="N1" s="104"/>
      <c r="O1" s="104"/>
      <c r="P1" s="104"/>
      <c r="R1" s="104"/>
      <c r="S1" s="104"/>
      <c r="T1" s="104"/>
      <c r="U1" s="104"/>
      <c r="V1" s="104"/>
      <c r="W1" s="104"/>
    </row>
    <row r="2" spans="1:23" s="107" customFormat="1" ht="13.8">
      <c r="A2" s="106"/>
      <c r="B2" s="153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R2" s="109"/>
      <c r="S2" s="109"/>
      <c r="T2" s="109"/>
      <c r="U2" s="109"/>
      <c r="V2" s="109"/>
      <c r="W2" s="109"/>
    </row>
    <row r="3" spans="1:23" s="108" customFormat="1" ht="13.8">
      <c r="A3" s="110"/>
      <c r="B3" s="147"/>
      <c r="D3" s="159">
        <v>45657</v>
      </c>
      <c r="E3" s="159">
        <v>45747</v>
      </c>
      <c r="F3" s="159">
        <v>45838</v>
      </c>
      <c r="G3" s="159">
        <v>45930</v>
      </c>
      <c r="H3" s="159">
        <v>46022</v>
      </c>
      <c r="I3" s="111"/>
      <c r="J3" s="111"/>
      <c r="K3" s="111"/>
      <c r="L3" s="111"/>
      <c r="M3" s="111"/>
      <c r="N3" s="111"/>
      <c r="O3" s="111"/>
      <c r="P3" s="111"/>
      <c r="R3" s="111"/>
      <c r="S3" s="111"/>
      <c r="T3" s="111"/>
      <c r="U3" s="111"/>
      <c r="V3" s="111"/>
      <c r="W3" s="111"/>
    </row>
    <row r="4" spans="1:23" s="147" customFormat="1" ht="13.8">
      <c r="D4" s="148">
        <v>2024</v>
      </c>
      <c r="E4" s="148">
        <v>2025</v>
      </c>
      <c r="F4" s="148">
        <v>2025</v>
      </c>
      <c r="G4" s="148">
        <v>2025</v>
      </c>
      <c r="H4" s="148">
        <v>2025</v>
      </c>
      <c r="I4" s="148">
        <v>2026</v>
      </c>
      <c r="J4" s="148">
        <v>2026</v>
      </c>
      <c r="K4" s="148">
        <v>2027</v>
      </c>
      <c r="L4" s="148">
        <v>2027</v>
      </c>
      <c r="M4" s="148">
        <v>2028</v>
      </c>
      <c r="N4" s="148">
        <v>2028</v>
      </c>
      <c r="O4" s="148">
        <v>2029</v>
      </c>
      <c r="P4" s="148">
        <v>2029</v>
      </c>
      <c r="R4" s="148">
        <v>2024</v>
      </c>
      <c r="S4" s="148">
        <v>2025</v>
      </c>
      <c r="T4" s="148">
        <v>2026</v>
      </c>
      <c r="U4" s="148">
        <v>2027</v>
      </c>
      <c r="V4" s="148">
        <v>2028</v>
      </c>
      <c r="W4" s="148">
        <v>2029</v>
      </c>
    </row>
    <row r="5" spans="1:23" s="149" customFormat="1" ht="13.8">
      <c r="A5" s="150"/>
      <c r="B5" s="150"/>
      <c r="C5" s="150"/>
      <c r="D5" s="151" t="s">
        <v>294</v>
      </c>
      <c r="E5" s="151" t="s">
        <v>431</v>
      </c>
      <c r="F5" s="151" t="s">
        <v>432</v>
      </c>
      <c r="G5" s="151" t="s">
        <v>433</v>
      </c>
      <c r="H5" s="151" t="s">
        <v>434</v>
      </c>
      <c r="I5" s="151" t="s">
        <v>435</v>
      </c>
      <c r="J5" s="151" t="s">
        <v>436</v>
      </c>
      <c r="K5" s="151" t="s">
        <v>435</v>
      </c>
      <c r="L5" s="151" t="s">
        <v>436</v>
      </c>
      <c r="M5" s="151" t="s">
        <v>435</v>
      </c>
      <c r="N5" s="151" t="s">
        <v>436</v>
      </c>
      <c r="O5" s="151" t="s">
        <v>435</v>
      </c>
      <c r="P5" s="151" t="s">
        <v>436</v>
      </c>
      <c r="R5" s="151" t="s">
        <v>294</v>
      </c>
      <c r="S5" s="151" t="s">
        <v>308</v>
      </c>
      <c r="T5" s="151" t="s">
        <v>309</v>
      </c>
      <c r="U5" s="151" t="s">
        <v>311</v>
      </c>
      <c r="V5" s="151" t="s">
        <v>310</v>
      </c>
      <c r="W5" s="151" t="s">
        <v>312</v>
      </c>
    </row>
    <row r="6" spans="1:23" s="114" customFormat="1" ht="13.8">
      <c r="D6" s="158">
        <v>0</v>
      </c>
      <c r="E6" s="115">
        <v>1</v>
      </c>
      <c r="F6" s="115">
        <v>2</v>
      </c>
      <c r="G6" s="115">
        <v>3</v>
      </c>
      <c r="H6" s="115">
        <v>4</v>
      </c>
      <c r="I6" s="115">
        <v>5</v>
      </c>
      <c r="J6" s="115">
        <v>6</v>
      </c>
      <c r="K6" s="115">
        <v>7</v>
      </c>
      <c r="L6" s="115">
        <v>8</v>
      </c>
      <c r="M6" s="115">
        <v>9</v>
      </c>
      <c r="N6" s="115">
        <v>10</v>
      </c>
      <c r="O6" s="115">
        <v>11</v>
      </c>
      <c r="P6" s="115">
        <v>12</v>
      </c>
      <c r="R6" s="115"/>
      <c r="S6" s="115"/>
      <c r="T6" s="115"/>
      <c r="U6" s="115"/>
      <c r="V6" s="115"/>
      <c r="W6" s="115"/>
    </row>
    <row r="7" spans="1:23" s="119" customFormat="1" ht="12.6">
      <c r="A7" s="132" t="s">
        <v>1247</v>
      </c>
      <c r="B7" s="154" t="s">
        <v>228</v>
      </c>
      <c r="C7" s="117"/>
      <c r="D7" s="117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R7" s="118"/>
      <c r="S7" s="118"/>
      <c r="T7" s="118"/>
      <c r="U7" s="118"/>
      <c r="V7" s="118"/>
      <c r="W7" s="118"/>
    </row>
    <row r="8" spans="1:23" s="119" customFormat="1" ht="12.6">
      <c r="A8" s="122" t="s">
        <v>1244</v>
      </c>
      <c r="B8" s="138" t="s">
        <v>898</v>
      </c>
      <c r="C8" s="121"/>
      <c r="D8" s="134">
        <f>Funnel!D7</f>
        <v>5000000</v>
      </c>
      <c r="E8" s="134">
        <f>$D8+(E3-$D3)/($H3-$D3)*($H8-$D8)</f>
        <v>5295890.4109589038</v>
      </c>
      <c r="F8" s="134">
        <f>$D8+(F3-$D3)/($H3-$D3)*($H8-$D8)</f>
        <v>5595068.493150685</v>
      </c>
      <c r="G8" s="134">
        <f>$D8+(G3-$D3)/($H3-$D3)*($H8-$D8)</f>
        <v>5897534.2465753425</v>
      </c>
      <c r="H8" s="134">
        <f>Funnel!E7</f>
        <v>6200000</v>
      </c>
      <c r="I8" s="134">
        <f>AVERAGE(H8,J8)</f>
        <v>6497500</v>
      </c>
      <c r="J8" s="134">
        <f>Funnel!F7</f>
        <v>6795000</v>
      </c>
      <c r="K8" s="134">
        <f>AVERAGE(J8,L8)</f>
        <v>7147500</v>
      </c>
      <c r="L8" s="134">
        <f>Funnel!G7</f>
        <v>7500000</v>
      </c>
      <c r="M8" s="134">
        <f>AVERAGE(L8,N8)</f>
        <v>7932500</v>
      </c>
      <c r="N8" s="134">
        <f>Funnel!H7</f>
        <v>8365000</v>
      </c>
      <c r="O8" s="134">
        <f>AVERAGE(N8,P8)</f>
        <v>8937500</v>
      </c>
      <c r="P8" s="134">
        <f>Funnel!I7</f>
        <v>9510000</v>
      </c>
      <c r="Q8" s="123"/>
      <c r="R8" s="134">
        <f>D8</f>
        <v>5000000</v>
      </c>
      <c r="S8" s="134">
        <f>H8</f>
        <v>6200000</v>
      </c>
      <c r="T8" s="134">
        <f>J8</f>
        <v>6795000</v>
      </c>
      <c r="U8" s="134">
        <f>L8</f>
        <v>7500000</v>
      </c>
      <c r="V8" s="134">
        <f>N8</f>
        <v>8365000</v>
      </c>
      <c r="W8" s="134">
        <f>P8</f>
        <v>9510000</v>
      </c>
    </row>
    <row r="9" spans="1:23" s="143" customFormat="1" ht="13.8">
      <c r="A9" s="122" t="s">
        <v>1248</v>
      </c>
      <c r="B9" s="155" t="s">
        <v>231</v>
      </c>
      <c r="H9" s="125">
        <f>H8/D8-1</f>
        <v>0.24</v>
      </c>
      <c r="J9" s="125">
        <f>J8/H8-1</f>
        <v>9.5967741935483852E-2</v>
      </c>
      <c r="L9" s="125">
        <f>L8/J8-1</f>
        <v>0.10375275938189854</v>
      </c>
      <c r="N9" s="125">
        <f>N8/L8-1</f>
        <v>0.11533333333333329</v>
      </c>
      <c r="P9" s="125">
        <f>P8/N8-1</f>
        <v>0.13687985654512858</v>
      </c>
      <c r="R9" s="125"/>
      <c r="S9" s="125">
        <f>S8/R8</f>
        <v>1.24</v>
      </c>
      <c r="T9" s="125">
        <f t="shared" ref="T9:W9" si="0">T8/S8</f>
        <v>1.0959677419354839</v>
      </c>
      <c r="U9" s="125">
        <f t="shared" si="0"/>
        <v>1.1037527593818985</v>
      </c>
      <c r="V9" s="125">
        <f t="shared" si="0"/>
        <v>1.1153333333333333</v>
      </c>
      <c r="W9" s="125">
        <f t="shared" si="0"/>
        <v>1.1368798565451286</v>
      </c>
    </row>
    <row r="10" spans="1:23" s="143" customFormat="1" ht="13.8">
      <c r="A10" s="122" t="s">
        <v>1249</v>
      </c>
      <c r="B10" s="155" t="s">
        <v>231</v>
      </c>
      <c r="D10" s="125">
        <f>D12/D8</f>
        <v>0.6192896</v>
      </c>
      <c r="E10" s="125">
        <f>D10</f>
        <v>0.6192896</v>
      </c>
      <c r="F10" s="125">
        <f t="shared" ref="F10:H10" si="1">E10</f>
        <v>0.6192896</v>
      </c>
      <c r="G10" s="125">
        <f t="shared" si="1"/>
        <v>0.6192896</v>
      </c>
      <c r="H10" s="125">
        <f t="shared" si="1"/>
        <v>0.6192896</v>
      </c>
      <c r="I10" s="125">
        <f>H10</f>
        <v>0.6192896</v>
      </c>
      <c r="J10" s="125">
        <f>J12/J8</f>
        <v>0.62328960000000011</v>
      </c>
      <c r="K10" s="125">
        <f>J10</f>
        <v>0.62328960000000011</v>
      </c>
      <c r="L10" s="125">
        <f>L12/L8</f>
        <v>0.6252896</v>
      </c>
      <c r="M10" s="125">
        <f>L10</f>
        <v>0.6252896</v>
      </c>
      <c r="N10" s="125">
        <f>N12/N8</f>
        <v>0.6272896</v>
      </c>
      <c r="O10" s="125">
        <f>N10</f>
        <v>0.6272896</v>
      </c>
      <c r="P10" s="125">
        <f>P12/P8</f>
        <v>0.6292896</v>
      </c>
      <c r="R10" s="205">
        <f t="shared" ref="R10:R16" si="2">D10</f>
        <v>0.6192896</v>
      </c>
      <c r="S10" s="205">
        <f t="shared" ref="S10:S16" si="3">H10</f>
        <v>0.6192896</v>
      </c>
      <c r="T10" s="205">
        <f t="shared" ref="T10:T16" si="4">J10</f>
        <v>0.62328960000000011</v>
      </c>
      <c r="U10" s="205">
        <f t="shared" ref="U10:U16" si="5">L10</f>
        <v>0.6252896</v>
      </c>
      <c r="V10" s="205">
        <f t="shared" ref="V10:V16" si="6">N10</f>
        <v>0.6272896</v>
      </c>
      <c r="W10" s="205">
        <f t="shared" ref="W10:W16" si="7">P10</f>
        <v>0.6292896</v>
      </c>
    </row>
    <row r="11" spans="1:23" s="143" customFormat="1" ht="13.8">
      <c r="A11" s="122" t="s">
        <v>1250</v>
      </c>
      <c r="B11" s="138" t="s">
        <v>394</v>
      </c>
      <c r="D11" s="134">
        <f>Funnel!D8</f>
        <v>4100000</v>
      </c>
      <c r="E11" s="134">
        <f>E12+E16</f>
        <v>4320359.530958904</v>
      </c>
      <c r="F11" s="134">
        <f t="shared" ref="F11:O11" si="8">F12+F16</f>
        <v>4543167.5011506844</v>
      </c>
      <c r="G11" s="134">
        <f t="shared" si="8"/>
        <v>4768423.9105753424</v>
      </c>
      <c r="H11" s="134">
        <f>Funnel!E8</f>
        <v>5006080.32</v>
      </c>
      <c r="I11" s="134">
        <f t="shared" si="8"/>
        <v>5264475.3359999992</v>
      </c>
      <c r="J11" s="134">
        <f>Funnel!F8</f>
        <v>5562450.352</v>
      </c>
      <c r="K11" s="134">
        <f>K12+K16</f>
        <v>5881699.7500000009</v>
      </c>
      <c r="L11" s="134">
        <f>Funnel!G8</f>
        <v>6215949.148</v>
      </c>
      <c r="M11" s="134">
        <f t="shared" si="8"/>
        <v>6600857.6860999996</v>
      </c>
      <c r="N11" s="134">
        <f>Funnel!H8</f>
        <v>7002496.2241999991</v>
      </c>
      <c r="O11" s="134">
        <f t="shared" si="8"/>
        <v>7493260.9242149992</v>
      </c>
      <c r="P11" s="134">
        <f>Funnel!I8</f>
        <v>8003045.6242299993</v>
      </c>
      <c r="R11" s="134">
        <f t="shared" si="2"/>
        <v>4100000</v>
      </c>
      <c r="S11" s="134">
        <f t="shared" si="3"/>
        <v>5006080.32</v>
      </c>
      <c r="T11" s="134">
        <f t="shared" si="4"/>
        <v>5562450.352</v>
      </c>
      <c r="U11" s="134">
        <f t="shared" si="5"/>
        <v>6215949.148</v>
      </c>
      <c r="V11" s="134">
        <f t="shared" si="6"/>
        <v>7002496.2241999991</v>
      </c>
      <c r="W11" s="134">
        <f t="shared" si="7"/>
        <v>8003045.6242299993</v>
      </c>
    </row>
    <row r="12" spans="1:23" s="143" customFormat="1" ht="13.8">
      <c r="A12" s="135" t="s">
        <v>1251</v>
      </c>
      <c r="B12" s="138" t="s">
        <v>394</v>
      </c>
      <c r="D12" s="134">
        <f>Funnel!D9</f>
        <v>3096448</v>
      </c>
      <c r="E12" s="134">
        <f>E8*E10</f>
        <v>3279689.8542465754</v>
      </c>
      <c r="F12" s="134">
        <f t="shared" ref="F12:O12" si="9">F8*F10</f>
        <v>3464967.7290958902</v>
      </c>
      <c r="G12" s="134">
        <f t="shared" si="9"/>
        <v>3652281.6245479453</v>
      </c>
      <c r="H12" s="134">
        <f>Funnel!E9</f>
        <v>3851995.52</v>
      </c>
      <c r="I12" s="134">
        <f>I8*I10</f>
        <v>4023834.176</v>
      </c>
      <c r="J12" s="134">
        <f>Funnel!F9</f>
        <v>4235252.8320000004</v>
      </c>
      <c r="K12" s="134">
        <f>K8*K10</f>
        <v>4454962.4160000011</v>
      </c>
      <c r="L12" s="134">
        <f>Funnel!G9</f>
        <v>4689672</v>
      </c>
      <c r="M12" s="134">
        <f t="shared" si="9"/>
        <v>4960109.7520000003</v>
      </c>
      <c r="N12" s="134">
        <f>Funnel!H9</f>
        <v>5247277.5039999997</v>
      </c>
      <c r="O12" s="134">
        <f t="shared" si="9"/>
        <v>5606400.7999999998</v>
      </c>
      <c r="P12" s="134">
        <f>Funnel!I9</f>
        <v>5984544.0959999999</v>
      </c>
      <c r="R12" s="134">
        <f t="shared" si="2"/>
        <v>3096448</v>
      </c>
      <c r="S12" s="134">
        <f t="shared" si="3"/>
        <v>3851995.52</v>
      </c>
      <c r="T12" s="134">
        <f t="shared" si="4"/>
        <v>4235252.8320000004</v>
      </c>
      <c r="U12" s="134">
        <f t="shared" si="5"/>
        <v>4689672</v>
      </c>
      <c r="V12" s="134">
        <f t="shared" si="6"/>
        <v>5247277.5039999997</v>
      </c>
      <c r="W12" s="134">
        <f t="shared" si="7"/>
        <v>5984544.0959999999</v>
      </c>
    </row>
    <row r="13" spans="1:23" s="143" customFormat="1" ht="13.8">
      <c r="A13" s="140" t="s">
        <v>1252</v>
      </c>
      <c r="B13" s="155" t="s">
        <v>231</v>
      </c>
      <c r="D13" s="137">
        <v>0.03</v>
      </c>
      <c r="E13" s="137">
        <v>0.03</v>
      </c>
      <c r="F13" s="137">
        <v>0.03</v>
      </c>
      <c r="G13" s="137">
        <v>0.03</v>
      </c>
      <c r="H13" s="137">
        <v>0.03</v>
      </c>
      <c r="I13" s="137">
        <v>0.03</v>
      </c>
      <c r="J13" s="137">
        <v>0.03</v>
      </c>
      <c r="K13" s="137">
        <v>0.03</v>
      </c>
      <c r="L13" s="137">
        <v>0.03</v>
      </c>
      <c r="M13" s="137">
        <v>0.03</v>
      </c>
      <c r="N13" s="137">
        <v>0.03</v>
      </c>
      <c r="O13" s="137">
        <v>0.03</v>
      </c>
      <c r="P13" s="137">
        <v>0.03</v>
      </c>
      <c r="R13" s="205">
        <f t="shared" si="2"/>
        <v>0.03</v>
      </c>
      <c r="S13" s="205">
        <f t="shared" si="3"/>
        <v>0.03</v>
      </c>
      <c r="T13" s="205">
        <f t="shared" si="4"/>
        <v>0.03</v>
      </c>
      <c r="U13" s="205">
        <f t="shared" si="5"/>
        <v>0.03</v>
      </c>
      <c r="V13" s="205">
        <f t="shared" si="6"/>
        <v>0.03</v>
      </c>
      <c r="W13" s="205">
        <f t="shared" si="7"/>
        <v>0.03</v>
      </c>
    </row>
    <row r="14" spans="1:23" s="143" customFormat="1" ht="13.8">
      <c r="A14" s="140" t="s">
        <v>1253</v>
      </c>
      <c r="B14" s="138" t="s">
        <v>394</v>
      </c>
      <c r="D14" s="134">
        <f>D12*D13</f>
        <v>92893.440000000002</v>
      </c>
      <c r="E14" s="134">
        <f t="shared" ref="E14:P14" si="10">E12*E13</f>
        <v>98390.695627397261</v>
      </c>
      <c r="F14" s="134">
        <f t="shared" si="10"/>
        <v>103949.0318728767</v>
      </c>
      <c r="G14" s="134">
        <f t="shared" si="10"/>
        <v>109568.44873643835</v>
      </c>
      <c r="H14" s="134">
        <f t="shared" si="10"/>
        <v>115559.86559999999</v>
      </c>
      <c r="I14" s="134">
        <f t="shared" si="10"/>
        <v>120715.02528</v>
      </c>
      <c r="J14" s="134">
        <f t="shared" si="10"/>
        <v>127057.58496000001</v>
      </c>
      <c r="K14" s="134">
        <f t="shared" si="10"/>
        <v>133648.87248000002</v>
      </c>
      <c r="L14" s="134">
        <f t="shared" si="10"/>
        <v>140690.16</v>
      </c>
      <c r="M14" s="134">
        <f t="shared" si="10"/>
        <v>148803.29256</v>
      </c>
      <c r="N14" s="134">
        <f t="shared" si="10"/>
        <v>157418.32511999999</v>
      </c>
      <c r="O14" s="134">
        <f t="shared" si="10"/>
        <v>168192.02399999998</v>
      </c>
      <c r="P14" s="134">
        <f t="shared" si="10"/>
        <v>179536.32287999999</v>
      </c>
      <c r="R14" s="134">
        <f t="shared" si="2"/>
        <v>92893.440000000002</v>
      </c>
      <c r="S14" s="134">
        <f t="shared" si="3"/>
        <v>115559.86559999999</v>
      </c>
      <c r="T14" s="134">
        <f t="shared" si="4"/>
        <v>127057.58496000001</v>
      </c>
      <c r="U14" s="134">
        <f t="shared" si="5"/>
        <v>140690.16</v>
      </c>
      <c r="V14" s="134">
        <f t="shared" si="6"/>
        <v>157418.32511999999</v>
      </c>
      <c r="W14" s="134">
        <f t="shared" si="7"/>
        <v>179536.32287999999</v>
      </c>
    </row>
    <row r="15" spans="1:23" s="143" customFormat="1" ht="13.8">
      <c r="A15" s="140" t="s">
        <v>1254</v>
      </c>
      <c r="B15" s="138" t="s">
        <v>394</v>
      </c>
      <c r="D15" s="134">
        <f>D12-D14</f>
        <v>3003554.56</v>
      </c>
      <c r="E15" s="134">
        <f t="shared" ref="E15:P15" si="11">E12-E14</f>
        <v>3181299.158619178</v>
      </c>
      <c r="F15" s="134">
        <f t="shared" si="11"/>
        <v>3361018.6972230133</v>
      </c>
      <c r="G15" s="134">
        <f t="shared" si="11"/>
        <v>3542713.1758115068</v>
      </c>
      <c r="H15" s="134">
        <f t="shared" si="11"/>
        <v>3736435.6543999999</v>
      </c>
      <c r="I15" s="134">
        <f t="shared" si="11"/>
        <v>3903119.1507199998</v>
      </c>
      <c r="J15" s="134">
        <f t="shared" si="11"/>
        <v>4108195.2470400003</v>
      </c>
      <c r="K15" s="134">
        <f t="shared" si="11"/>
        <v>4321313.5435200008</v>
      </c>
      <c r="L15" s="134">
        <f t="shared" si="11"/>
        <v>4548981.84</v>
      </c>
      <c r="M15" s="134">
        <f t="shared" si="11"/>
        <v>4811306.4594400004</v>
      </c>
      <c r="N15" s="134">
        <f t="shared" si="11"/>
        <v>5089859.1788799996</v>
      </c>
      <c r="O15" s="134">
        <f t="shared" si="11"/>
        <v>5438208.7759999996</v>
      </c>
      <c r="P15" s="134">
        <f t="shared" si="11"/>
        <v>5805007.77312</v>
      </c>
      <c r="R15" s="134">
        <f t="shared" si="2"/>
        <v>3003554.56</v>
      </c>
      <c r="S15" s="134">
        <f t="shared" si="3"/>
        <v>3736435.6543999999</v>
      </c>
      <c r="T15" s="134">
        <f t="shared" si="4"/>
        <v>4108195.2470400003</v>
      </c>
      <c r="U15" s="134">
        <f t="shared" si="5"/>
        <v>4548981.84</v>
      </c>
      <c r="V15" s="134">
        <f t="shared" si="6"/>
        <v>5089859.1788799996</v>
      </c>
      <c r="W15" s="134">
        <f t="shared" si="7"/>
        <v>5805007.77312</v>
      </c>
    </row>
    <row r="16" spans="1:23" s="143" customFormat="1" ht="13.8">
      <c r="A16" s="135" t="s">
        <v>1255</v>
      </c>
      <c r="B16" s="138" t="s">
        <v>394</v>
      </c>
      <c r="D16" s="134">
        <f>Funnel!D13</f>
        <v>1003552</v>
      </c>
      <c r="E16" s="134">
        <f>$D16+(E3-$D3)/($H3-$D3)*($H16-$D16)</f>
        <v>1040669.6767123287</v>
      </c>
      <c r="F16" s="134">
        <f>$D16+(F3-$D3)/($H3-$D3)*($H16-$D16)</f>
        <v>1078199.7720547945</v>
      </c>
      <c r="G16" s="134">
        <f>$D16+(G3-$D3)/($H3-$D3)*($H16-$D16)</f>
        <v>1116142.286027397</v>
      </c>
      <c r="H16" s="134">
        <f>Funnel!E13</f>
        <v>1154084.7999999998</v>
      </c>
      <c r="I16" s="134">
        <f>AVERAGE(H16,J16)</f>
        <v>1240641.1599999997</v>
      </c>
      <c r="J16" s="134">
        <f>Funnel!F13</f>
        <v>1327197.5199999998</v>
      </c>
      <c r="K16" s="134">
        <f>AVERAGE(J16,L16)</f>
        <v>1426737.3339999998</v>
      </c>
      <c r="L16" s="134">
        <f>Funnel!G13</f>
        <v>1526277.1479999996</v>
      </c>
      <c r="M16" s="134">
        <f>AVERAGE(L16,N16)</f>
        <v>1640747.9340999995</v>
      </c>
      <c r="N16" s="134">
        <f>Funnel!H13</f>
        <v>1755218.7201999994</v>
      </c>
      <c r="O16" s="134">
        <f>AVERAGE(N16,P16)</f>
        <v>1886860.1242149994</v>
      </c>
      <c r="P16" s="134">
        <f>Funnel!I13</f>
        <v>2018501.5282299991</v>
      </c>
      <c r="R16" s="134">
        <f t="shared" si="2"/>
        <v>1003552</v>
      </c>
      <c r="S16" s="134">
        <f t="shared" si="3"/>
        <v>1154084.7999999998</v>
      </c>
      <c r="T16" s="134">
        <f t="shared" si="4"/>
        <v>1327197.5199999998</v>
      </c>
      <c r="U16" s="134">
        <f t="shared" si="5"/>
        <v>1526277.1479999996</v>
      </c>
      <c r="V16" s="134">
        <f t="shared" si="6"/>
        <v>1755218.7201999994</v>
      </c>
      <c r="W16" s="134">
        <f t="shared" si="7"/>
        <v>2018501.5282299991</v>
      </c>
    </row>
    <row r="17" spans="1:23" s="143" customFormat="1" ht="13.8">
      <c r="A17" s="140" t="s">
        <v>1256</v>
      </c>
      <c r="B17" s="155" t="s">
        <v>231</v>
      </c>
      <c r="H17" s="125">
        <f>H16/D16-1</f>
        <v>0.14999999999999991</v>
      </c>
      <c r="J17" s="125">
        <f>J16/H16-1</f>
        <v>0.14999999999999991</v>
      </c>
      <c r="L17" s="125">
        <f>L16/J16-1</f>
        <v>0.14999999999999991</v>
      </c>
      <c r="N17" s="125">
        <f>N16/L16-1</f>
        <v>0.14999999999999991</v>
      </c>
      <c r="P17" s="125">
        <f>P16/N16-1</f>
        <v>0.14999999999999991</v>
      </c>
      <c r="R17" s="125"/>
      <c r="S17" s="125">
        <f>S16/R16</f>
        <v>1.1499999999999999</v>
      </c>
      <c r="T17" s="125">
        <f t="shared" ref="T17:W17" si="12">T16/S16</f>
        <v>1.1499999999999999</v>
      </c>
      <c r="U17" s="125">
        <f t="shared" si="12"/>
        <v>1.1499999999999999</v>
      </c>
      <c r="V17" s="125">
        <f t="shared" si="12"/>
        <v>1.1499999999999999</v>
      </c>
      <c r="W17" s="125">
        <f t="shared" si="12"/>
        <v>1.1499999999999999</v>
      </c>
    </row>
    <row r="18" spans="1:23" s="143" customFormat="1" ht="13.8">
      <c r="A18" s="140" t="s">
        <v>1252</v>
      </c>
      <c r="B18" s="155" t="s">
        <v>231</v>
      </c>
      <c r="D18" s="137">
        <v>0.13</v>
      </c>
      <c r="E18" s="137">
        <v>0.12</v>
      </c>
      <c r="F18" s="137">
        <v>0.12</v>
      </c>
      <c r="G18" s="137">
        <v>0.12</v>
      </c>
      <c r="H18" s="137">
        <v>0.12</v>
      </c>
      <c r="I18" s="137">
        <v>0.1</v>
      </c>
      <c r="J18" s="137">
        <v>0.1</v>
      </c>
      <c r="K18" s="137">
        <v>0.09</v>
      </c>
      <c r="L18" s="137">
        <v>0.09</v>
      </c>
      <c r="M18" s="137">
        <v>0.08</v>
      </c>
      <c r="N18" s="137">
        <v>0.08</v>
      </c>
      <c r="O18" s="137">
        <v>7.0000000000000007E-2</v>
      </c>
      <c r="P18" s="137">
        <v>7.0000000000000007E-2</v>
      </c>
      <c r="R18" s="205">
        <f t="shared" ref="R18:R23" si="13">D18</f>
        <v>0.13</v>
      </c>
      <c r="S18" s="205">
        <f t="shared" ref="S18:S23" si="14">H18</f>
        <v>0.12</v>
      </c>
      <c r="T18" s="205">
        <f t="shared" ref="T18:T23" si="15">J18</f>
        <v>0.1</v>
      </c>
      <c r="U18" s="205">
        <f t="shared" ref="U18:U23" si="16">L18</f>
        <v>0.09</v>
      </c>
      <c r="V18" s="205">
        <f t="shared" ref="V18:V23" si="17">N18</f>
        <v>0.08</v>
      </c>
      <c r="W18" s="205">
        <f t="shared" ref="W18:W23" si="18">P18</f>
        <v>7.0000000000000007E-2</v>
      </c>
    </row>
    <row r="19" spans="1:23" s="143" customFormat="1" ht="13.8">
      <c r="A19" s="140" t="s">
        <v>1253</v>
      </c>
      <c r="B19" s="138" t="s">
        <v>394</v>
      </c>
      <c r="D19" s="134">
        <f t="shared" ref="D19:P19" si="19">D16*D18</f>
        <v>130461.76000000001</v>
      </c>
      <c r="E19" s="134">
        <f t="shared" si="19"/>
        <v>124880.36120547944</v>
      </c>
      <c r="F19" s="134">
        <f t="shared" si="19"/>
        <v>129383.97264657533</v>
      </c>
      <c r="G19" s="134">
        <f t="shared" si="19"/>
        <v>133937.07432328764</v>
      </c>
      <c r="H19" s="134">
        <f t="shared" si="19"/>
        <v>138490.17599999998</v>
      </c>
      <c r="I19" s="134">
        <f t="shared" si="19"/>
        <v>124064.11599999998</v>
      </c>
      <c r="J19" s="134">
        <f t="shared" si="19"/>
        <v>132719.75199999998</v>
      </c>
      <c r="K19" s="134">
        <f t="shared" si="19"/>
        <v>128406.36005999998</v>
      </c>
      <c r="L19" s="134">
        <f t="shared" si="19"/>
        <v>137364.94331999996</v>
      </c>
      <c r="M19" s="134">
        <f t="shared" si="19"/>
        <v>131259.83472799996</v>
      </c>
      <c r="N19" s="134">
        <f t="shared" si="19"/>
        <v>140417.49761599995</v>
      </c>
      <c r="O19" s="134">
        <f t="shared" si="19"/>
        <v>132080.20869504998</v>
      </c>
      <c r="P19" s="134">
        <f t="shared" si="19"/>
        <v>141295.10697609995</v>
      </c>
      <c r="R19" s="134">
        <f t="shared" si="13"/>
        <v>130461.76000000001</v>
      </c>
      <c r="S19" s="134">
        <f t="shared" si="14"/>
        <v>138490.17599999998</v>
      </c>
      <c r="T19" s="134">
        <f t="shared" si="15"/>
        <v>132719.75199999998</v>
      </c>
      <c r="U19" s="134">
        <f t="shared" si="16"/>
        <v>137364.94331999996</v>
      </c>
      <c r="V19" s="134">
        <f t="shared" si="17"/>
        <v>140417.49761599995</v>
      </c>
      <c r="W19" s="134">
        <f t="shared" si="18"/>
        <v>141295.10697609995</v>
      </c>
    </row>
    <row r="20" spans="1:23" s="143" customFormat="1" ht="13.8">
      <c r="A20" s="140" t="s">
        <v>1254</v>
      </c>
      <c r="B20" s="138" t="s">
        <v>394</v>
      </c>
      <c r="D20" s="134">
        <f t="shared" ref="D20:P20" si="20">D16-D19</f>
        <v>873090.24</v>
      </c>
      <c r="E20" s="134">
        <f t="shared" si="20"/>
        <v>915789.31550684921</v>
      </c>
      <c r="F20" s="134">
        <f t="shared" si="20"/>
        <v>948815.79940821917</v>
      </c>
      <c r="G20" s="134">
        <f t="shared" si="20"/>
        <v>982205.21170410933</v>
      </c>
      <c r="H20" s="134">
        <f t="shared" si="20"/>
        <v>1015594.6239999998</v>
      </c>
      <c r="I20" s="134">
        <f t="shared" si="20"/>
        <v>1116577.0439999998</v>
      </c>
      <c r="J20" s="134">
        <f t="shared" si="20"/>
        <v>1194477.7679999997</v>
      </c>
      <c r="K20" s="134">
        <f t="shared" si="20"/>
        <v>1298330.9739399999</v>
      </c>
      <c r="L20" s="134">
        <f t="shared" si="20"/>
        <v>1388912.2046799995</v>
      </c>
      <c r="M20" s="134">
        <f t="shared" si="20"/>
        <v>1509488.0993719995</v>
      </c>
      <c r="N20" s="134">
        <f t="shared" si="20"/>
        <v>1614801.2225839994</v>
      </c>
      <c r="O20" s="134">
        <f t="shared" si="20"/>
        <v>1754779.9155199495</v>
      </c>
      <c r="P20" s="134">
        <f t="shared" si="20"/>
        <v>1877206.4212538991</v>
      </c>
      <c r="R20" s="134">
        <f t="shared" si="13"/>
        <v>873090.24</v>
      </c>
      <c r="S20" s="134">
        <f t="shared" si="14"/>
        <v>1015594.6239999998</v>
      </c>
      <c r="T20" s="134">
        <f t="shared" si="15"/>
        <v>1194477.7679999997</v>
      </c>
      <c r="U20" s="134">
        <f t="shared" si="16"/>
        <v>1388912.2046799995</v>
      </c>
      <c r="V20" s="134">
        <f t="shared" si="17"/>
        <v>1614801.2225839994</v>
      </c>
      <c r="W20" s="134">
        <f t="shared" si="18"/>
        <v>1877206.4212538991</v>
      </c>
    </row>
    <row r="21" spans="1:23" s="252" customFormat="1" ht="13.8">
      <c r="A21" s="122" t="s">
        <v>1257</v>
      </c>
      <c r="B21" s="251" t="s">
        <v>231</v>
      </c>
      <c r="D21" s="137">
        <v>0.23329658536585365</v>
      </c>
      <c r="E21" s="137">
        <v>0.2</v>
      </c>
      <c r="F21" s="137">
        <v>0.2</v>
      </c>
      <c r="G21" s="137">
        <v>0.2</v>
      </c>
      <c r="H21" s="137">
        <v>0.2</v>
      </c>
      <c r="I21" s="137">
        <v>0.2</v>
      </c>
      <c r="J21" s="137">
        <v>0.2</v>
      </c>
      <c r="K21" s="137">
        <v>0.2</v>
      </c>
      <c r="L21" s="137">
        <v>0.2</v>
      </c>
      <c r="M21" s="137">
        <v>0.2</v>
      </c>
      <c r="N21" s="137">
        <v>0.2</v>
      </c>
      <c r="O21" s="137">
        <v>0.2</v>
      </c>
      <c r="P21" s="137">
        <v>0.2</v>
      </c>
      <c r="R21" s="205">
        <f t="shared" si="13"/>
        <v>0.23329658536585365</v>
      </c>
      <c r="S21" s="205">
        <f t="shared" si="14"/>
        <v>0.2</v>
      </c>
      <c r="T21" s="205">
        <f t="shared" si="15"/>
        <v>0.2</v>
      </c>
      <c r="U21" s="205">
        <f t="shared" si="16"/>
        <v>0.2</v>
      </c>
      <c r="V21" s="205">
        <f t="shared" si="17"/>
        <v>0.2</v>
      </c>
      <c r="W21" s="205">
        <f t="shared" si="18"/>
        <v>0.2</v>
      </c>
    </row>
    <row r="22" spans="1:23" s="143" customFormat="1" ht="13.8">
      <c r="A22" s="122" t="s">
        <v>1258</v>
      </c>
      <c r="B22" s="138" t="s">
        <v>394</v>
      </c>
      <c r="D22" s="134">
        <f>ROUND(D21*D11,0)</f>
        <v>956516</v>
      </c>
      <c r="E22" s="134">
        <f>ROUND(E21*E11,0)</f>
        <v>864072</v>
      </c>
      <c r="F22" s="134">
        <f t="shared" ref="F22:O22" si="21">ROUND(F21*F11,0)</f>
        <v>908634</v>
      </c>
      <c r="G22" s="134">
        <f t="shared" si="21"/>
        <v>953685</v>
      </c>
      <c r="H22" s="134">
        <f t="shared" si="21"/>
        <v>1001216</v>
      </c>
      <c r="I22" s="134">
        <f t="shared" si="21"/>
        <v>1052895</v>
      </c>
      <c r="J22" s="134">
        <f t="shared" si="21"/>
        <v>1112490</v>
      </c>
      <c r="K22" s="134">
        <f t="shared" si="21"/>
        <v>1176340</v>
      </c>
      <c r="L22" s="134">
        <f t="shared" si="21"/>
        <v>1243190</v>
      </c>
      <c r="M22" s="134">
        <f t="shared" si="21"/>
        <v>1320172</v>
      </c>
      <c r="N22" s="134">
        <f t="shared" si="21"/>
        <v>1400499</v>
      </c>
      <c r="O22" s="134">
        <f t="shared" si="21"/>
        <v>1498652</v>
      </c>
      <c r="P22" s="134">
        <f>ROUND(P21*P11,0)</f>
        <v>1600609</v>
      </c>
      <c r="R22" s="134">
        <f t="shared" si="13"/>
        <v>956516</v>
      </c>
      <c r="S22" s="134">
        <f t="shared" si="14"/>
        <v>1001216</v>
      </c>
      <c r="T22" s="134">
        <f t="shared" si="15"/>
        <v>1112490</v>
      </c>
      <c r="U22" s="134">
        <f t="shared" si="16"/>
        <v>1243190</v>
      </c>
      <c r="V22" s="134">
        <f t="shared" si="17"/>
        <v>1400499</v>
      </c>
      <c r="W22" s="134">
        <f t="shared" si="18"/>
        <v>1600609</v>
      </c>
    </row>
    <row r="23" spans="1:23" s="143" customFormat="1" ht="13.8">
      <c r="A23" s="122" t="s">
        <v>1259</v>
      </c>
      <c r="B23" s="155" t="s">
        <v>231</v>
      </c>
      <c r="D23" s="137">
        <v>0.8</v>
      </c>
      <c r="E23" s="137">
        <v>0.8</v>
      </c>
      <c r="F23" s="137">
        <v>0.8</v>
      </c>
      <c r="G23" s="137">
        <v>0.8</v>
      </c>
      <c r="H23" s="137">
        <v>0.8</v>
      </c>
      <c r="I23" s="137">
        <v>0.8</v>
      </c>
      <c r="J23" s="137">
        <v>0.8</v>
      </c>
      <c r="K23" s="137">
        <v>0.8</v>
      </c>
      <c r="L23" s="137">
        <v>0.8</v>
      </c>
      <c r="M23" s="137">
        <v>0.8</v>
      </c>
      <c r="N23" s="137">
        <v>0.8</v>
      </c>
      <c r="O23" s="137">
        <v>0.8</v>
      </c>
      <c r="P23" s="137">
        <v>0.8</v>
      </c>
      <c r="R23" s="205">
        <f t="shared" si="13"/>
        <v>0.8</v>
      </c>
      <c r="S23" s="205">
        <f t="shared" si="14"/>
        <v>0.8</v>
      </c>
      <c r="T23" s="205">
        <f t="shared" si="15"/>
        <v>0.8</v>
      </c>
      <c r="U23" s="205">
        <f t="shared" si="16"/>
        <v>0.8</v>
      </c>
      <c r="V23" s="205">
        <f t="shared" si="17"/>
        <v>0.8</v>
      </c>
      <c r="W23" s="205">
        <f t="shared" si="18"/>
        <v>0.8</v>
      </c>
    </row>
    <row r="24" spans="1:23" s="143" customFormat="1" ht="13.8">
      <c r="A24" s="122" t="s">
        <v>1297</v>
      </c>
      <c r="B24" s="138" t="s">
        <v>394</v>
      </c>
      <c r="D24" s="134">
        <f>'Funnel QH'!D11*'Funnel QH'!D23</f>
        <v>3280000</v>
      </c>
      <c r="E24" s="134">
        <f>'Funnel QH'!E11*'Funnel QH'!E23</f>
        <v>3456287.6247671233</v>
      </c>
      <c r="F24" s="134">
        <f>'Funnel QH'!F11*'Funnel QH'!F23</f>
        <v>3634534.0009205476</v>
      </c>
      <c r="G24" s="134">
        <f>'Funnel QH'!G11*'Funnel QH'!G23</f>
        <v>3814739.1284602741</v>
      </c>
      <c r="H24" s="134">
        <f>'Funnel QH'!H11*'Funnel QH'!H23</f>
        <v>4004864.2560000005</v>
      </c>
      <c r="I24" s="134">
        <f>'Funnel QH'!I11*'Funnel QH'!I23</f>
        <v>4211580.2687999997</v>
      </c>
      <c r="J24" s="134">
        <f>'Funnel QH'!J11*'Funnel QH'!J23</f>
        <v>4449960.2816000003</v>
      </c>
      <c r="K24" s="134">
        <f>'Funnel QH'!K11*'Funnel QH'!K23</f>
        <v>4705359.8000000007</v>
      </c>
      <c r="L24" s="134">
        <f>'Funnel QH'!L11*'Funnel QH'!L23</f>
        <v>4972759.3184000002</v>
      </c>
      <c r="M24" s="134">
        <f>'Funnel QH'!M11*'Funnel QH'!M23</f>
        <v>5280686.1488800002</v>
      </c>
      <c r="N24" s="134">
        <f>'Funnel QH'!N11*'Funnel QH'!N23</f>
        <v>5601996.9793599993</v>
      </c>
      <c r="O24" s="134">
        <f>'Funnel QH'!O11*'Funnel QH'!O23</f>
        <v>5994608.7393720001</v>
      </c>
      <c r="P24" s="134">
        <f>'Funnel QH'!P11*'Funnel QH'!P23</f>
        <v>6402436.499384</v>
      </c>
      <c r="R24" s="134">
        <f t="shared" ref="R24" si="22">D24</f>
        <v>3280000</v>
      </c>
      <c r="S24" s="134">
        <f t="shared" ref="S24" si="23">H24</f>
        <v>4004864.2560000005</v>
      </c>
      <c r="T24" s="134">
        <f t="shared" ref="T24" si="24">J24</f>
        <v>4449960.2816000003</v>
      </c>
      <c r="U24" s="134">
        <f t="shared" ref="U24" si="25">L24</f>
        <v>4972759.3184000002</v>
      </c>
      <c r="V24" s="134">
        <f t="shared" ref="V24" si="26">N24</f>
        <v>5601996.9793599993</v>
      </c>
      <c r="W24" s="134">
        <f t="shared" ref="W24" si="27">P24</f>
        <v>6402436.499384</v>
      </c>
    </row>
    <row r="25" spans="1:23" s="143" customFormat="1" ht="13.8">
      <c r="A25" s="122" t="s">
        <v>1298</v>
      </c>
      <c r="B25" s="138" t="s">
        <v>394</v>
      </c>
      <c r="D25" s="134"/>
      <c r="E25" s="134"/>
      <c r="F25" s="134"/>
      <c r="G25" s="134"/>
      <c r="H25" s="134"/>
      <c r="I25" s="134"/>
      <c r="J25" s="134">
        <f t="shared" ref="J25:O25" si="28">SUM(J26:J27)</f>
        <v>30000</v>
      </c>
      <c r="K25" s="134">
        <f t="shared" si="28"/>
        <v>49833.333333333336</v>
      </c>
      <c r="L25" s="134">
        <f t="shared" si="28"/>
        <v>69666.666666666672</v>
      </c>
      <c r="M25" s="134">
        <f t="shared" si="28"/>
        <v>89500</v>
      </c>
      <c r="N25" s="134">
        <f t="shared" si="28"/>
        <v>109333.33333333334</v>
      </c>
      <c r="O25" s="134">
        <f t="shared" si="28"/>
        <v>129166.66666666667</v>
      </c>
      <c r="P25" s="136">
        <v>149000</v>
      </c>
      <c r="R25" s="134">
        <f t="shared" ref="R25:R27" si="29">D25</f>
        <v>0</v>
      </c>
      <c r="S25" s="134">
        <f t="shared" ref="S25:S27" si="30">H25</f>
        <v>0</v>
      </c>
      <c r="T25" s="134">
        <f t="shared" ref="T25:T27" si="31">J25</f>
        <v>30000</v>
      </c>
      <c r="U25" s="134">
        <f t="shared" ref="U25:U27" si="32">L25</f>
        <v>69666.666666666672</v>
      </c>
      <c r="V25" s="134">
        <f t="shared" ref="V25:V27" si="33">N25</f>
        <v>109333.33333333334</v>
      </c>
      <c r="W25" s="134">
        <f t="shared" ref="W25:W27" si="34">P25</f>
        <v>149000</v>
      </c>
    </row>
    <row r="26" spans="1:23" s="143" customFormat="1" ht="13.8">
      <c r="A26" s="135" t="s">
        <v>1260</v>
      </c>
      <c r="B26" s="138" t="s">
        <v>394</v>
      </c>
      <c r="D26" s="134"/>
      <c r="F26" s="134"/>
      <c r="G26" s="134"/>
      <c r="H26" s="134"/>
      <c r="I26" s="134"/>
      <c r="J26" s="136">
        <v>21000</v>
      </c>
      <c r="K26" s="185">
        <f>J26+($P26-$J26)/6</f>
        <v>34883.333333333336</v>
      </c>
      <c r="L26" s="185">
        <f t="shared" ref="L26:O26" si="35">K26+($P26-$J26)/6</f>
        <v>48766.666666666672</v>
      </c>
      <c r="M26" s="185">
        <f t="shared" si="35"/>
        <v>62650.000000000007</v>
      </c>
      <c r="N26" s="185">
        <f t="shared" si="35"/>
        <v>76533.333333333343</v>
      </c>
      <c r="O26" s="185">
        <f t="shared" si="35"/>
        <v>90416.666666666672</v>
      </c>
      <c r="P26" s="185">
        <f>$P$25*J26/$J$25</f>
        <v>104300</v>
      </c>
      <c r="R26" s="134">
        <f t="shared" si="29"/>
        <v>0</v>
      </c>
      <c r="S26" s="134">
        <f t="shared" si="30"/>
        <v>0</v>
      </c>
      <c r="T26" s="134">
        <f t="shared" si="31"/>
        <v>21000</v>
      </c>
      <c r="U26" s="134">
        <f t="shared" si="32"/>
        <v>48766.666666666672</v>
      </c>
      <c r="V26" s="134">
        <f t="shared" si="33"/>
        <v>76533.333333333343</v>
      </c>
      <c r="W26" s="134">
        <f t="shared" si="34"/>
        <v>104300</v>
      </c>
    </row>
    <row r="27" spans="1:23">
      <c r="A27" s="135" t="s">
        <v>1261</v>
      </c>
      <c r="B27" s="138" t="s">
        <v>394</v>
      </c>
      <c r="J27" s="136">
        <v>9000</v>
      </c>
      <c r="K27" s="185">
        <f t="shared" ref="K27:O27" si="36">J27+($P27-$J27)/6</f>
        <v>14950</v>
      </c>
      <c r="L27" s="185">
        <f t="shared" si="36"/>
        <v>20900</v>
      </c>
      <c r="M27" s="185">
        <f t="shared" si="36"/>
        <v>26850</v>
      </c>
      <c r="N27" s="185">
        <f t="shared" si="36"/>
        <v>32800</v>
      </c>
      <c r="O27" s="185">
        <f t="shared" si="36"/>
        <v>38750</v>
      </c>
      <c r="P27" s="185">
        <f t="shared" ref="P27" si="37">$P$25*J27/$J$25</f>
        <v>44700</v>
      </c>
      <c r="R27" s="134">
        <f t="shared" si="29"/>
        <v>0</v>
      </c>
      <c r="S27" s="134">
        <f t="shared" si="30"/>
        <v>0</v>
      </c>
      <c r="T27" s="134">
        <f t="shared" si="31"/>
        <v>9000</v>
      </c>
      <c r="U27" s="134">
        <f t="shared" si="32"/>
        <v>20900</v>
      </c>
      <c r="V27" s="134">
        <f t="shared" si="33"/>
        <v>32800</v>
      </c>
      <c r="W27" s="134">
        <f t="shared" si="34"/>
        <v>44700</v>
      </c>
    </row>
    <row r="28" spans="1:23">
      <c r="A28" s="122"/>
    </row>
    <row r="29" spans="1:23" s="119" customFormat="1" ht="12.6" hidden="1">
      <c r="A29" s="132" t="s">
        <v>244</v>
      </c>
      <c r="B29" s="154" t="s">
        <v>228</v>
      </c>
      <c r="C29" s="117"/>
      <c r="D29" s="117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R29" s="118"/>
      <c r="S29" s="118"/>
      <c r="T29" s="118"/>
      <c r="U29" s="118"/>
      <c r="V29" s="118"/>
      <c r="W29" s="118"/>
    </row>
    <row r="30" spans="1:23" s="119" customFormat="1" ht="12.6" hidden="1">
      <c r="A30" s="122" t="s">
        <v>271</v>
      </c>
      <c r="B30" s="138" t="s">
        <v>130</v>
      </c>
      <c r="C30" s="121"/>
      <c r="D30" s="134">
        <f>Funnel!D5</f>
        <v>500</v>
      </c>
      <c r="E30" s="136">
        <v>500</v>
      </c>
      <c r="F30" s="136">
        <v>500</v>
      </c>
      <c r="G30" s="136">
        <v>500</v>
      </c>
      <c r="H30" s="134">
        <f>Funnel!E5</f>
        <v>500</v>
      </c>
      <c r="I30" s="136">
        <v>500</v>
      </c>
      <c r="J30" s="134">
        <f>Funnel!F5</f>
        <v>500</v>
      </c>
      <c r="K30" s="136">
        <v>500</v>
      </c>
      <c r="L30" s="134">
        <f>Funnel!G5</f>
        <v>500</v>
      </c>
      <c r="M30" s="136">
        <v>500</v>
      </c>
      <c r="N30" s="134">
        <f>Funnel!H5</f>
        <v>500</v>
      </c>
      <c r="O30" s="136">
        <v>500</v>
      </c>
      <c r="P30" s="134">
        <f>Funnel!I5</f>
        <v>500</v>
      </c>
      <c r="Q30" s="123"/>
      <c r="R30" s="134"/>
      <c r="S30" s="134"/>
      <c r="T30" s="134"/>
      <c r="U30" s="134"/>
      <c r="V30" s="134"/>
      <c r="W30" s="134"/>
    </row>
    <row r="31" spans="1:23" s="143" customFormat="1" ht="13.8" hidden="1">
      <c r="A31" s="122" t="s">
        <v>243</v>
      </c>
      <c r="B31" s="155" t="s">
        <v>231</v>
      </c>
    </row>
    <row r="32" spans="1:23" hidden="1"/>
    <row r="33" hidden="1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0.79998168889431442"/>
    <outlinePr summaryBelow="0"/>
  </sheetPr>
  <dimension ref="A1:CF137"/>
  <sheetViews>
    <sheetView showGridLines="0" zoomScale="120" zoomScaleNormal="120" workbookViewId="0">
      <pane xSplit="3" ySplit="2" topLeftCell="P3" activePane="bottomRight" state="frozen"/>
      <selection activeCell="B132" sqref="B132"/>
      <selection pane="topRight" activeCell="B132" sqref="B132"/>
      <selection pane="bottomLeft" activeCell="B132" sqref="B132"/>
      <selection pane="bottomRight"/>
    </sheetView>
  </sheetViews>
  <sheetFormatPr defaultColWidth="9.109375" defaultRowHeight="13.8" outlineLevelRow="1" outlineLevelCol="1"/>
  <cols>
    <col min="1" max="1" width="78.44140625" style="4" bestFit="1" customWidth="1"/>
    <col min="2" max="2" width="7.6640625" style="13" bestFit="1" customWidth="1"/>
    <col min="3" max="3" width="8.6640625" style="13" customWidth="1"/>
    <col min="4" max="4" width="9.33203125" style="4" hidden="1" customWidth="1" outlineLevel="1"/>
    <col min="5" max="15" width="9.109375" style="4" hidden="1" customWidth="1" outlineLevel="1"/>
    <col min="16" max="16" width="10.6640625" style="4" customWidth="1" collapsed="1"/>
    <col min="17" max="28" width="8.44140625" style="4" hidden="1" customWidth="1" outlineLevel="1"/>
    <col min="29" max="29" width="10.6640625" style="4" customWidth="1" collapsed="1"/>
    <col min="30" max="32" width="8.44140625" style="4" hidden="1" customWidth="1" outlineLevel="1"/>
    <col min="33" max="41" width="10.109375" style="4" hidden="1" customWidth="1" outlineLevel="1"/>
    <col min="42" max="42" width="10.6640625" style="4" customWidth="1" collapsed="1"/>
    <col min="43" max="54" width="10.109375" style="4" hidden="1" customWidth="1" outlineLevel="1"/>
    <col min="55" max="55" width="10.6640625" style="4" customWidth="1" collapsed="1"/>
    <col min="56" max="67" width="10.109375" style="4" hidden="1" customWidth="1" outlineLevel="1"/>
    <col min="68" max="68" width="10.6640625" style="4" customWidth="1" collapsed="1"/>
    <col min="69" max="74" width="0" style="4" hidden="1" customWidth="1"/>
    <col min="75" max="75" width="16.44140625" style="4" hidden="1" customWidth="1"/>
    <col min="76" max="81" width="0" style="4" hidden="1" customWidth="1"/>
    <col min="82" max="82" width="9.109375" style="4"/>
    <col min="83" max="83" width="78.44140625" style="4" bestFit="1" customWidth="1"/>
    <col min="84" max="16384" width="9.109375" style="4"/>
  </cols>
  <sheetData>
    <row r="1" spans="1:84" s="6" customFormat="1">
      <c r="B1" s="13"/>
      <c r="C1" s="13"/>
      <c r="D1" s="6">
        <v>31</v>
      </c>
      <c r="E1" s="6">
        <v>28</v>
      </c>
      <c r="F1" s="6">
        <v>31</v>
      </c>
      <c r="G1" s="6">
        <v>30</v>
      </c>
      <c r="H1" s="6">
        <v>31</v>
      </c>
      <c r="I1" s="6">
        <v>30</v>
      </c>
      <c r="J1" s="6">
        <v>31</v>
      </c>
      <c r="K1" s="6">
        <v>31</v>
      </c>
      <c r="L1" s="6">
        <v>30</v>
      </c>
      <c r="M1" s="6">
        <v>31</v>
      </c>
      <c r="N1" s="6">
        <v>30</v>
      </c>
      <c r="O1" s="6">
        <v>31</v>
      </c>
      <c r="P1" s="343">
        <f>SUM(D1:O1)</f>
        <v>365</v>
      </c>
      <c r="Q1" s="6">
        <v>31</v>
      </c>
      <c r="R1" s="6">
        <v>28</v>
      </c>
      <c r="S1" s="6">
        <v>31</v>
      </c>
      <c r="T1" s="6">
        <v>30</v>
      </c>
      <c r="U1" s="6">
        <v>31</v>
      </c>
      <c r="V1" s="6">
        <v>30</v>
      </c>
      <c r="W1" s="6">
        <v>31</v>
      </c>
      <c r="X1" s="6">
        <v>31</v>
      </c>
      <c r="Y1" s="6">
        <v>30</v>
      </c>
      <c r="Z1" s="6">
        <v>31</v>
      </c>
      <c r="AA1" s="6">
        <v>30</v>
      </c>
      <c r="AB1" s="6">
        <v>31</v>
      </c>
      <c r="AC1" s="343">
        <f>SUM(Q1:AB1)</f>
        <v>365</v>
      </c>
      <c r="AD1" s="6">
        <v>31</v>
      </c>
      <c r="AE1" s="6">
        <v>28</v>
      </c>
      <c r="AF1" s="6">
        <v>31</v>
      </c>
      <c r="AG1" s="6">
        <v>30</v>
      </c>
      <c r="AH1" s="6">
        <v>31</v>
      </c>
      <c r="AI1" s="6">
        <v>30</v>
      </c>
      <c r="AJ1" s="6">
        <v>31</v>
      </c>
      <c r="AK1" s="6">
        <v>31</v>
      </c>
      <c r="AL1" s="6">
        <v>30</v>
      </c>
      <c r="AM1" s="6">
        <v>31</v>
      </c>
      <c r="AN1" s="6">
        <v>30</v>
      </c>
      <c r="AO1" s="6">
        <v>31</v>
      </c>
      <c r="AP1" s="343">
        <f>SUM(AD1:AO1)</f>
        <v>365</v>
      </c>
      <c r="AQ1" s="6">
        <v>31</v>
      </c>
      <c r="AR1" s="6">
        <v>28</v>
      </c>
      <c r="AS1" s="6">
        <v>31</v>
      </c>
      <c r="AT1" s="6">
        <v>30</v>
      </c>
      <c r="AU1" s="6">
        <v>31</v>
      </c>
      <c r="AV1" s="6">
        <v>30</v>
      </c>
      <c r="AW1" s="6">
        <v>31</v>
      </c>
      <c r="AX1" s="6">
        <v>31</v>
      </c>
      <c r="AY1" s="6">
        <v>30</v>
      </c>
      <c r="AZ1" s="6">
        <v>31</v>
      </c>
      <c r="BA1" s="6">
        <v>30</v>
      </c>
      <c r="BB1" s="6">
        <v>31</v>
      </c>
      <c r="BC1" s="343">
        <f>SUM(AQ1:BB1)</f>
        <v>365</v>
      </c>
      <c r="BD1" s="6">
        <v>31</v>
      </c>
      <c r="BE1" s="6">
        <v>28</v>
      </c>
      <c r="BF1" s="6">
        <v>31</v>
      </c>
      <c r="BG1" s="6">
        <v>30</v>
      </c>
      <c r="BH1" s="6">
        <v>31</v>
      </c>
      <c r="BI1" s="6">
        <v>30</v>
      </c>
      <c r="BJ1" s="6">
        <v>31</v>
      </c>
      <c r="BK1" s="6">
        <v>31</v>
      </c>
      <c r="BL1" s="6">
        <v>30</v>
      </c>
      <c r="BM1" s="6">
        <v>31</v>
      </c>
      <c r="BN1" s="6">
        <v>30</v>
      </c>
      <c r="BO1" s="6">
        <v>31</v>
      </c>
      <c r="BP1" s="343">
        <f>SUM(BD1:BO1)</f>
        <v>365</v>
      </c>
    </row>
    <row r="2" spans="1:84" s="1" customFormat="1">
      <c r="A2" s="415"/>
      <c r="B2" s="416" t="s">
        <v>665</v>
      </c>
      <c r="C2" s="416"/>
      <c r="D2" s="415" t="s">
        <v>107</v>
      </c>
      <c r="E2" s="415" t="s">
        <v>135</v>
      </c>
      <c r="F2" s="415" t="s">
        <v>136</v>
      </c>
      <c r="G2" s="415" t="s">
        <v>137</v>
      </c>
      <c r="H2" s="415" t="s">
        <v>138</v>
      </c>
      <c r="I2" s="415" t="s">
        <v>139</v>
      </c>
      <c r="J2" s="415" t="s">
        <v>140</v>
      </c>
      <c r="K2" s="415" t="s">
        <v>141</v>
      </c>
      <c r="L2" s="415" t="s">
        <v>142</v>
      </c>
      <c r="M2" s="415" t="s">
        <v>143</v>
      </c>
      <c r="N2" s="415" t="s">
        <v>144</v>
      </c>
      <c r="O2" s="415" t="s">
        <v>145</v>
      </c>
      <c r="P2" s="414" t="s">
        <v>146</v>
      </c>
      <c r="Q2" s="415" t="s">
        <v>107</v>
      </c>
      <c r="R2" s="415" t="s">
        <v>135</v>
      </c>
      <c r="S2" s="415" t="s">
        <v>136</v>
      </c>
      <c r="T2" s="415" t="s">
        <v>137</v>
      </c>
      <c r="U2" s="415" t="s">
        <v>138</v>
      </c>
      <c r="V2" s="415" t="s">
        <v>139</v>
      </c>
      <c r="W2" s="415" t="s">
        <v>140</v>
      </c>
      <c r="X2" s="415" t="s">
        <v>141</v>
      </c>
      <c r="Y2" s="415" t="s">
        <v>142</v>
      </c>
      <c r="Z2" s="415" t="s">
        <v>143</v>
      </c>
      <c r="AA2" s="415" t="s">
        <v>144</v>
      </c>
      <c r="AB2" s="415" t="s">
        <v>145</v>
      </c>
      <c r="AC2" s="414" t="s">
        <v>151</v>
      </c>
      <c r="AD2" s="415" t="s">
        <v>107</v>
      </c>
      <c r="AE2" s="415" t="s">
        <v>135</v>
      </c>
      <c r="AF2" s="415" t="s">
        <v>136</v>
      </c>
      <c r="AG2" s="415" t="s">
        <v>137</v>
      </c>
      <c r="AH2" s="415" t="s">
        <v>138</v>
      </c>
      <c r="AI2" s="415" t="s">
        <v>139</v>
      </c>
      <c r="AJ2" s="415" t="s">
        <v>140</v>
      </c>
      <c r="AK2" s="415" t="s">
        <v>141</v>
      </c>
      <c r="AL2" s="415" t="s">
        <v>142</v>
      </c>
      <c r="AM2" s="415" t="s">
        <v>143</v>
      </c>
      <c r="AN2" s="415" t="s">
        <v>144</v>
      </c>
      <c r="AO2" s="415" t="s">
        <v>145</v>
      </c>
      <c r="AP2" s="414" t="s">
        <v>152</v>
      </c>
      <c r="AQ2" s="415" t="s">
        <v>107</v>
      </c>
      <c r="AR2" s="415" t="s">
        <v>135</v>
      </c>
      <c r="AS2" s="415" t="s">
        <v>136</v>
      </c>
      <c r="AT2" s="415" t="s">
        <v>137</v>
      </c>
      <c r="AU2" s="415" t="s">
        <v>138</v>
      </c>
      <c r="AV2" s="415" t="s">
        <v>139</v>
      </c>
      <c r="AW2" s="415" t="s">
        <v>140</v>
      </c>
      <c r="AX2" s="415" t="s">
        <v>141</v>
      </c>
      <c r="AY2" s="415" t="s">
        <v>142</v>
      </c>
      <c r="AZ2" s="415" t="s">
        <v>143</v>
      </c>
      <c r="BA2" s="415" t="s">
        <v>144</v>
      </c>
      <c r="BB2" s="415" t="s">
        <v>145</v>
      </c>
      <c r="BC2" s="414" t="s">
        <v>153</v>
      </c>
      <c r="BD2" s="415" t="s">
        <v>107</v>
      </c>
      <c r="BE2" s="415" t="s">
        <v>135</v>
      </c>
      <c r="BF2" s="415" t="s">
        <v>136</v>
      </c>
      <c r="BG2" s="415" t="s">
        <v>137</v>
      </c>
      <c r="BH2" s="415" t="s">
        <v>138</v>
      </c>
      <c r="BI2" s="415" t="s">
        <v>139</v>
      </c>
      <c r="BJ2" s="415" t="s">
        <v>140</v>
      </c>
      <c r="BK2" s="415" t="s">
        <v>141</v>
      </c>
      <c r="BL2" s="415" t="s">
        <v>142</v>
      </c>
      <c r="BM2" s="415" t="s">
        <v>143</v>
      </c>
      <c r="BN2" s="415" t="s">
        <v>144</v>
      </c>
      <c r="BO2" s="415" t="s">
        <v>145</v>
      </c>
      <c r="BP2" s="414" t="s">
        <v>154</v>
      </c>
      <c r="CE2" s="415"/>
    </row>
    <row r="3" spans="1:84" s="1" customFormat="1">
      <c r="B3" s="413"/>
      <c r="C3" s="413"/>
      <c r="P3" s="412"/>
      <c r="AC3" s="412"/>
      <c r="AP3" s="412"/>
      <c r="BC3" s="412"/>
      <c r="BP3" s="412"/>
    </row>
    <row r="4" spans="1:84" outlineLevel="1">
      <c r="A4" s="4" t="s">
        <v>664</v>
      </c>
      <c r="B4" s="13" t="s">
        <v>496</v>
      </c>
      <c r="D4" s="3"/>
      <c r="E4" s="3"/>
      <c r="F4" s="3"/>
      <c r="G4" s="3"/>
      <c r="H4" s="3"/>
      <c r="I4" s="3">
        <f>'Micro_30 (indiv)'!I4</f>
        <v>57352.993532799977</v>
      </c>
      <c r="J4" s="3">
        <f>'Micro_30 (indiv)'!J4</f>
        <v>59946.143138559972</v>
      </c>
      <c r="K4" s="3">
        <f>'Micro_30 (indiv)'!K4</f>
        <v>62539.292744319966</v>
      </c>
      <c r="L4" s="3">
        <f>'Micro_30 (indiv)'!L4</f>
        <v>65132.442350079968</v>
      </c>
      <c r="M4" s="3">
        <f>'Micro_30 (indiv)'!M4</f>
        <v>67725.591955839962</v>
      </c>
      <c r="N4" s="3">
        <f>'Micro_30 (indiv)'!N4</f>
        <v>70318.741561599963</v>
      </c>
      <c r="O4" s="3">
        <f>'Micro_30 (indiv)'!O4</f>
        <v>69968.315939200227</v>
      </c>
      <c r="P4" s="397">
        <f>'Micro_30 (indiv)'!P4</f>
        <v>700851.24479999999</v>
      </c>
      <c r="Q4" s="3">
        <f>'Micro_30 (indiv)'!Q4</f>
        <v>140915.40891733332</v>
      </c>
      <c r="R4" s="3">
        <f>'Micro_30 (indiv)'!R4</f>
        <v>149147.83543829332</v>
      </c>
      <c r="S4" s="3">
        <f>'Micro_30 (indiv)'!S4</f>
        <v>157380.26195925332</v>
      </c>
      <c r="T4" s="3">
        <f>'Micro_30 (indiv)'!T4</f>
        <v>165612.68848021328</v>
      </c>
      <c r="U4" s="3">
        <f>'Micro_30 (indiv)'!U4</f>
        <v>173845.11500117328</v>
      </c>
      <c r="V4" s="3">
        <f>'Micro_30 (indiv)'!V4</f>
        <v>182077.54152213328</v>
      </c>
      <c r="W4" s="3">
        <f>'Micro_30 (indiv)'!W4</f>
        <v>190309.96804309325</v>
      </c>
      <c r="X4" s="3">
        <f>'Micro_30 (indiv)'!X4</f>
        <v>198542.39456405325</v>
      </c>
      <c r="Y4" s="3">
        <f>'Micro_30 (indiv)'!Y4</f>
        <v>206774.82108501325</v>
      </c>
      <c r="Z4" s="3">
        <f>'Micro_30 (indiv)'!Z4</f>
        <v>215007.24760597324</v>
      </c>
      <c r="AA4" s="3">
        <f>'Micro_30 (indiv)'!AA4</f>
        <v>223239.67412693321</v>
      </c>
      <c r="AB4" s="3">
        <f>'Micro_30 (indiv)'!AB4</f>
        <v>222127.18405653408</v>
      </c>
      <c r="AC4" s="397">
        <f>'Micro_30 (indiv)'!AC4</f>
        <v>2224980.1408000002</v>
      </c>
      <c r="AD4" s="3">
        <f>'Micro_30 (indiv)'!AD4</f>
        <v>188964.85409919999</v>
      </c>
      <c r="AE4" s="3">
        <f>'Micro_30 (indiv)'!AE4</f>
        <v>200004.37978604797</v>
      </c>
      <c r="AF4" s="3">
        <f>'Micro_30 (indiv)'!AF4</f>
        <v>211043.90547289597</v>
      </c>
      <c r="AG4" s="3">
        <f>'Micro_30 (indiv)'!AG4</f>
        <v>222083.43115974395</v>
      </c>
      <c r="AH4" s="3">
        <f>'Micro_30 (indiv)'!AH4</f>
        <v>233122.95684659193</v>
      </c>
      <c r="AI4" s="3">
        <f>'Micro_30 (indiv)'!AI4</f>
        <v>244162.48253343994</v>
      </c>
      <c r="AJ4" s="3">
        <f>'Micro_30 (indiv)'!AJ4</f>
        <v>255202.00822028791</v>
      </c>
      <c r="AK4" s="3">
        <f>'Micro_30 (indiv)'!AK4</f>
        <v>266241.53390713589</v>
      </c>
      <c r="AL4" s="3">
        <f>'Micro_30 (indiv)'!AL4</f>
        <v>277281.05959398387</v>
      </c>
      <c r="AM4" s="3">
        <f>'Micro_30 (indiv)'!AM4</f>
        <v>288320.58528083185</v>
      </c>
      <c r="AN4" s="3">
        <f>'Micro_30 (indiv)'!AN4</f>
        <v>299360.11096767988</v>
      </c>
      <c r="AO4" s="3">
        <f>'Micro_30 (indiv)'!AO4</f>
        <v>297868.28317216103</v>
      </c>
      <c r="AP4" s="397">
        <f>'Micro_30 (indiv)'!AP4</f>
        <v>2983655.5910400003</v>
      </c>
      <c r="AQ4" s="3">
        <f>'Micro_30 (indiv)'!AQ4</f>
        <v>212875.88521567997</v>
      </c>
      <c r="AR4" s="3">
        <f>'Micro_30 (indiv)'!AR4</f>
        <v>225312.31850985915</v>
      </c>
      <c r="AS4" s="3">
        <f>'Micro_30 (indiv)'!AS4</f>
        <v>237748.75180403833</v>
      </c>
      <c r="AT4" s="3">
        <f>'Micro_30 (indiv)'!AT4</f>
        <v>250185.18509821751</v>
      </c>
      <c r="AU4" s="3">
        <f>'Micro_30 (indiv)'!AU4</f>
        <v>262621.61839239672</v>
      </c>
      <c r="AV4" s="3">
        <f>'Micro_30 (indiv)'!AV4</f>
        <v>275058.05168657587</v>
      </c>
      <c r="AW4" s="3">
        <f>'Micro_30 (indiv)'!AW4</f>
        <v>287494.48498075508</v>
      </c>
      <c r="AX4" s="3">
        <f>'Micro_30 (indiv)'!AX4</f>
        <v>299930.91827493423</v>
      </c>
      <c r="AY4" s="3">
        <f>'Micro_30 (indiv)'!AY4</f>
        <v>312367.35156911344</v>
      </c>
      <c r="AZ4" s="3">
        <f>'Micro_30 (indiv)'!AZ4</f>
        <v>324803.78486329259</v>
      </c>
      <c r="BA4" s="3">
        <f>'Micro_30 (indiv)'!BA4</f>
        <v>337240.2181574718</v>
      </c>
      <c r="BB4" s="3">
        <f>'Micro_30 (indiv)'!BB4</f>
        <v>335559.6190636651</v>
      </c>
      <c r="BC4" s="397">
        <f>'Micro_30 (indiv)'!BC4</f>
        <v>3361198.187616</v>
      </c>
      <c r="BD4" s="3">
        <f>'Micro_30 (indiv)'!BD4</f>
        <v>243292.58697659196</v>
      </c>
      <c r="BE4" s="3">
        <f>'Micro_30 (indiv)'!BE4</f>
        <v>257505.99600522441</v>
      </c>
      <c r="BF4" s="3">
        <f>'Micro_30 (indiv)'!BF4</f>
        <v>271719.40503385686</v>
      </c>
      <c r="BG4" s="3">
        <f>'Micro_30 (indiv)'!BG4</f>
        <v>285932.81406248931</v>
      </c>
      <c r="BH4" s="3">
        <f>'Micro_30 (indiv)'!BH4</f>
        <v>300146.22309112182</v>
      </c>
      <c r="BI4" s="3">
        <f>'Micro_30 (indiv)'!BI4</f>
        <v>314359.63211975427</v>
      </c>
      <c r="BJ4" s="3">
        <f>'Micro_30 (indiv)'!BJ4</f>
        <v>328573.04114838672</v>
      </c>
      <c r="BK4" s="3">
        <f>'Micro_30 (indiv)'!BK4</f>
        <v>342786.45017701917</v>
      </c>
      <c r="BL4" s="3">
        <f>'Micro_30 (indiv)'!BL4</f>
        <v>356999.85920565162</v>
      </c>
      <c r="BM4" s="3">
        <f>'Micro_30 (indiv)'!BM4</f>
        <v>371213.26823428413</v>
      </c>
      <c r="BN4" s="3">
        <f>'Micro_30 (indiv)'!BN4</f>
        <v>385426.67726291658</v>
      </c>
      <c r="BO4" s="3">
        <f>'Micro_30 (indiv)'!BO4</f>
        <v>383505.94631310285</v>
      </c>
      <c r="BP4" s="397">
        <f>'Micro_30 (indiv)'!BP4</f>
        <v>3841461.8996303999</v>
      </c>
      <c r="CE4" s="4" t="s">
        <v>948</v>
      </c>
      <c r="CF4" s="13" t="s">
        <v>394</v>
      </c>
    </row>
    <row r="5" spans="1:84" s="65" customFormat="1" outlineLevel="1">
      <c r="A5" s="76" t="s">
        <v>13</v>
      </c>
      <c r="B5" s="285" t="s">
        <v>231</v>
      </c>
      <c r="C5" s="285"/>
      <c r="D5" s="357">
        <v>0</v>
      </c>
      <c r="E5" s="357">
        <f>'Micro_30 (indiv)'!E6</f>
        <v>0</v>
      </c>
      <c r="F5" s="357">
        <f>'Micro_30 (indiv)'!F6</f>
        <v>0</v>
      </c>
      <c r="G5" s="357">
        <f>'Micro_30 (indiv)'!G6</f>
        <v>0</v>
      </c>
      <c r="H5" s="357">
        <f>'Micro_30 (indiv)'!H6</f>
        <v>0</v>
      </c>
      <c r="I5" s="357">
        <f>'Micro_30 (indiv)'!I6</f>
        <v>0</v>
      </c>
      <c r="J5" s="357">
        <f>'Micro_30 (indiv)'!J6</f>
        <v>0.5</v>
      </c>
      <c r="K5" s="357">
        <f>'Micro_30 (indiv)'!K6</f>
        <v>0.5</v>
      </c>
      <c r="L5" s="357">
        <f>'Micro_30 (indiv)'!L6</f>
        <v>0.5</v>
      </c>
      <c r="M5" s="357">
        <f>'Micro_30 (indiv)'!M6</f>
        <v>0.5</v>
      </c>
      <c r="N5" s="357">
        <f>'Micro_30 (indiv)'!N6</f>
        <v>0.5</v>
      </c>
      <c r="O5" s="357">
        <f>'Micro_30 (indiv)'!O6</f>
        <v>0.5</v>
      </c>
      <c r="P5" s="358">
        <f>'Micro_30 (indiv)'!P6</f>
        <v>0.5</v>
      </c>
      <c r="Q5" s="357">
        <f>'Micro_30 (indiv)'!Q6</f>
        <v>0.5</v>
      </c>
      <c r="R5" s="357">
        <f>'Micro_30 (indiv)'!R6</f>
        <v>0.5</v>
      </c>
      <c r="S5" s="357">
        <f>'Micro_30 (indiv)'!S6</f>
        <v>0.5</v>
      </c>
      <c r="T5" s="357">
        <f>'Micro_30 (indiv)'!T6</f>
        <v>0.5</v>
      </c>
      <c r="U5" s="357">
        <f>'Micro_30 (indiv)'!U6</f>
        <v>0.5</v>
      </c>
      <c r="V5" s="357">
        <f>'Micro_30 (indiv)'!V6</f>
        <v>0.5</v>
      </c>
      <c r="W5" s="357">
        <f>'Micro_30 (indiv)'!W6</f>
        <v>0.5</v>
      </c>
      <c r="X5" s="357">
        <f>'Micro_30 (indiv)'!X6</f>
        <v>0.5</v>
      </c>
      <c r="Y5" s="357">
        <f>'Micro_30 (indiv)'!Y6</f>
        <v>0.5</v>
      </c>
      <c r="Z5" s="357">
        <f>'Micro_30 (indiv)'!Z6</f>
        <v>0.5</v>
      </c>
      <c r="AA5" s="357">
        <f>'Micro_30 (indiv)'!AA6</f>
        <v>0.5</v>
      </c>
      <c r="AB5" s="357">
        <f>'Micro_30 (indiv)'!AB6</f>
        <v>0.5</v>
      </c>
      <c r="AC5" s="358">
        <f>'Micro_30 (indiv)'!AC6</f>
        <v>0.5</v>
      </c>
      <c r="AD5" s="357">
        <f>'Micro_30 (indiv)'!AD6</f>
        <v>0.5</v>
      </c>
      <c r="AE5" s="357">
        <f>'Micro_30 (indiv)'!AE6</f>
        <v>0.5</v>
      </c>
      <c r="AF5" s="357">
        <f>'Micro_30 (indiv)'!AF6</f>
        <v>0.5</v>
      </c>
      <c r="AG5" s="357">
        <f>'Micro_30 (indiv)'!AG6</f>
        <v>0.5</v>
      </c>
      <c r="AH5" s="357">
        <f>'Micro_30 (indiv)'!AH6</f>
        <v>0.5</v>
      </c>
      <c r="AI5" s="357">
        <f>'Micro_30 (indiv)'!AI6</f>
        <v>0.5</v>
      </c>
      <c r="AJ5" s="357">
        <f>'Micro_30 (indiv)'!AJ6</f>
        <v>0.5</v>
      </c>
      <c r="AK5" s="357">
        <f>'Micro_30 (indiv)'!AK6</f>
        <v>0.5</v>
      </c>
      <c r="AL5" s="357">
        <f>'Micro_30 (indiv)'!AL6</f>
        <v>0.5</v>
      </c>
      <c r="AM5" s="357">
        <f>'Micro_30 (indiv)'!AM6</f>
        <v>0.5</v>
      </c>
      <c r="AN5" s="357">
        <f>'Micro_30 (indiv)'!AN6</f>
        <v>0.5</v>
      </c>
      <c r="AO5" s="357">
        <f>'Micro_30 (indiv)'!AO6</f>
        <v>0.5</v>
      </c>
      <c r="AP5" s="358">
        <f>'Micro_30 (indiv)'!AP6</f>
        <v>0.5</v>
      </c>
      <c r="AQ5" s="357">
        <f>'Micro_30 (indiv)'!AQ6</f>
        <v>0.5</v>
      </c>
      <c r="AR5" s="357">
        <f>'Micro_30 (indiv)'!AR6</f>
        <v>0.5</v>
      </c>
      <c r="AS5" s="357">
        <f>'Micro_30 (indiv)'!AS6</f>
        <v>0.5</v>
      </c>
      <c r="AT5" s="357">
        <f>'Micro_30 (indiv)'!AT6</f>
        <v>0.5</v>
      </c>
      <c r="AU5" s="357">
        <f>'Micro_30 (indiv)'!AU6</f>
        <v>0.5</v>
      </c>
      <c r="AV5" s="357">
        <f>'Micro_30 (indiv)'!AV6</f>
        <v>0.5</v>
      </c>
      <c r="AW5" s="357">
        <f>'Micro_30 (indiv)'!AW6</f>
        <v>0.5</v>
      </c>
      <c r="AX5" s="357">
        <f>'Micro_30 (indiv)'!AX6</f>
        <v>0.5</v>
      </c>
      <c r="AY5" s="357">
        <f>'Micro_30 (indiv)'!AY6</f>
        <v>0.5</v>
      </c>
      <c r="AZ5" s="357">
        <f>'Micro_30 (indiv)'!AZ6</f>
        <v>0.5</v>
      </c>
      <c r="BA5" s="357">
        <f>'Micro_30 (indiv)'!BA6</f>
        <v>0.5</v>
      </c>
      <c r="BB5" s="357">
        <f>'Micro_30 (indiv)'!BB6</f>
        <v>0.5</v>
      </c>
      <c r="BC5" s="358">
        <f>'Micro_30 (indiv)'!BC6</f>
        <v>0.5</v>
      </c>
      <c r="BD5" s="357">
        <f>'Micro_30 (indiv)'!BD6</f>
        <v>0.5</v>
      </c>
      <c r="BE5" s="357">
        <f>'Micro_30 (indiv)'!BE6</f>
        <v>0.5</v>
      </c>
      <c r="BF5" s="357">
        <f>'Micro_30 (indiv)'!BF6</f>
        <v>0.5</v>
      </c>
      <c r="BG5" s="357">
        <f>'Micro_30 (indiv)'!BG6</f>
        <v>0.5</v>
      </c>
      <c r="BH5" s="357">
        <f>'Micro_30 (indiv)'!BH6</f>
        <v>0.5</v>
      </c>
      <c r="BI5" s="357">
        <f>'Micro_30 (indiv)'!BI6</f>
        <v>0.5</v>
      </c>
      <c r="BJ5" s="357">
        <f>'Micro_30 (indiv)'!BJ6</f>
        <v>0.5</v>
      </c>
      <c r="BK5" s="357">
        <f>'Micro_30 (indiv)'!BK6</f>
        <v>0.5</v>
      </c>
      <c r="BL5" s="357">
        <f>'Micro_30 (indiv)'!BL6</f>
        <v>0.5</v>
      </c>
      <c r="BM5" s="357">
        <f>'Micro_30 (indiv)'!BM6</f>
        <v>0.5</v>
      </c>
      <c r="BN5" s="357">
        <f>'Micro_30 (indiv)'!BN6</f>
        <v>0.5</v>
      </c>
      <c r="BO5" s="357">
        <f>'Micro_30 (indiv)'!BO6</f>
        <v>0.5</v>
      </c>
      <c r="BP5" s="358">
        <f>'Micro_30 (indiv)'!BP6</f>
        <v>0.5</v>
      </c>
      <c r="CE5" s="76" t="s">
        <v>13</v>
      </c>
      <c r="CF5" s="285" t="s">
        <v>231</v>
      </c>
    </row>
    <row r="6" spans="1:84" s="3" customFormat="1" outlineLevel="1">
      <c r="A6" s="3" t="s">
        <v>14</v>
      </c>
      <c r="B6" s="13" t="s">
        <v>496</v>
      </c>
      <c r="C6" s="12"/>
      <c r="D6" s="3">
        <f t="shared" ref="D6:AI6" si="0">D4*D5</f>
        <v>0</v>
      </c>
      <c r="E6" s="3">
        <f t="shared" si="0"/>
        <v>0</v>
      </c>
      <c r="F6" s="3">
        <f t="shared" si="0"/>
        <v>0</v>
      </c>
      <c r="G6" s="3">
        <f t="shared" si="0"/>
        <v>0</v>
      </c>
      <c r="H6" s="3">
        <f t="shared" si="0"/>
        <v>0</v>
      </c>
      <c r="I6" s="3">
        <f t="shared" si="0"/>
        <v>0</v>
      </c>
      <c r="J6" s="3">
        <f t="shared" si="0"/>
        <v>29973.071569279986</v>
      </c>
      <c r="K6" s="3">
        <f t="shared" si="0"/>
        <v>31269.646372159983</v>
      </c>
      <c r="L6" s="3">
        <f t="shared" si="0"/>
        <v>32566.221175039984</v>
      </c>
      <c r="M6" s="3">
        <f t="shared" si="0"/>
        <v>33862.795977919981</v>
      </c>
      <c r="N6" s="3">
        <f t="shared" si="0"/>
        <v>35159.370780799982</v>
      </c>
      <c r="O6" s="3">
        <f t="shared" si="0"/>
        <v>34984.157969600114</v>
      </c>
      <c r="P6" s="397">
        <f t="shared" si="0"/>
        <v>350425.62239999999</v>
      </c>
      <c r="Q6" s="3">
        <f t="shared" si="0"/>
        <v>70457.70445866666</v>
      </c>
      <c r="R6" s="3">
        <f t="shared" si="0"/>
        <v>74573.917719146659</v>
      </c>
      <c r="S6" s="3">
        <f t="shared" si="0"/>
        <v>78690.130979626658</v>
      </c>
      <c r="T6" s="3">
        <f t="shared" si="0"/>
        <v>82806.344240106642</v>
      </c>
      <c r="U6" s="3">
        <f t="shared" si="0"/>
        <v>86922.557500586641</v>
      </c>
      <c r="V6" s="3">
        <f t="shared" si="0"/>
        <v>91038.77076106664</v>
      </c>
      <c r="W6" s="3">
        <f t="shared" si="0"/>
        <v>95154.984021546625</v>
      </c>
      <c r="X6" s="3">
        <f t="shared" si="0"/>
        <v>99271.197282026624</v>
      </c>
      <c r="Y6" s="3">
        <f t="shared" si="0"/>
        <v>103387.41054250662</v>
      </c>
      <c r="Z6" s="3">
        <f t="shared" si="0"/>
        <v>107503.62380298662</v>
      </c>
      <c r="AA6" s="3">
        <f t="shared" si="0"/>
        <v>111619.83706346661</v>
      </c>
      <c r="AB6" s="3">
        <f t="shared" si="0"/>
        <v>111063.59202826704</v>
      </c>
      <c r="AC6" s="397">
        <f t="shared" si="0"/>
        <v>1112490.0704000001</v>
      </c>
      <c r="AD6" s="3">
        <f t="shared" si="0"/>
        <v>94482.427049599995</v>
      </c>
      <c r="AE6" s="3">
        <f t="shared" si="0"/>
        <v>100002.18989302398</v>
      </c>
      <c r="AF6" s="3">
        <f t="shared" si="0"/>
        <v>105521.95273644799</v>
      </c>
      <c r="AG6" s="3">
        <f t="shared" si="0"/>
        <v>111041.71557987198</v>
      </c>
      <c r="AH6" s="3">
        <f t="shared" si="0"/>
        <v>116561.47842329596</v>
      </c>
      <c r="AI6" s="3">
        <f t="shared" si="0"/>
        <v>122081.24126671997</v>
      </c>
      <c r="AJ6" s="3">
        <f t="shared" ref="AJ6:BO6" si="1">AJ4*AJ5</f>
        <v>127601.00411014396</v>
      </c>
      <c r="AK6" s="3">
        <f t="shared" si="1"/>
        <v>133120.76695356795</v>
      </c>
      <c r="AL6" s="3">
        <f t="shared" si="1"/>
        <v>138640.52979699193</v>
      </c>
      <c r="AM6" s="3">
        <f t="shared" si="1"/>
        <v>144160.29264041592</v>
      </c>
      <c r="AN6" s="3">
        <f t="shared" si="1"/>
        <v>149680.05548383994</v>
      </c>
      <c r="AO6" s="3">
        <f t="shared" si="1"/>
        <v>148934.14158608051</v>
      </c>
      <c r="AP6" s="397">
        <f t="shared" si="1"/>
        <v>1491827.7955200002</v>
      </c>
      <c r="AQ6" s="3">
        <f t="shared" si="1"/>
        <v>106437.94260783998</v>
      </c>
      <c r="AR6" s="3">
        <f t="shared" si="1"/>
        <v>112656.15925492957</v>
      </c>
      <c r="AS6" s="3">
        <f t="shared" si="1"/>
        <v>118874.37590201916</v>
      </c>
      <c r="AT6" s="3">
        <f t="shared" si="1"/>
        <v>125092.59254910875</v>
      </c>
      <c r="AU6" s="3">
        <f t="shared" si="1"/>
        <v>131310.80919619836</v>
      </c>
      <c r="AV6" s="3">
        <f t="shared" si="1"/>
        <v>137529.02584328793</v>
      </c>
      <c r="AW6" s="3">
        <f t="shared" si="1"/>
        <v>143747.24249037754</v>
      </c>
      <c r="AX6" s="3">
        <f t="shared" si="1"/>
        <v>149965.45913746711</v>
      </c>
      <c r="AY6" s="3">
        <f t="shared" si="1"/>
        <v>156183.67578455672</v>
      </c>
      <c r="AZ6" s="3">
        <f t="shared" si="1"/>
        <v>162401.89243164629</v>
      </c>
      <c r="BA6" s="3">
        <f t="shared" si="1"/>
        <v>168620.1090787359</v>
      </c>
      <c r="BB6" s="3">
        <f t="shared" si="1"/>
        <v>167779.80953183255</v>
      </c>
      <c r="BC6" s="397">
        <f t="shared" si="1"/>
        <v>1680599.093808</v>
      </c>
      <c r="BD6" s="3">
        <f t="shared" si="1"/>
        <v>121646.29348829598</v>
      </c>
      <c r="BE6" s="3">
        <f t="shared" si="1"/>
        <v>128752.99800261221</v>
      </c>
      <c r="BF6" s="3">
        <f t="shared" si="1"/>
        <v>135859.70251692843</v>
      </c>
      <c r="BG6" s="3">
        <f t="shared" si="1"/>
        <v>142966.40703124466</v>
      </c>
      <c r="BH6" s="3">
        <f t="shared" si="1"/>
        <v>150073.11154556091</v>
      </c>
      <c r="BI6" s="3">
        <f t="shared" si="1"/>
        <v>157179.81605987714</v>
      </c>
      <c r="BJ6" s="3">
        <f t="shared" si="1"/>
        <v>164286.52057419336</v>
      </c>
      <c r="BK6" s="3">
        <f t="shared" si="1"/>
        <v>171393.22508850959</v>
      </c>
      <c r="BL6" s="3">
        <f t="shared" si="1"/>
        <v>178499.92960282581</v>
      </c>
      <c r="BM6" s="3">
        <f t="shared" si="1"/>
        <v>185606.63411714206</v>
      </c>
      <c r="BN6" s="3">
        <f t="shared" si="1"/>
        <v>192713.33863145829</v>
      </c>
      <c r="BO6" s="3">
        <f t="shared" si="1"/>
        <v>191752.97315655142</v>
      </c>
      <c r="BP6" s="397">
        <f t="shared" ref="BP6" si="2">BP4*BP5</f>
        <v>1920730.9498151999</v>
      </c>
      <c r="CE6" s="3" t="s">
        <v>949</v>
      </c>
      <c r="CF6" s="13" t="s">
        <v>394</v>
      </c>
    </row>
    <row r="7" spans="1:84" s="65" customFormat="1" outlineLevel="1">
      <c r="A7" s="76" t="s">
        <v>110</v>
      </c>
      <c r="B7" s="285" t="s">
        <v>231</v>
      </c>
      <c r="C7" s="285"/>
      <c r="D7" s="357">
        <f>'Micro_30 (indiv)'!D8</f>
        <v>0.3</v>
      </c>
      <c r="E7" s="357">
        <f>'Micro_30 (indiv)'!E8</f>
        <v>0.3</v>
      </c>
      <c r="F7" s="357">
        <f>'Micro_30 (indiv)'!F8</f>
        <v>0.3</v>
      </c>
      <c r="G7" s="357">
        <f>'Micro_30 (indiv)'!G8</f>
        <v>0.3</v>
      </c>
      <c r="H7" s="357">
        <f>'Micro_30 (indiv)'!H8</f>
        <v>0.3</v>
      </c>
      <c r="I7" s="357">
        <f>'Micro_30 (indiv)'!I8</f>
        <v>0.3</v>
      </c>
      <c r="J7" s="357">
        <f>'Micro_30 (indiv)'!J8</f>
        <v>0.3</v>
      </c>
      <c r="K7" s="357">
        <f>'Micro_30 (indiv)'!K8</f>
        <v>0.3</v>
      </c>
      <c r="L7" s="357">
        <f>'Micro_30 (indiv)'!L8</f>
        <v>0.3</v>
      </c>
      <c r="M7" s="357">
        <f>'Micro_30 (indiv)'!M8</f>
        <v>0.3</v>
      </c>
      <c r="N7" s="357">
        <f>'Micro_30 (indiv)'!N8</f>
        <v>0.3</v>
      </c>
      <c r="O7" s="357">
        <f>'Micro_30 (indiv)'!O8</f>
        <v>0.3</v>
      </c>
      <c r="P7" s="358">
        <f>'Micro_30 (indiv)'!P8</f>
        <v>0.3</v>
      </c>
      <c r="Q7" s="357">
        <f>'Micro_30 (indiv)'!Q8</f>
        <v>0.35</v>
      </c>
      <c r="R7" s="357">
        <f>'Micro_30 (indiv)'!R8</f>
        <v>0.35</v>
      </c>
      <c r="S7" s="357">
        <f>'Micro_30 (indiv)'!S8</f>
        <v>0.35</v>
      </c>
      <c r="T7" s="357">
        <f>'Micro_30 (indiv)'!T8</f>
        <v>0.35</v>
      </c>
      <c r="U7" s="357">
        <f>'Micro_30 (indiv)'!U8</f>
        <v>0.35</v>
      </c>
      <c r="V7" s="357">
        <f>'Micro_30 (indiv)'!V8</f>
        <v>0.35</v>
      </c>
      <c r="W7" s="357">
        <f>'Micro_30 (indiv)'!W8</f>
        <v>0.35</v>
      </c>
      <c r="X7" s="357">
        <f>'Micro_30 (indiv)'!X8</f>
        <v>0.35</v>
      </c>
      <c r="Y7" s="357">
        <f>'Micro_30 (indiv)'!Y8</f>
        <v>0.35</v>
      </c>
      <c r="Z7" s="357">
        <f>'Micro_30 (indiv)'!Z8</f>
        <v>0.35</v>
      </c>
      <c r="AA7" s="357">
        <f>'Micro_30 (indiv)'!AA8</f>
        <v>0.35</v>
      </c>
      <c r="AB7" s="357">
        <f>'Micro_30 (indiv)'!AB8</f>
        <v>0.35</v>
      </c>
      <c r="AC7" s="358">
        <f>'Micro_30 (indiv)'!AC8</f>
        <v>0.35</v>
      </c>
      <c r="AD7" s="357">
        <f>'Micro_30 (indiv)'!AD8</f>
        <v>0.39999999999999997</v>
      </c>
      <c r="AE7" s="357">
        <f>'Micro_30 (indiv)'!AE8</f>
        <v>0.39999999999999997</v>
      </c>
      <c r="AF7" s="357">
        <f>'Micro_30 (indiv)'!AF8</f>
        <v>0.39999999999999997</v>
      </c>
      <c r="AG7" s="357">
        <f>'Micro_30 (indiv)'!AG8</f>
        <v>0.39999999999999997</v>
      </c>
      <c r="AH7" s="357">
        <f>'Micro_30 (indiv)'!AH8</f>
        <v>0.39999999999999997</v>
      </c>
      <c r="AI7" s="357">
        <f>'Micro_30 (indiv)'!AI8</f>
        <v>0.39999999999999997</v>
      </c>
      <c r="AJ7" s="357">
        <f>'Micro_30 (indiv)'!AJ8</f>
        <v>0.39999999999999997</v>
      </c>
      <c r="AK7" s="357">
        <f>'Micro_30 (indiv)'!AK8</f>
        <v>0.39999999999999997</v>
      </c>
      <c r="AL7" s="357">
        <f>'Micro_30 (indiv)'!AL8</f>
        <v>0.39999999999999997</v>
      </c>
      <c r="AM7" s="357">
        <f>'Micro_30 (indiv)'!AM8</f>
        <v>0.39999999999999997</v>
      </c>
      <c r="AN7" s="357">
        <f>'Micro_30 (indiv)'!AN8</f>
        <v>0.39999999999999997</v>
      </c>
      <c r="AO7" s="357">
        <f>'Micro_30 (indiv)'!AO8</f>
        <v>0.39999999999999997</v>
      </c>
      <c r="AP7" s="358">
        <f>'Micro_30 (indiv)'!AP8</f>
        <v>0.39999999999999997</v>
      </c>
      <c r="AQ7" s="357">
        <f>'Micro_30 (indiv)'!AQ8</f>
        <v>0.39999999999999997</v>
      </c>
      <c r="AR7" s="357">
        <f>'Micro_30 (indiv)'!AR8</f>
        <v>0.39999999999999997</v>
      </c>
      <c r="AS7" s="357">
        <f>'Micro_30 (indiv)'!AS8</f>
        <v>0.39999999999999997</v>
      </c>
      <c r="AT7" s="357">
        <f>'Micro_30 (indiv)'!AT8</f>
        <v>0.39999999999999997</v>
      </c>
      <c r="AU7" s="357">
        <f>'Micro_30 (indiv)'!AU8</f>
        <v>0.39999999999999997</v>
      </c>
      <c r="AV7" s="357">
        <f>'Micro_30 (indiv)'!AV8</f>
        <v>0.39999999999999997</v>
      </c>
      <c r="AW7" s="357">
        <f>'Micro_30 (indiv)'!AW8</f>
        <v>0.39999999999999997</v>
      </c>
      <c r="AX7" s="357">
        <f>'Micro_30 (indiv)'!AX8</f>
        <v>0.39999999999999997</v>
      </c>
      <c r="AY7" s="357">
        <f>'Micro_30 (indiv)'!AY8</f>
        <v>0.39999999999999997</v>
      </c>
      <c r="AZ7" s="357">
        <f>'Micro_30 (indiv)'!AZ8</f>
        <v>0.39999999999999997</v>
      </c>
      <c r="BA7" s="357">
        <f>'Micro_30 (indiv)'!BA8</f>
        <v>0.39999999999999997</v>
      </c>
      <c r="BB7" s="357">
        <f>'Micro_30 (indiv)'!BB8</f>
        <v>0.39999999999999997</v>
      </c>
      <c r="BC7" s="358">
        <f>'Micro_30 (indiv)'!BC8</f>
        <v>0.39999999999999997</v>
      </c>
      <c r="BD7" s="357">
        <f>'Micro_30 (indiv)'!BD8</f>
        <v>0.39999999999999997</v>
      </c>
      <c r="BE7" s="357">
        <f>'Micro_30 (indiv)'!BE8</f>
        <v>0.39999999999999997</v>
      </c>
      <c r="BF7" s="357">
        <f>'Micro_30 (indiv)'!BF8</f>
        <v>0.39999999999999997</v>
      </c>
      <c r="BG7" s="357">
        <f>'Micro_30 (indiv)'!BG8</f>
        <v>0.39999999999999997</v>
      </c>
      <c r="BH7" s="357">
        <f>'Micro_30 (indiv)'!BH8</f>
        <v>0.39999999999999997</v>
      </c>
      <c r="BI7" s="357">
        <f>'Micro_30 (indiv)'!BI8</f>
        <v>0.39999999999999997</v>
      </c>
      <c r="BJ7" s="357">
        <f>'Micro_30 (indiv)'!BJ8</f>
        <v>0.39999999999999997</v>
      </c>
      <c r="BK7" s="357">
        <f>'Micro_30 (indiv)'!BK8</f>
        <v>0.39999999999999997</v>
      </c>
      <c r="BL7" s="357">
        <f>'Micro_30 (indiv)'!BL8</f>
        <v>0.39999999999999997</v>
      </c>
      <c r="BM7" s="357">
        <f>'Micro_30 (indiv)'!BM8</f>
        <v>0.39999999999999997</v>
      </c>
      <c r="BN7" s="357">
        <f>'Micro_30 (indiv)'!BN8</f>
        <v>0.39999999999999997</v>
      </c>
      <c r="BO7" s="357">
        <f>'Micro_30 (indiv)'!BO8</f>
        <v>0.39999999999999997</v>
      </c>
      <c r="BP7" s="358">
        <f>'Micro_30 (indiv)'!BP8</f>
        <v>0.39999999999999997</v>
      </c>
      <c r="CE7" s="76" t="s">
        <v>952</v>
      </c>
      <c r="CF7" s="285" t="s">
        <v>231</v>
      </c>
    </row>
    <row r="8" spans="1:84" s="3" customFormat="1" outlineLevel="1">
      <c r="A8" s="3" t="s">
        <v>663</v>
      </c>
      <c r="B8" s="13" t="s">
        <v>496</v>
      </c>
      <c r="C8" s="12"/>
      <c r="D8" s="3">
        <f t="shared" ref="D8:AI8" si="3">D6*D7</f>
        <v>0</v>
      </c>
      <c r="E8" s="3">
        <f t="shared" si="3"/>
        <v>0</v>
      </c>
      <c r="F8" s="3">
        <f t="shared" si="3"/>
        <v>0</v>
      </c>
      <c r="G8" s="3">
        <f t="shared" si="3"/>
        <v>0</v>
      </c>
      <c r="H8" s="3">
        <f t="shared" si="3"/>
        <v>0</v>
      </c>
      <c r="I8" s="3">
        <f t="shared" si="3"/>
        <v>0</v>
      </c>
      <c r="J8" s="3">
        <f t="shared" si="3"/>
        <v>8991.9214707839947</v>
      </c>
      <c r="K8" s="3">
        <f t="shared" si="3"/>
        <v>9380.8939116479942</v>
      </c>
      <c r="L8" s="3">
        <f t="shared" si="3"/>
        <v>9769.8663525119955</v>
      </c>
      <c r="M8" s="3">
        <f t="shared" si="3"/>
        <v>10158.838793375993</v>
      </c>
      <c r="N8" s="3">
        <f t="shared" si="3"/>
        <v>10547.811234239995</v>
      </c>
      <c r="O8" s="3">
        <f t="shared" si="3"/>
        <v>10495.247390880033</v>
      </c>
      <c r="P8" s="397">
        <f t="shared" si="3"/>
        <v>105127.68672</v>
      </c>
      <c r="Q8" s="3">
        <f t="shared" si="3"/>
        <v>24660.196560533328</v>
      </c>
      <c r="R8" s="3">
        <f t="shared" si="3"/>
        <v>26100.871201701328</v>
      </c>
      <c r="S8" s="3">
        <f t="shared" si="3"/>
        <v>27541.545842869327</v>
      </c>
      <c r="T8" s="3">
        <f t="shared" si="3"/>
        <v>28982.220484037323</v>
      </c>
      <c r="U8" s="3">
        <f t="shared" si="3"/>
        <v>30422.895125205323</v>
      </c>
      <c r="V8" s="3">
        <f t="shared" si="3"/>
        <v>31863.569766373323</v>
      </c>
      <c r="W8" s="3">
        <f t="shared" si="3"/>
        <v>33304.244407541315</v>
      </c>
      <c r="X8" s="3">
        <f t="shared" si="3"/>
        <v>34744.919048709315</v>
      </c>
      <c r="Y8" s="3">
        <f t="shared" si="3"/>
        <v>36185.593689877314</v>
      </c>
      <c r="Z8" s="3">
        <f t="shared" si="3"/>
        <v>37626.268331045314</v>
      </c>
      <c r="AA8" s="3">
        <f t="shared" si="3"/>
        <v>39066.942972213306</v>
      </c>
      <c r="AB8" s="3">
        <f t="shared" si="3"/>
        <v>38872.257209893462</v>
      </c>
      <c r="AC8" s="397">
        <f t="shared" si="3"/>
        <v>389371.52464000002</v>
      </c>
      <c r="AD8" s="3">
        <f t="shared" si="3"/>
        <v>37792.970819839997</v>
      </c>
      <c r="AE8" s="3">
        <f t="shared" si="3"/>
        <v>40000.875957209588</v>
      </c>
      <c r="AF8" s="3">
        <f t="shared" si="3"/>
        <v>42208.781094579193</v>
      </c>
      <c r="AG8" s="3">
        <f t="shared" si="3"/>
        <v>44416.686231948785</v>
      </c>
      <c r="AH8" s="3">
        <f t="shared" si="3"/>
        <v>46624.591369318383</v>
      </c>
      <c r="AI8" s="3">
        <f t="shared" si="3"/>
        <v>48832.496506687981</v>
      </c>
      <c r="AJ8" s="3">
        <f t="shared" ref="AJ8:BO8" si="4">AJ6*AJ7</f>
        <v>51040.40164405758</v>
      </c>
      <c r="AK8" s="3">
        <f t="shared" si="4"/>
        <v>53248.306781427171</v>
      </c>
      <c r="AL8" s="3">
        <f t="shared" si="4"/>
        <v>55456.211918796769</v>
      </c>
      <c r="AM8" s="3">
        <f t="shared" si="4"/>
        <v>57664.117056166368</v>
      </c>
      <c r="AN8" s="3">
        <f t="shared" si="4"/>
        <v>59872.022193535973</v>
      </c>
      <c r="AO8" s="3">
        <f t="shared" si="4"/>
        <v>59573.656634432198</v>
      </c>
      <c r="AP8" s="397">
        <f t="shared" si="4"/>
        <v>596731.11820799997</v>
      </c>
      <c r="AQ8" s="3">
        <f t="shared" si="4"/>
        <v>42575.177043135991</v>
      </c>
      <c r="AR8" s="3">
        <f t="shared" si="4"/>
        <v>45062.463701971828</v>
      </c>
      <c r="AS8" s="3">
        <f t="shared" si="4"/>
        <v>47549.750360807659</v>
      </c>
      <c r="AT8" s="3">
        <f t="shared" si="4"/>
        <v>50037.037019643496</v>
      </c>
      <c r="AU8" s="3">
        <f t="shared" si="4"/>
        <v>52524.323678479341</v>
      </c>
      <c r="AV8" s="3">
        <f t="shared" si="4"/>
        <v>55011.610337315171</v>
      </c>
      <c r="AW8" s="3">
        <f t="shared" si="4"/>
        <v>57498.896996151008</v>
      </c>
      <c r="AX8" s="3">
        <f t="shared" si="4"/>
        <v>59986.183654986839</v>
      </c>
      <c r="AY8" s="3">
        <f t="shared" si="4"/>
        <v>62473.470313822683</v>
      </c>
      <c r="AZ8" s="3">
        <f t="shared" si="4"/>
        <v>64960.756972658513</v>
      </c>
      <c r="BA8" s="3">
        <f t="shared" si="4"/>
        <v>67448.043631494351</v>
      </c>
      <c r="BB8" s="3">
        <f t="shared" si="4"/>
        <v>67111.923812733017</v>
      </c>
      <c r="BC8" s="397">
        <f t="shared" si="4"/>
        <v>672239.6375231999</v>
      </c>
      <c r="BD8" s="3">
        <f t="shared" si="4"/>
        <v>48658.517395318391</v>
      </c>
      <c r="BE8" s="3">
        <f t="shared" si="4"/>
        <v>51501.199201044881</v>
      </c>
      <c r="BF8" s="3">
        <f t="shared" si="4"/>
        <v>54343.881006771371</v>
      </c>
      <c r="BG8" s="3">
        <f t="shared" si="4"/>
        <v>57186.562812497861</v>
      </c>
      <c r="BH8" s="3">
        <f t="shared" si="4"/>
        <v>60029.244618224358</v>
      </c>
      <c r="BI8" s="3">
        <f t="shared" si="4"/>
        <v>62871.926423950848</v>
      </c>
      <c r="BJ8" s="3">
        <f t="shared" si="4"/>
        <v>65714.608229677338</v>
      </c>
      <c r="BK8" s="3">
        <f t="shared" si="4"/>
        <v>68557.290035403828</v>
      </c>
      <c r="BL8" s="3">
        <f t="shared" si="4"/>
        <v>71399.971841130318</v>
      </c>
      <c r="BM8" s="3">
        <f t="shared" si="4"/>
        <v>74242.653646856823</v>
      </c>
      <c r="BN8" s="3">
        <f t="shared" si="4"/>
        <v>77085.335452583313</v>
      </c>
      <c r="BO8" s="3">
        <f t="shared" si="4"/>
        <v>76701.189262620566</v>
      </c>
      <c r="BP8" s="397">
        <f t="shared" ref="BP8" si="5">BP6*BP7</f>
        <v>768292.37992607988</v>
      </c>
      <c r="CE8" s="3" t="s">
        <v>950</v>
      </c>
      <c r="CF8" s="13" t="s">
        <v>394</v>
      </c>
    </row>
    <row r="9" spans="1:84" s="65" customFormat="1" outlineLevel="1">
      <c r="A9" s="76" t="s">
        <v>624</v>
      </c>
      <c r="B9" s="285" t="s">
        <v>231</v>
      </c>
      <c r="C9" s="285"/>
      <c r="D9" s="357">
        <f>'Micro_30 (indiv)'!D10</f>
        <v>0.7</v>
      </c>
      <c r="E9" s="357">
        <f>'Micro_30 (indiv)'!E10</f>
        <v>0.7</v>
      </c>
      <c r="F9" s="357">
        <f>'Micro_30 (indiv)'!F10</f>
        <v>0.7</v>
      </c>
      <c r="G9" s="357">
        <f>'Micro_30 (indiv)'!G10</f>
        <v>0.7</v>
      </c>
      <c r="H9" s="357">
        <f>'Micro_30 (indiv)'!H10</f>
        <v>0.7</v>
      </c>
      <c r="I9" s="357">
        <f>'Micro_30 (indiv)'!I10</f>
        <v>0.7</v>
      </c>
      <c r="J9" s="357">
        <f>'Micro_30 (indiv)'!J10</f>
        <v>0.7</v>
      </c>
      <c r="K9" s="357">
        <f>'Micro_30 (indiv)'!K10</f>
        <v>0.7</v>
      </c>
      <c r="L9" s="357">
        <f>'Micro_30 (indiv)'!L10</f>
        <v>0.7</v>
      </c>
      <c r="M9" s="357">
        <f>'Micro_30 (indiv)'!M10</f>
        <v>0.7</v>
      </c>
      <c r="N9" s="357">
        <f>'Micro_30 (indiv)'!N10</f>
        <v>0.7</v>
      </c>
      <c r="O9" s="357">
        <f>'Micro_30 (indiv)'!O10</f>
        <v>0.7</v>
      </c>
      <c r="P9" s="358">
        <f>'Micro_30 (indiv)'!P10</f>
        <v>0.7</v>
      </c>
      <c r="Q9" s="357">
        <f>'Micro_30 (indiv)'!Q10</f>
        <v>0.7</v>
      </c>
      <c r="R9" s="357">
        <f>'Micro_30 (indiv)'!R10</f>
        <v>0.7</v>
      </c>
      <c r="S9" s="357">
        <f>'Micro_30 (indiv)'!S10</f>
        <v>0.7</v>
      </c>
      <c r="T9" s="357">
        <f>'Micro_30 (indiv)'!T10</f>
        <v>0.7</v>
      </c>
      <c r="U9" s="357">
        <f>'Micro_30 (indiv)'!U10</f>
        <v>0.7</v>
      </c>
      <c r="V9" s="357">
        <f>'Micro_30 (indiv)'!V10</f>
        <v>0.7</v>
      </c>
      <c r="W9" s="357">
        <f>'Micro_30 (indiv)'!W10</f>
        <v>0.7</v>
      </c>
      <c r="X9" s="357">
        <f>'Micro_30 (indiv)'!X10</f>
        <v>0.7</v>
      </c>
      <c r="Y9" s="357">
        <f>'Micro_30 (indiv)'!Y10</f>
        <v>0.7</v>
      </c>
      <c r="Z9" s="357">
        <f>'Micro_30 (indiv)'!Z10</f>
        <v>0.7</v>
      </c>
      <c r="AA9" s="357">
        <f>'Micro_30 (indiv)'!AA10</f>
        <v>0.7</v>
      </c>
      <c r="AB9" s="357">
        <f>'Micro_30 (indiv)'!AB10</f>
        <v>0.7</v>
      </c>
      <c r="AC9" s="358">
        <f>'Micro_30 (indiv)'!AC10</f>
        <v>0.7</v>
      </c>
      <c r="AD9" s="357">
        <f>'Micro_30 (indiv)'!AD10</f>
        <v>0.7</v>
      </c>
      <c r="AE9" s="357">
        <f>'Micro_30 (indiv)'!AE10</f>
        <v>0.7</v>
      </c>
      <c r="AF9" s="357">
        <f>'Micro_30 (indiv)'!AF10</f>
        <v>0.7</v>
      </c>
      <c r="AG9" s="357">
        <f>'Micro_30 (indiv)'!AG10</f>
        <v>0.7</v>
      </c>
      <c r="AH9" s="357">
        <f>'Micro_30 (indiv)'!AH10</f>
        <v>0.7</v>
      </c>
      <c r="AI9" s="357">
        <f>'Micro_30 (indiv)'!AI10</f>
        <v>0.7</v>
      </c>
      <c r="AJ9" s="357">
        <f>'Micro_30 (indiv)'!AJ10</f>
        <v>0.7</v>
      </c>
      <c r="AK9" s="357">
        <f>'Micro_30 (indiv)'!AK10</f>
        <v>0.7</v>
      </c>
      <c r="AL9" s="357">
        <f>'Micro_30 (indiv)'!AL10</f>
        <v>0.7</v>
      </c>
      <c r="AM9" s="357">
        <f>'Micro_30 (indiv)'!AM10</f>
        <v>0.7</v>
      </c>
      <c r="AN9" s="357">
        <f>'Micro_30 (indiv)'!AN10</f>
        <v>0.7</v>
      </c>
      <c r="AO9" s="357">
        <f>'Micro_30 (indiv)'!AO10</f>
        <v>0.7</v>
      </c>
      <c r="AP9" s="358">
        <f>'Micro_30 (indiv)'!AP10</f>
        <v>0.7</v>
      </c>
      <c r="AQ9" s="357">
        <f>'Micro_30 (indiv)'!AQ10</f>
        <v>0.7</v>
      </c>
      <c r="AR9" s="357">
        <f>'Micro_30 (indiv)'!AR10</f>
        <v>0.7</v>
      </c>
      <c r="AS9" s="357">
        <f>'Micro_30 (indiv)'!AS10</f>
        <v>0.7</v>
      </c>
      <c r="AT9" s="357">
        <f>'Micro_30 (indiv)'!AT10</f>
        <v>0.7</v>
      </c>
      <c r="AU9" s="357">
        <f>'Micro_30 (indiv)'!AU10</f>
        <v>0.7</v>
      </c>
      <c r="AV9" s="357">
        <f>'Micro_30 (indiv)'!AV10</f>
        <v>0.7</v>
      </c>
      <c r="AW9" s="357">
        <f>'Micro_30 (indiv)'!AW10</f>
        <v>0.7</v>
      </c>
      <c r="AX9" s="357">
        <f>'Micro_30 (indiv)'!AX10</f>
        <v>0.7</v>
      </c>
      <c r="AY9" s="357">
        <f>'Micro_30 (indiv)'!AY10</f>
        <v>0.7</v>
      </c>
      <c r="AZ9" s="357">
        <f>'Micro_30 (indiv)'!AZ10</f>
        <v>0.7</v>
      </c>
      <c r="BA9" s="357">
        <f>'Micro_30 (indiv)'!BA10</f>
        <v>0.7</v>
      </c>
      <c r="BB9" s="357">
        <f>'Micro_30 (indiv)'!BB10</f>
        <v>0.7</v>
      </c>
      <c r="BC9" s="358">
        <f>'Micro_30 (indiv)'!BC10</f>
        <v>0.7</v>
      </c>
      <c r="BD9" s="357">
        <f>'Micro_30 (indiv)'!BD10</f>
        <v>0.7</v>
      </c>
      <c r="BE9" s="357">
        <f>'Micro_30 (indiv)'!BE10</f>
        <v>0.7</v>
      </c>
      <c r="BF9" s="357">
        <f>'Micro_30 (indiv)'!BF10</f>
        <v>0.7</v>
      </c>
      <c r="BG9" s="357">
        <f>'Micro_30 (indiv)'!BG10</f>
        <v>0.7</v>
      </c>
      <c r="BH9" s="357">
        <f>'Micro_30 (indiv)'!BH10</f>
        <v>0.7</v>
      </c>
      <c r="BI9" s="357">
        <f>'Micro_30 (indiv)'!BI10</f>
        <v>0.7</v>
      </c>
      <c r="BJ9" s="357">
        <f>'Micro_30 (indiv)'!BJ10</f>
        <v>0.7</v>
      </c>
      <c r="BK9" s="357">
        <f>'Micro_30 (indiv)'!BK10</f>
        <v>0.7</v>
      </c>
      <c r="BL9" s="357">
        <f>'Micro_30 (indiv)'!BL10</f>
        <v>0.7</v>
      </c>
      <c r="BM9" s="357">
        <f>'Micro_30 (indiv)'!BM10</f>
        <v>0.7</v>
      </c>
      <c r="BN9" s="357">
        <f>'Micro_30 (indiv)'!BN10</f>
        <v>0.7</v>
      </c>
      <c r="BO9" s="357">
        <f>'Micro_30 (indiv)'!BO10</f>
        <v>0.7</v>
      </c>
      <c r="BP9" s="358">
        <f>'Micro_30 (indiv)'!BP10</f>
        <v>0.7</v>
      </c>
      <c r="CE9" s="76" t="s">
        <v>951</v>
      </c>
      <c r="CF9" s="285" t="s">
        <v>231</v>
      </c>
    </row>
    <row r="10" spans="1:84" s="3" customFormat="1" outlineLevel="1">
      <c r="A10" s="3" t="s">
        <v>662</v>
      </c>
      <c r="B10" s="13" t="s">
        <v>496</v>
      </c>
      <c r="C10" s="12"/>
      <c r="D10" s="3">
        <f t="shared" ref="D10:AI10" si="6">D8*D9</f>
        <v>0</v>
      </c>
      <c r="E10" s="3">
        <f t="shared" si="6"/>
        <v>0</v>
      </c>
      <c r="F10" s="3">
        <f t="shared" si="6"/>
        <v>0</v>
      </c>
      <c r="G10" s="3">
        <f t="shared" si="6"/>
        <v>0</v>
      </c>
      <c r="H10" s="3">
        <f t="shared" si="6"/>
        <v>0</v>
      </c>
      <c r="I10" s="3">
        <f t="shared" si="6"/>
        <v>0</v>
      </c>
      <c r="J10" s="3">
        <f t="shared" si="6"/>
        <v>6294.3450295487955</v>
      </c>
      <c r="K10" s="3">
        <f t="shared" si="6"/>
        <v>6566.6257381535952</v>
      </c>
      <c r="L10" s="3">
        <f t="shared" si="6"/>
        <v>6838.9064467583967</v>
      </c>
      <c r="M10" s="3">
        <f t="shared" si="6"/>
        <v>7111.1871553631945</v>
      </c>
      <c r="N10" s="3">
        <f t="shared" si="6"/>
        <v>7383.467863967996</v>
      </c>
      <c r="O10" s="3">
        <f t="shared" si="6"/>
        <v>7346.6731736160227</v>
      </c>
      <c r="P10" s="397">
        <f t="shared" si="6"/>
        <v>73589.380703999996</v>
      </c>
      <c r="Q10" s="3">
        <f t="shared" si="6"/>
        <v>17262.137592373329</v>
      </c>
      <c r="R10" s="3">
        <f t="shared" si="6"/>
        <v>18270.60984119093</v>
      </c>
      <c r="S10" s="3">
        <f t="shared" si="6"/>
        <v>19279.082090008527</v>
      </c>
      <c r="T10" s="3">
        <f t="shared" si="6"/>
        <v>20287.554338826125</v>
      </c>
      <c r="U10" s="3">
        <f t="shared" si="6"/>
        <v>21296.026587643726</v>
      </c>
      <c r="V10" s="3">
        <f t="shared" si="6"/>
        <v>22304.498836461324</v>
      </c>
      <c r="W10" s="3">
        <f t="shared" si="6"/>
        <v>23312.971085278918</v>
      </c>
      <c r="X10" s="3">
        <f t="shared" si="6"/>
        <v>24321.443334096519</v>
      </c>
      <c r="Y10" s="3">
        <f t="shared" si="6"/>
        <v>25329.91558291412</v>
      </c>
      <c r="Z10" s="3">
        <f t="shared" si="6"/>
        <v>26338.387831731718</v>
      </c>
      <c r="AA10" s="3">
        <f t="shared" si="6"/>
        <v>27346.860080549312</v>
      </c>
      <c r="AB10" s="3">
        <f t="shared" si="6"/>
        <v>27210.580046925421</v>
      </c>
      <c r="AC10" s="397">
        <f t="shared" si="6"/>
        <v>272560.06724800001</v>
      </c>
      <c r="AD10" s="3">
        <f t="shared" si="6"/>
        <v>26455.079573887997</v>
      </c>
      <c r="AE10" s="3">
        <f t="shared" si="6"/>
        <v>28000.613170046709</v>
      </c>
      <c r="AF10" s="3">
        <f t="shared" si="6"/>
        <v>29546.146766205435</v>
      </c>
      <c r="AG10" s="3">
        <f t="shared" si="6"/>
        <v>31091.680362364146</v>
      </c>
      <c r="AH10" s="3">
        <f t="shared" si="6"/>
        <v>32637.213958522865</v>
      </c>
      <c r="AI10" s="3">
        <f t="shared" si="6"/>
        <v>34182.747554681584</v>
      </c>
      <c r="AJ10" s="3">
        <f t="shared" ref="AJ10:BO10" si="7">AJ8*AJ9</f>
        <v>35728.281150840303</v>
      </c>
      <c r="AK10" s="3">
        <f t="shared" si="7"/>
        <v>37273.814746999014</v>
      </c>
      <c r="AL10" s="3">
        <f t="shared" si="7"/>
        <v>38819.348343157733</v>
      </c>
      <c r="AM10" s="3">
        <f t="shared" si="7"/>
        <v>40364.881939316452</v>
      </c>
      <c r="AN10" s="3">
        <f t="shared" si="7"/>
        <v>41910.415535475178</v>
      </c>
      <c r="AO10" s="3">
        <f t="shared" si="7"/>
        <v>41701.559644102534</v>
      </c>
      <c r="AP10" s="397">
        <f t="shared" si="7"/>
        <v>417711.78274559998</v>
      </c>
      <c r="AQ10" s="3">
        <f t="shared" si="7"/>
        <v>29802.62393019519</v>
      </c>
      <c r="AR10" s="3">
        <f t="shared" si="7"/>
        <v>31543.724591380276</v>
      </c>
      <c r="AS10" s="3">
        <f t="shared" si="7"/>
        <v>33284.825252565359</v>
      </c>
      <c r="AT10" s="3">
        <f t="shared" si="7"/>
        <v>35025.925913750441</v>
      </c>
      <c r="AU10" s="3">
        <f t="shared" si="7"/>
        <v>36767.026574935539</v>
      </c>
      <c r="AV10" s="3">
        <f t="shared" si="7"/>
        <v>38508.127236120614</v>
      </c>
      <c r="AW10" s="3">
        <f t="shared" si="7"/>
        <v>40249.227897305704</v>
      </c>
      <c r="AX10" s="3">
        <f t="shared" si="7"/>
        <v>41990.328558490786</v>
      </c>
      <c r="AY10" s="3">
        <f t="shared" si="7"/>
        <v>43731.429219675876</v>
      </c>
      <c r="AZ10" s="3">
        <f t="shared" si="7"/>
        <v>45472.529880860959</v>
      </c>
      <c r="BA10" s="3">
        <f t="shared" si="7"/>
        <v>47213.630542046041</v>
      </c>
      <c r="BB10" s="3">
        <f t="shared" si="7"/>
        <v>46978.346668913109</v>
      </c>
      <c r="BC10" s="397">
        <f t="shared" si="7"/>
        <v>470567.7462662399</v>
      </c>
      <c r="BD10" s="3">
        <f t="shared" si="7"/>
        <v>34060.962176722875</v>
      </c>
      <c r="BE10" s="3">
        <f t="shared" si="7"/>
        <v>36050.839440731412</v>
      </c>
      <c r="BF10" s="3">
        <f t="shared" si="7"/>
        <v>38040.716704739956</v>
      </c>
      <c r="BG10" s="3">
        <f t="shared" si="7"/>
        <v>40030.593968748501</v>
      </c>
      <c r="BH10" s="3">
        <f t="shared" si="7"/>
        <v>42020.471232757045</v>
      </c>
      <c r="BI10" s="3">
        <f t="shared" si="7"/>
        <v>44010.34849676559</v>
      </c>
      <c r="BJ10" s="3">
        <f t="shared" si="7"/>
        <v>46000.225760774134</v>
      </c>
      <c r="BK10" s="3">
        <f t="shared" si="7"/>
        <v>47990.103024782678</v>
      </c>
      <c r="BL10" s="3">
        <f t="shared" si="7"/>
        <v>49979.980288791223</v>
      </c>
      <c r="BM10" s="3">
        <f t="shared" si="7"/>
        <v>51969.857552799775</v>
      </c>
      <c r="BN10" s="3">
        <f t="shared" si="7"/>
        <v>53959.734816808319</v>
      </c>
      <c r="BO10" s="3">
        <f t="shared" si="7"/>
        <v>53690.832483834391</v>
      </c>
      <c r="BP10" s="397">
        <f t="shared" ref="BP10" si="8">BP8*BP9</f>
        <v>537804.66594825592</v>
      </c>
      <c r="CE10" s="3" t="s">
        <v>953</v>
      </c>
      <c r="CF10" s="13" t="s">
        <v>394</v>
      </c>
    </row>
    <row r="11" spans="1:84" s="65" customFormat="1" outlineLevel="1">
      <c r="A11" s="76" t="s">
        <v>661</v>
      </c>
      <c r="B11" s="285" t="s">
        <v>231</v>
      </c>
      <c r="C11" s="285"/>
      <c r="D11" s="357">
        <f>'Micro_30 (indiv)'!D12</f>
        <v>1</v>
      </c>
      <c r="E11" s="357">
        <f>'Micro_30 (indiv)'!E12</f>
        <v>1</v>
      </c>
      <c r="F11" s="357">
        <f>'Micro_30 (indiv)'!F12</f>
        <v>1</v>
      </c>
      <c r="G11" s="357">
        <f>'Micro_30 (indiv)'!G12</f>
        <v>1</v>
      </c>
      <c r="H11" s="357">
        <f>'Micro_30 (indiv)'!H12</f>
        <v>1</v>
      </c>
      <c r="I11" s="357">
        <f>'Micro_30 (indiv)'!I12</f>
        <v>1</v>
      </c>
      <c r="J11" s="357">
        <f>'Micro_30 (indiv)'!J12</f>
        <v>1</v>
      </c>
      <c r="K11" s="357">
        <f>'Micro_30 (indiv)'!K12</f>
        <v>1</v>
      </c>
      <c r="L11" s="357">
        <f>'Micro_30 (indiv)'!L12</f>
        <v>1</v>
      </c>
      <c r="M11" s="357">
        <f>'Micro_30 (indiv)'!M12</f>
        <v>1</v>
      </c>
      <c r="N11" s="357">
        <f>'Micro_30 (indiv)'!N12</f>
        <v>1</v>
      </c>
      <c r="O11" s="357">
        <f>'Micro_30 (indiv)'!O12</f>
        <v>1</v>
      </c>
      <c r="P11" s="358">
        <f>'Micro_30 (indiv)'!P12</f>
        <v>1</v>
      </c>
      <c r="Q11" s="357">
        <f>'Micro_30 (indiv)'!Q12</f>
        <v>1</v>
      </c>
      <c r="R11" s="357">
        <f>'Micro_30 (indiv)'!R12</f>
        <v>1</v>
      </c>
      <c r="S11" s="357">
        <f>'Micro_30 (indiv)'!S12</f>
        <v>1</v>
      </c>
      <c r="T11" s="357">
        <f>'Micro_30 (indiv)'!T12</f>
        <v>1</v>
      </c>
      <c r="U11" s="357">
        <f>'Micro_30 (indiv)'!U12</f>
        <v>1</v>
      </c>
      <c r="V11" s="357">
        <f>'Micro_30 (indiv)'!V12</f>
        <v>1</v>
      </c>
      <c r="W11" s="357">
        <f>'Micro_30 (indiv)'!W12</f>
        <v>1</v>
      </c>
      <c r="X11" s="357">
        <f>'Micro_30 (indiv)'!X12</f>
        <v>1</v>
      </c>
      <c r="Y11" s="357">
        <f>'Micro_30 (indiv)'!Y12</f>
        <v>1</v>
      </c>
      <c r="Z11" s="357">
        <f>'Micro_30 (indiv)'!Z12</f>
        <v>1</v>
      </c>
      <c r="AA11" s="357">
        <f>'Micro_30 (indiv)'!AA12</f>
        <v>1</v>
      </c>
      <c r="AB11" s="357">
        <f>'Micro_30 (indiv)'!AB12</f>
        <v>1</v>
      </c>
      <c r="AC11" s="358">
        <f>'Micro_30 (indiv)'!AC12</f>
        <v>1</v>
      </c>
      <c r="AD11" s="357">
        <f>'Micro_30 (indiv)'!AD12</f>
        <v>1</v>
      </c>
      <c r="AE11" s="357">
        <f>'Micro_30 (indiv)'!AE12</f>
        <v>1</v>
      </c>
      <c r="AF11" s="357">
        <f>'Micro_30 (indiv)'!AF12</f>
        <v>1</v>
      </c>
      <c r="AG11" s="357">
        <f>'Micro_30 (indiv)'!AG12</f>
        <v>1</v>
      </c>
      <c r="AH11" s="357">
        <f>'Micro_30 (indiv)'!AH12</f>
        <v>1</v>
      </c>
      <c r="AI11" s="357">
        <f>'Micro_30 (indiv)'!AI12</f>
        <v>1</v>
      </c>
      <c r="AJ11" s="357">
        <f>'Micro_30 (indiv)'!AJ12</f>
        <v>1</v>
      </c>
      <c r="AK11" s="357">
        <f>'Micro_30 (indiv)'!AK12</f>
        <v>1</v>
      </c>
      <c r="AL11" s="357">
        <f>'Micro_30 (indiv)'!AL12</f>
        <v>1</v>
      </c>
      <c r="AM11" s="357">
        <f>'Micro_30 (indiv)'!AM12</f>
        <v>1</v>
      </c>
      <c r="AN11" s="357">
        <f>'Micro_30 (indiv)'!AN12</f>
        <v>1</v>
      </c>
      <c r="AO11" s="357">
        <f>'Micro_30 (indiv)'!AO12</f>
        <v>1</v>
      </c>
      <c r="AP11" s="358">
        <f>'Micro_30 (indiv)'!AP12</f>
        <v>1</v>
      </c>
      <c r="AQ11" s="357">
        <f>'Micro_30 (indiv)'!AQ12</f>
        <v>1</v>
      </c>
      <c r="AR11" s="357">
        <f>'Micro_30 (indiv)'!AR12</f>
        <v>1</v>
      </c>
      <c r="AS11" s="357">
        <f>'Micro_30 (indiv)'!AS12</f>
        <v>1</v>
      </c>
      <c r="AT11" s="357">
        <f>'Micro_30 (indiv)'!AT12</f>
        <v>1</v>
      </c>
      <c r="AU11" s="357">
        <f>'Micro_30 (indiv)'!AU12</f>
        <v>1</v>
      </c>
      <c r="AV11" s="357">
        <f>'Micro_30 (indiv)'!AV12</f>
        <v>1</v>
      </c>
      <c r="AW11" s="357">
        <f>'Micro_30 (indiv)'!AW12</f>
        <v>1</v>
      </c>
      <c r="AX11" s="357">
        <f>'Micro_30 (indiv)'!AX12</f>
        <v>1</v>
      </c>
      <c r="AY11" s="357">
        <f>'Micro_30 (indiv)'!AY12</f>
        <v>1</v>
      </c>
      <c r="AZ11" s="357">
        <f>'Micro_30 (indiv)'!AZ12</f>
        <v>1</v>
      </c>
      <c r="BA11" s="357">
        <f>'Micro_30 (indiv)'!BA12</f>
        <v>1</v>
      </c>
      <c r="BB11" s="357">
        <f>'Micro_30 (indiv)'!BB12</f>
        <v>1</v>
      </c>
      <c r="BC11" s="358">
        <f>'Micro_30 (indiv)'!BC12</f>
        <v>1</v>
      </c>
      <c r="BD11" s="357">
        <f>'Micro_30 (indiv)'!BD12</f>
        <v>1</v>
      </c>
      <c r="BE11" s="357">
        <f>'Micro_30 (indiv)'!BE12</f>
        <v>1</v>
      </c>
      <c r="BF11" s="357">
        <f>'Micro_30 (indiv)'!BF12</f>
        <v>1</v>
      </c>
      <c r="BG11" s="357">
        <f>'Micro_30 (indiv)'!BG12</f>
        <v>1</v>
      </c>
      <c r="BH11" s="357">
        <f>'Micro_30 (indiv)'!BH12</f>
        <v>1</v>
      </c>
      <c r="BI11" s="357">
        <f>'Micro_30 (indiv)'!BI12</f>
        <v>1</v>
      </c>
      <c r="BJ11" s="357">
        <f>'Micro_30 (indiv)'!BJ12</f>
        <v>1</v>
      </c>
      <c r="BK11" s="357">
        <f>'Micro_30 (indiv)'!BK12</f>
        <v>1</v>
      </c>
      <c r="BL11" s="357">
        <f>'Micro_30 (indiv)'!BL12</f>
        <v>1</v>
      </c>
      <c r="BM11" s="357">
        <f>'Micro_30 (indiv)'!BM12</f>
        <v>1</v>
      </c>
      <c r="BN11" s="357">
        <f>'Micro_30 (indiv)'!BN12</f>
        <v>1</v>
      </c>
      <c r="BO11" s="357">
        <f>'Micro_30 (indiv)'!BO12</f>
        <v>1</v>
      </c>
      <c r="BP11" s="358">
        <f>'Micro_30 (indiv)'!BP12</f>
        <v>1</v>
      </c>
      <c r="CE11" s="76" t="s">
        <v>954</v>
      </c>
      <c r="CF11" s="285" t="s">
        <v>231</v>
      </c>
    </row>
    <row r="12" spans="1:84" s="3" customFormat="1" outlineLevel="1">
      <c r="A12" s="3" t="s">
        <v>660</v>
      </c>
      <c r="B12" s="13" t="s">
        <v>496</v>
      </c>
      <c r="C12" s="12"/>
      <c r="D12" s="3">
        <f t="shared" ref="D12:AI12" si="9">D10*D11</f>
        <v>0</v>
      </c>
      <c r="E12" s="3">
        <f t="shared" si="9"/>
        <v>0</v>
      </c>
      <c r="F12" s="3">
        <f t="shared" si="9"/>
        <v>0</v>
      </c>
      <c r="G12" s="3">
        <f t="shared" si="9"/>
        <v>0</v>
      </c>
      <c r="H12" s="3">
        <f t="shared" si="9"/>
        <v>0</v>
      </c>
      <c r="I12" s="3">
        <f t="shared" si="9"/>
        <v>0</v>
      </c>
      <c r="J12" s="3">
        <f t="shared" si="9"/>
        <v>6294.3450295487955</v>
      </c>
      <c r="K12" s="3">
        <f t="shared" si="9"/>
        <v>6566.6257381535952</v>
      </c>
      <c r="L12" s="3">
        <f t="shared" si="9"/>
        <v>6838.9064467583967</v>
      </c>
      <c r="M12" s="3">
        <f t="shared" si="9"/>
        <v>7111.1871553631945</v>
      </c>
      <c r="N12" s="3">
        <f t="shared" si="9"/>
        <v>7383.467863967996</v>
      </c>
      <c r="O12" s="3">
        <f t="shared" si="9"/>
        <v>7346.6731736160227</v>
      </c>
      <c r="P12" s="397">
        <f t="shared" si="9"/>
        <v>73589.380703999996</v>
      </c>
      <c r="Q12" s="3">
        <f t="shared" si="9"/>
        <v>17262.137592373329</v>
      </c>
      <c r="R12" s="3">
        <f t="shared" si="9"/>
        <v>18270.60984119093</v>
      </c>
      <c r="S12" s="3">
        <f t="shared" si="9"/>
        <v>19279.082090008527</v>
      </c>
      <c r="T12" s="3">
        <f t="shared" si="9"/>
        <v>20287.554338826125</v>
      </c>
      <c r="U12" s="3">
        <f t="shared" si="9"/>
        <v>21296.026587643726</v>
      </c>
      <c r="V12" s="3">
        <f t="shared" si="9"/>
        <v>22304.498836461324</v>
      </c>
      <c r="W12" s="3">
        <f t="shared" si="9"/>
        <v>23312.971085278918</v>
      </c>
      <c r="X12" s="3">
        <f t="shared" si="9"/>
        <v>24321.443334096519</v>
      </c>
      <c r="Y12" s="3">
        <f t="shared" si="9"/>
        <v>25329.91558291412</v>
      </c>
      <c r="Z12" s="3">
        <f t="shared" si="9"/>
        <v>26338.387831731718</v>
      </c>
      <c r="AA12" s="3">
        <f t="shared" si="9"/>
        <v>27346.860080549312</v>
      </c>
      <c r="AB12" s="3">
        <f t="shared" si="9"/>
        <v>27210.580046925421</v>
      </c>
      <c r="AC12" s="397">
        <f t="shared" si="9"/>
        <v>272560.06724800001</v>
      </c>
      <c r="AD12" s="3">
        <f t="shared" si="9"/>
        <v>26455.079573887997</v>
      </c>
      <c r="AE12" s="3">
        <f t="shared" si="9"/>
        <v>28000.613170046709</v>
      </c>
      <c r="AF12" s="3">
        <f t="shared" si="9"/>
        <v>29546.146766205435</v>
      </c>
      <c r="AG12" s="3">
        <f t="shared" si="9"/>
        <v>31091.680362364146</v>
      </c>
      <c r="AH12" s="3">
        <f t="shared" si="9"/>
        <v>32637.213958522865</v>
      </c>
      <c r="AI12" s="3">
        <f t="shared" si="9"/>
        <v>34182.747554681584</v>
      </c>
      <c r="AJ12" s="3">
        <f t="shared" ref="AJ12:BO12" si="10">AJ10*AJ11</f>
        <v>35728.281150840303</v>
      </c>
      <c r="AK12" s="3">
        <f t="shared" si="10"/>
        <v>37273.814746999014</v>
      </c>
      <c r="AL12" s="3">
        <f t="shared" si="10"/>
        <v>38819.348343157733</v>
      </c>
      <c r="AM12" s="3">
        <f t="shared" si="10"/>
        <v>40364.881939316452</v>
      </c>
      <c r="AN12" s="3">
        <f t="shared" si="10"/>
        <v>41910.415535475178</v>
      </c>
      <c r="AO12" s="3">
        <f t="shared" si="10"/>
        <v>41701.559644102534</v>
      </c>
      <c r="AP12" s="397">
        <f t="shared" si="10"/>
        <v>417711.78274559998</v>
      </c>
      <c r="AQ12" s="3">
        <f t="shared" si="10"/>
        <v>29802.62393019519</v>
      </c>
      <c r="AR12" s="3">
        <f t="shared" si="10"/>
        <v>31543.724591380276</v>
      </c>
      <c r="AS12" s="3">
        <f t="shared" si="10"/>
        <v>33284.825252565359</v>
      </c>
      <c r="AT12" s="3">
        <f t="shared" si="10"/>
        <v>35025.925913750441</v>
      </c>
      <c r="AU12" s="3">
        <f t="shared" si="10"/>
        <v>36767.026574935539</v>
      </c>
      <c r="AV12" s="3">
        <f t="shared" si="10"/>
        <v>38508.127236120614</v>
      </c>
      <c r="AW12" s="3">
        <f t="shared" si="10"/>
        <v>40249.227897305704</v>
      </c>
      <c r="AX12" s="3">
        <f t="shared" si="10"/>
        <v>41990.328558490786</v>
      </c>
      <c r="AY12" s="3">
        <f t="shared" si="10"/>
        <v>43731.429219675876</v>
      </c>
      <c r="AZ12" s="3">
        <f t="shared" si="10"/>
        <v>45472.529880860959</v>
      </c>
      <c r="BA12" s="3">
        <f t="shared" si="10"/>
        <v>47213.630542046041</v>
      </c>
      <c r="BB12" s="3">
        <f t="shared" si="10"/>
        <v>46978.346668913109</v>
      </c>
      <c r="BC12" s="397">
        <f t="shared" si="10"/>
        <v>470567.7462662399</v>
      </c>
      <c r="BD12" s="3">
        <f t="shared" si="10"/>
        <v>34060.962176722875</v>
      </c>
      <c r="BE12" s="3">
        <f t="shared" si="10"/>
        <v>36050.839440731412</v>
      </c>
      <c r="BF12" s="3">
        <f t="shared" si="10"/>
        <v>38040.716704739956</v>
      </c>
      <c r="BG12" s="3">
        <f t="shared" si="10"/>
        <v>40030.593968748501</v>
      </c>
      <c r="BH12" s="3">
        <f t="shared" si="10"/>
        <v>42020.471232757045</v>
      </c>
      <c r="BI12" s="3">
        <f t="shared" si="10"/>
        <v>44010.34849676559</v>
      </c>
      <c r="BJ12" s="3">
        <f t="shared" si="10"/>
        <v>46000.225760774134</v>
      </c>
      <c r="BK12" s="3">
        <f t="shared" si="10"/>
        <v>47990.103024782678</v>
      </c>
      <c r="BL12" s="3">
        <f t="shared" si="10"/>
        <v>49979.980288791223</v>
      </c>
      <c r="BM12" s="3">
        <f t="shared" si="10"/>
        <v>51969.857552799775</v>
      </c>
      <c r="BN12" s="3">
        <f t="shared" si="10"/>
        <v>53959.734816808319</v>
      </c>
      <c r="BO12" s="3">
        <f t="shared" si="10"/>
        <v>53690.832483834391</v>
      </c>
      <c r="BP12" s="397">
        <f t="shared" ref="BP12" si="11">BP10*BP11</f>
        <v>537804.66594825592</v>
      </c>
      <c r="CE12" s="3" t="s">
        <v>955</v>
      </c>
      <c r="CF12" s="13" t="s">
        <v>394</v>
      </c>
    </row>
    <row r="13" spans="1:84" s="65" customFormat="1" outlineLevel="1">
      <c r="A13" s="76" t="s">
        <v>578</v>
      </c>
      <c r="B13" s="285" t="s">
        <v>231</v>
      </c>
      <c r="C13" s="285"/>
      <c r="D13" s="357">
        <f>'Micro_30 (indiv)'!D14</f>
        <v>0.95</v>
      </c>
      <c r="E13" s="357">
        <f>'Micro_30 (indiv)'!E14</f>
        <v>0.95</v>
      </c>
      <c r="F13" s="357">
        <f>'Micro_30 (indiv)'!F14</f>
        <v>0.95</v>
      </c>
      <c r="G13" s="357">
        <f>'Micro_30 (indiv)'!G14</f>
        <v>0.95</v>
      </c>
      <c r="H13" s="357">
        <f>'Micro_30 (indiv)'!H14</f>
        <v>0.95</v>
      </c>
      <c r="I13" s="357">
        <f>'Micro_30 (indiv)'!I14</f>
        <v>0.95</v>
      </c>
      <c r="J13" s="357">
        <f>'Micro_30 (indiv)'!J14</f>
        <v>0.95</v>
      </c>
      <c r="K13" s="357">
        <f>'Micro_30 (indiv)'!K14</f>
        <v>0.95</v>
      </c>
      <c r="L13" s="357">
        <f>'Micro_30 (indiv)'!L14</f>
        <v>0.95</v>
      </c>
      <c r="M13" s="357">
        <f>'Micro_30 (indiv)'!M14</f>
        <v>0.95</v>
      </c>
      <c r="N13" s="357">
        <f>'Micro_30 (indiv)'!N14</f>
        <v>0.95</v>
      </c>
      <c r="O13" s="357">
        <f>'Micro_30 (indiv)'!O14</f>
        <v>0.95</v>
      </c>
      <c r="P13" s="358">
        <f>'Micro_30 (indiv)'!P14</f>
        <v>0.95</v>
      </c>
      <c r="Q13" s="357">
        <f>'Micro_30 (indiv)'!Q14</f>
        <v>0.95</v>
      </c>
      <c r="R13" s="357">
        <f>'Micro_30 (indiv)'!R14</f>
        <v>0.95</v>
      </c>
      <c r="S13" s="357">
        <f>'Micro_30 (indiv)'!S14</f>
        <v>0.95</v>
      </c>
      <c r="T13" s="357">
        <f>'Micro_30 (indiv)'!T14</f>
        <v>0.95</v>
      </c>
      <c r="U13" s="357">
        <f>'Micro_30 (indiv)'!U14</f>
        <v>0.95</v>
      </c>
      <c r="V13" s="357">
        <f>'Micro_30 (indiv)'!V14</f>
        <v>0.95</v>
      </c>
      <c r="W13" s="357">
        <f>'Micro_30 (indiv)'!W14</f>
        <v>0.95</v>
      </c>
      <c r="X13" s="357">
        <f>'Micro_30 (indiv)'!X14</f>
        <v>0.95</v>
      </c>
      <c r="Y13" s="357">
        <f>'Micro_30 (indiv)'!Y14</f>
        <v>0.95</v>
      </c>
      <c r="Z13" s="357">
        <f>'Micro_30 (indiv)'!Z14</f>
        <v>0.95</v>
      </c>
      <c r="AA13" s="357">
        <f>'Micro_30 (indiv)'!AA14</f>
        <v>0.95</v>
      </c>
      <c r="AB13" s="357">
        <f>'Micro_30 (indiv)'!AB14</f>
        <v>0.95</v>
      </c>
      <c r="AC13" s="358">
        <f>'Micro_30 (indiv)'!AC14</f>
        <v>0.95</v>
      </c>
      <c r="AD13" s="357">
        <f>'Micro_30 (indiv)'!AD14</f>
        <v>0.95</v>
      </c>
      <c r="AE13" s="357">
        <f>'Micro_30 (indiv)'!AE14</f>
        <v>0.95</v>
      </c>
      <c r="AF13" s="357">
        <f>'Micro_30 (indiv)'!AF14</f>
        <v>0.95</v>
      </c>
      <c r="AG13" s="357">
        <f>'Micro_30 (indiv)'!AG14</f>
        <v>0.95</v>
      </c>
      <c r="AH13" s="357">
        <f>'Micro_30 (indiv)'!AH14</f>
        <v>0.95</v>
      </c>
      <c r="AI13" s="357">
        <f>'Micro_30 (indiv)'!AI14</f>
        <v>0.95</v>
      </c>
      <c r="AJ13" s="357">
        <f>'Micro_30 (indiv)'!AJ14</f>
        <v>0.95</v>
      </c>
      <c r="AK13" s="357">
        <f>'Micro_30 (indiv)'!AK14</f>
        <v>0.95</v>
      </c>
      <c r="AL13" s="357">
        <f>'Micro_30 (indiv)'!AL14</f>
        <v>0.95</v>
      </c>
      <c r="AM13" s="357">
        <f>'Micro_30 (indiv)'!AM14</f>
        <v>0.95</v>
      </c>
      <c r="AN13" s="357">
        <f>'Micro_30 (indiv)'!AN14</f>
        <v>0.95</v>
      </c>
      <c r="AO13" s="357">
        <f>'Micro_30 (indiv)'!AO14</f>
        <v>0.95</v>
      </c>
      <c r="AP13" s="358">
        <f>'Micro_30 (indiv)'!AP14</f>
        <v>0.95</v>
      </c>
      <c r="AQ13" s="357">
        <f>'Micro_30 (indiv)'!AQ14</f>
        <v>0.95</v>
      </c>
      <c r="AR13" s="357">
        <f>'Micro_30 (indiv)'!AR14</f>
        <v>0.95</v>
      </c>
      <c r="AS13" s="357">
        <f>'Micro_30 (indiv)'!AS14</f>
        <v>0.95</v>
      </c>
      <c r="AT13" s="357">
        <f>'Micro_30 (indiv)'!AT14</f>
        <v>0.95</v>
      </c>
      <c r="AU13" s="357">
        <f>'Micro_30 (indiv)'!AU14</f>
        <v>0.95</v>
      </c>
      <c r="AV13" s="357">
        <f>'Micro_30 (indiv)'!AV14</f>
        <v>0.95</v>
      </c>
      <c r="AW13" s="357">
        <f>'Micro_30 (indiv)'!AW14</f>
        <v>0.95</v>
      </c>
      <c r="AX13" s="357">
        <f>'Micro_30 (indiv)'!AX14</f>
        <v>0.95</v>
      </c>
      <c r="AY13" s="357">
        <f>'Micro_30 (indiv)'!AY14</f>
        <v>0.95</v>
      </c>
      <c r="AZ13" s="357">
        <f>'Micro_30 (indiv)'!AZ14</f>
        <v>0.95</v>
      </c>
      <c r="BA13" s="357">
        <f>'Micro_30 (indiv)'!BA14</f>
        <v>0.95</v>
      </c>
      <c r="BB13" s="357">
        <f>'Micro_30 (indiv)'!BB14</f>
        <v>0.95</v>
      </c>
      <c r="BC13" s="358">
        <f>'Micro_30 (indiv)'!BC14</f>
        <v>0.95</v>
      </c>
      <c r="BD13" s="357">
        <f>'Micro_30 (indiv)'!BD14</f>
        <v>0.95</v>
      </c>
      <c r="BE13" s="357">
        <f>'Micro_30 (indiv)'!BE14</f>
        <v>0.95</v>
      </c>
      <c r="BF13" s="357">
        <f>'Micro_30 (indiv)'!BF14</f>
        <v>0.95</v>
      </c>
      <c r="BG13" s="357">
        <f>'Micro_30 (indiv)'!BG14</f>
        <v>0.95</v>
      </c>
      <c r="BH13" s="357">
        <f>'Micro_30 (indiv)'!BH14</f>
        <v>0.95</v>
      </c>
      <c r="BI13" s="357">
        <f>'Micro_30 (indiv)'!BI14</f>
        <v>0.95</v>
      </c>
      <c r="BJ13" s="357">
        <f>'Micro_30 (indiv)'!BJ14</f>
        <v>0.95</v>
      </c>
      <c r="BK13" s="357">
        <f>'Micro_30 (indiv)'!BK14</f>
        <v>0.95</v>
      </c>
      <c r="BL13" s="357">
        <f>'Micro_30 (indiv)'!BL14</f>
        <v>0.95</v>
      </c>
      <c r="BM13" s="357">
        <f>'Micro_30 (indiv)'!BM14</f>
        <v>0.95</v>
      </c>
      <c r="BN13" s="357">
        <f>'Micro_30 (indiv)'!BN14</f>
        <v>0.95</v>
      </c>
      <c r="BO13" s="357">
        <f>'Micro_30 (indiv)'!BO14</f>
        <v>0.95</v>
      </c>
      <c r="BP13" s="358">
        <f>'Micro_30 (indiv)'!BP14</f>
        <v>0.95</v>
      </c>
      <c r="CE13" s="76" t="s">
        <v>956</v>
      </c>
      <c r="CF13" s="285" t="s">
        <v>231</v>
      </c>
    </row>
    <row r="14" spans="1:84" s="3" customFormat="1" outlineLevel="1">
      <c r="A14" s="3" t="s">
        <v>659</v>
      </c>
      <c r="B14" s="13" t="s">
        <v>496</v>
      </c>
      <c r="C14" s="12"/>
      <c r="D14" s="3">
        <f t="shared" ref="D14:AI14" si="12">D8*D13</f>
        <v>0</v>
      </c>
      <c r="E14" s="3">
        <f t="shared" si="12"/>
        <v>0</v>
      </c>
      <c r="F14" s="3">
        <f t="shared" si="12"/>
        <v>0</v>
      </c>
      <c r="G14" s="3">
        <f t="shared" si="12"/>
        <v>0</v>
      </c>
      <c r="H14" s="3">
        <f t="shared" si="12"/>
        <v>0</v>
      </c>
      <c r="I14" s="3">
        <f t="shared" si="12"/>
        <v>0</v>
      </c>
      <c r="J14" s="3">
        <f t="shared" si="12"/>
        <v>8542.3253972447947</v>
      </c>
      <c r="K14" s="3">
        <f t="shared" si="12"/>
        <v>8911.8492160655933</v>
      </c>
      <c r="L14" s="3">
        <f t="shared" si="12"/>
        <v>9281.3730348863955</v>
      </c>
      <c r="M14" s="3">
        <f t="shared" si="12"/>
        <v>9650.8968537071923</v>
      </c>
      <c r="N14" s="3">
        <f t="shared" si="12"/>
        <v>10020.420672527995</v>
      </c>
      <c r="O14" s="3">
        <f t="shared" si="12"/>
        <v>9970.4850213360314</v>
      </c>
      <c r="P14" s="397">
        <f t="shared" si="12"/>
        <v>99871.302383999995</v>
      </c>
      <c r="Q14" s="3">
        <f t="shared" si="12"/>
        <v>23427.18673250666</v>
      </c>
      <c r="R14" s="3">
        <f t="shared" si="12"/>
        <v>24795.827641616259</v>
      </c>
      <c r="S14" s="3">
        <f t="shared" si="12"/>
        <v>26164.468550725858</v>
      </c>
      <c r="T14" s="3">
        <f t="shared" si="12"/>
        <v>27533.109459835458</v>
      </c>
      <c r="U14" s="3">
        <f t="shared" si="12"/>
        <v>28901.750368945057</v>
      </c>
      <c r="V14" s="3">
        <f t="shared" si="12"/>
        <v>30270.391278054656</v>
      </c>
      <c r="W14" s="3">
        <f t="shared" si="12"/>
        <v>31639.032187164248</v>
      </c>
      <c r="X14" s="3">
        <f t="shared" si="12"/>
        <v>33007.673096273844</v>
      </c>
      <c r="Y14" s="3">
        <f t="shared" si="12"/>
        <v>34376.31400538345</v>
      </c>
      <c r="Z14" s="3">
        <f t="shared" si="12"/>
        <v>35744.95491449305</v>
      </c>
      <c r="AA14" s="3">
        <f t="shared" si="12"/>
        <v>37113.595823602642</v>
      </c>
      <c r="AB14" s="3">
        <f t="shared" si="12"/>
        <v>36928.64434939879</v>
      </c>
      <c r="AC14" s="397">
        <f t="shared" si="12"/>
        <v>369902.948408</v>
      </c>
      <c r="AD14" s="3">
        <f t="shared" si="12"/>
        <v>35903.322278847998</v>
      </c>
      <c r="AE14" s="3">
        <f t="shared" si="12"/>
        <v>38000.832159349105</v>
      </c>
      <c r="AF14" s="3">
        <f t="shared" si="12"/>
        <v>40098.342039850235</v>
      </c>
      <c r="AG14" s="3">
        <f t="shared" si="12"/>
        <v>42195.851920351342</v>
      </c>
      <c r="AH14" s="3">
        <f t="shared" si="12"/>
        <v>44293.361800852465</v>
      </c>
      <c r="AI14" s="3">
        <f t="shared" si="12"/>
        <v>46390.871681353579</v>
      </c>
      <c r="AJ14" s="3">
        <f t="shared" ref="AJ14:BO14" si="13">AJ8*AJ13</f>
        <v>48488.381561854701</v>
      </c>
      <c r="AK14" s="3">
        <f t="shared" si="13"/>
        <v>50585.891442355809</v>
      </c>
      <c r="AL14" s="3">
        <f t="shared" si="13"/>
        <v>52683.401322856931</v>
      </c>
      <c r="AM14" s="3">
        <f t="shared" si="13"/>
        <v>54780.911203358046</v>
      </c>
      <c r="AN14" s="3">
        <f t="shared" si="13"/>
        <v>56878.421083859175</v>
      </c>
      <c r="AO14" s="3">
        <f t="shared" si="13"/>
        <v>56594.973802710585</v>
      </c>
      <c r="AP14" s="397">
        <f t="shared" si="13"/>
        <v>566894.56229759997</v>
      </c>
      <c r="AQ14" s="3">
        <f t="shared" si="13"/>
        <v>40446.418190979188</v>
      </c>
      <c r="AR14" s="3">
        <f t="shared" si="13"/>
        <v>42809.340516873235</v>
      </c>
      <c r="AS14" s="3">
        <f t="shared" si="13"/>
        <v>45172.262842767275</v>
      </c>
      <c r="AT14" s="3">
        <f t="shared" si="13"/>
        <v>47535.185168661315</v>
      </c>
      <c r="AU14" s="3">
        <f t="shared" si="13"/>
        <v>49898.10749455537</v>
      </c>
      <c r="AV14" s="3">
        <f t="shared" si="13"/>
        <v>52261.02982044941</v>
      </c>
      <c r="AW14" s="3">
        <f t="shared" si="13"/>
        <v>54623.952146343458</v>
      </c>
      <c r="AX14" s="3">
        <f t="shared" si="13"/>
        <v>56986.87447223749</v>
      </c>
      <c r="AY14" s="3">
        <f t="shared" si="13"/>
        <v>59349.796798131545</v>
      </c>
      <c r="AZ14" s="3">
        <f t="shared" si="13"/>
        <v>61712.719124025585</v>
      </c>
      <c r="BA14" s="3">
        <f t="shared" si="13"/>
        <v>64075.641449919633</v>
      </c>
      <c r="BB14" s="3">
        <f t="shared" si="13"/>
        <v>63756.32762209636</v>
      </c>
      <c r="BC14" s="397">
        <f t="shared" si="13"/>
        <v>638627.65564703988</v>
      </c>
      <c r="BD14" s="3">
        <f t="shared" si="13"/>
        <v>46225.591525552467</v>
      </c>
      <c r="BE14" s="3">
        <f t="shared" si="13"/>
        <v>48926.139240992634</v>
      </c>
      <c r="BF14" s="3">
        <f t="shared" si="13"/>
        <v>51626.686956432801</v>
      </c>
      <c r="BG14" s="3">
        <f t="shared" si="13"/>
        <v>54327.234671872968</v>
      </c>
      <c r="BH14" s="3">
        <f t="shared" si="13"/>
        <v>57027.782387313135</v>
      </c>
      <c r="BI14" s="3">
        <f t="shared" si="13"/>
        <v>59728.330102753302</v>
      </c>
      <c r="BJ14" s="3">
        <f t="shared" si="13"/>
        <v>62428.877818193469</v>
      </c>
      <c r="BK14" s="3">
        <f t="shared" si="13"/>
        <v>65129.425533633635</v>
      </c>
      <c r="BL14" s="3">
        <f t="shared" si="13"/>
        <v>67829.973249073795</v>
      </c>
      <c r="BM14" s="3">
        <f t="shared" si="13"/>
        <v>70530.520964513984</v>
      </c>
      <c r="BN14" s="3">
        <f t="shared" si="13"/>
        <v>73231.068679954144</v>
      </c>
      <c r="BO14" s="3">
        <f t="shared" si="13"/>
        <v>72866.129799489529</v>
      </c>
      <c r="BP14" s="397">
        <f t="shared" ref="BP14" si="14">BP8*BP13</f>
        <v>729877.76092977589</v>
      </c>
      <c r="CE14" s="3" t="s">
        <v>957</v>
      </c>
      <c r="CF14" s="13" t="s">
        <v>394</v>
      </c>
    </row>
    <row r="15" spans="1:84" s="65" customFormat="1" outlineLevel="1">
      <c r="A15" s="76" t="s">
        <v>658</v>
      </c>
      <c r="B15" s="285" t="s">
        <v>231</v>
      </c>
      <c r="C15" s="295"/>
      <c r="D15" s="411">
        <f>'Micro_30 (indiv)'!D16</f>
        <v>-1E-3</v>
      </c>
      <c r="E15" s="411">
        <f>'Micro_30 (indiv)'!E16</f>
        <v>-1.5E-3</v>
      </c>
      <c r="F15" s="411">
        <f>'Micro_30 (indiv)'!F16</f>
        <v>-2E-3</v>
      </c>
      <c r="G15" s="411">
        <f>'Micro_30 (indiv)'!G16</f>
        <v>-2.5000000000000001E-3</v>
      </c>
      <c r="H15" s="411">
        <f>'Micro_30 (indiv)'!H16</f>
        <v>-3.0000000000000001E-3</v>
      </c>
      <c r="I15" s="411">
        <f>'Micro_30 (indiv)'!I16</f>
        <v>-3.5000000000000001E-3</v>
      </c>
      <c r="J15" s="411">
        <f>'Micro_30 (indiv)'!J16</f>
        <v>-4.0000000000000001E-3</v>
      </c>
      <c r="K15" s="411">
        <f>'Micro_30 (indiv)'!K16</f>
        <v>-4.5000000000000005E-3</v>
      </c>
      <c r="L15" s="411">
        <f>'Micro_30 (indiv)'!L16</f>
        <v>-5.000000000000001E-3</v>
      </c>
      <c r="M15" s="411">
        <f>'Micro_30 (indiv)'!M16</f>
        <v>-5.5000000000000014E-3</v>
      </c>
      <c r="N15" s="411">
        <f>'Micro_30 (indiv)'!N16</f>
        <v>-6.0000000000000019E-3</v>
      </c>
      <c r="O15" s="411">
        <f>'Micro_30 (indiv)'!O16</f>
        <v>-6.5000000000000023E-3</v>
      </c>
      <c r="P15" s="410">
        <f>'Micro_30 (indiv)'!P16</f>
        <v>0</v>
      </c>
      <c r="Q15" s="411">
        <f>'Micro_30 (indiv)'!Q16</f>
        <v>-7.0000000000000027E-3</v>
      </c>
      <c r="R15" s="411">
        <f>'Micro_30 (indiv)'!R16</f>
        <v>-7.5000000000000032E-3</v>
      </c>
      <c r="S15" s="411">
        <f>'Micro_30 (indiv)'!S16</f>
        <v>-8.0000000000000036E-3</v>
      </c>
      <c r="T15" s="411">
        <f>'Micro_30 (indiv)'!T16</f>
        <v>-8.5000000000000041E-3</v>
      </c>
      <c r="U15" s="411">
        <f>'Micro_30 (indiv)'!U16</f>
        <v>-9.0000000000000045E-3</v>
      </c>
      <c r="V15" s="411">
        <f>'Micro_30 (indiv)'!V16</f>
        <v>-9.500000000000005E-3</v>
      </c>
      <c r="W15" s="411">
        <f>'Micro_30 (indiv)'!W16</f>
        <v>-1.0000000000000005E-2</v>
      </c>
      <c r="X15" s="411">
        <f>'Micro_30 (indiv)'!X16</f>
        <v>-1.0500000000000006E-2</v>
      </c>
      <c r="Y15" s="411">
        <f>'Micro_30 (indiv)'!Y16</f>
        <v>-1.1000000000000006E-2</v>
      </c>
      <c r="Z15" s="411">
        <f>'Micro_30 (indiv)'!Z16</f>
        <v>-1.1500000000000007E-2</v>
      </c>
      <c r="AA15" s="411">
        <f>'Micro_30 (indiv)'!AA16</f>
        <v>-1.2000000000000007E-2</v>
      </c>
      <c r="AB15" s="411">
        <f>'Micro_30 (indiv)'!AB16</f>
        <v>-1.2500000000000008E-2</v>
      </c>
      <c r="AC15" s="410">
        <f>'Micro_30 (indiv)'!AC16</f>
        <v>0</v>
      </c>
      <c r="AD15" s="411">
        <f>'Micro_30 (indiv)'!AD16</f>
        <v>-1.3000000000000008E-2</v>
      </c>
      <c r="AE15" s="411">
        <f>'Micro_30 (indiv)'!AE16</f>
        <v>-1.3500000000000009E-2</v>
      </c>
      <c r="AF15" s="411">
        <f>'Micro_30 (indiv)'!AF16</f>
        <v>-1.4000000000000009E-2</v>
      </c>
      <c r="AG15" s="411">
        <f>'Micro_30 (indiv)'!AG16</f>
        <v>-1.4500000000000009E-2</v>
      </c>
      <c r="AH15" s="411">
        <f>'Micro_30 (indiv)'!AH16</f>
        <v>-1.500000000000001E-2</v>
      </c>
      <c r="AI15" s="411">
        <f>'Micro_30 (indiv)'!AI16</f>
        <v>-1.550000000000001E-2</v>
      </c>
      <c r="AJ15" s="411">
        <f>'Micro_30 (indiv)'!AJ16</f>
        <v>-1.6000000000000011E-2</v>
      </c>
      <c r="AK15" s="411">
        <f>'Micro_30 (indiv)'!AK16</f>
        <v>-1.6500000000000011E-2</v>
      </c>
      <c r="AL15" s="411">
        <f>'Micro_30 (indiv)'!AL16</f>
        <v>-1.7000000000000012E-2</v>
      </c>
      <c r="AM15" s="411">
        <f>'Micro_30 (indiv)'!AM16</f>
        <v>-1.7500000000000012E-2</v>
      </c>
      <c r="AN15" s="411">
        <f>'Micro_30 (indiv)'!AN16</f>
        <v>-1.8000000000000013E-2</v>
      </c>
      <c r="AO15" s="411">
        <f>'Micro_30 (indiv)'!AO16</f>
        <v>-1.8500000000000013E-2</v>
      </c>
      <c r="AP15" s="410">
        <f>'Micro_30 (indiv)'!AP16</f>
        <v>0</v>
      </c>
      <c r="AQ15" s="411">
        <f>'Micro_30 (indiv)'!AQ16</f>
        <v>-1.9000000000000013E-2</v>
      </c>
      <c r="AR15" s="411">
        <f>'Micro_30 (indiv)'!AR16</f>
        <v>-1.9500000000000014E-2</v>
      </c>
      <c r="AS15" s="411">
        <f>'Micro_30 (indiv)'!AS16</f>
        <v>-2.0000000000000014E-2</v>
      </c>
      <c r="AT15" s="411">
        <f>'Micro_30 (indiv)'!AT16</f>
        <v>-2.0500000000000015E-2</v>
      </c>
      <c r="AU15" s="411">
        <f>'Micro_30 (indiv)'!AU16</f>
        <v>-2.1000000000000015E-2</v>
      </c>
      <c r="AV15" s="411">
        <f>'Micro_30 (indiv)'!AV16</f>
        <v>-2.1500000000000016E-2</v>
      </c>
      <c r="AW15" s="411">
        <f>'Micro_30 (indiv)'!AW16</f>
        <v>-2.2000000000000016E-2</v>
      </c>
      <c r="AX15" s="411">
        <f>'Micro_30 (indiv)'!AX16</f>
        <v>-2.2500000000000017E-2</v>
      </c>
      <c r="AY15" s="411">
        <f>'Micro_30 (indiv)'!AY16</f>
        <v>-2.3000000000000017E-2</v>
      </c>
      <c r="AZ15" s="411">
        <f>'Micro_30 (indiv)'!AZ16</f>
        <v>-2.3500000000000017E-2</v>
      </c>
      <c r="BA15" s="411">
        <f>'Micro_30 (indiv)'!BA16</f>
        <v>-2.4000000000000018E-2</v>
      </c>
      <c r="BB15" s="411">
        <f>'Micro_30 (indiv)'!BB16</f>
        <v>-2.4500000000000018E-2</v>
      </c>
      <c r="BC15" s="410">
        <f>'Micro_30 (indiv)'!BC16</f>
        <v>0</v>
      </c>
      <c r="BD15" s="411">
        <f>'Micro_30 (indiv)'!BD16</f>
        <v>-2.5000000000000019E-2</v>
      </c>
      <c r="BE15" s="411">
        <f>'Micro_30 (indiv)'!BE16</f>
        <v>-2.5500000000000019E-2</v>
      </c>
      <c r="BF15" s="411">
        <f>'Micro_30 (indiv)'!BF16</f>
        <v>-2.600000000000002E-2</v>
      </c>
      <c r="BG15" s="411">
        <f>'Micro_30 (indiv)'!BG16</f>
        <v>-2.650000000000002E-2</v>
      </c>
      <c r="BH15" s="411">
        <f>'Micro_30 (indiv)'!BH16</f>
        <v>-2.7000000000000021E-2</v>
      </c>
      <c r="BI15" s="411">
        <f>'Micro_30 (indiv)'!BI16</f>
        <v>-2.7500000000000021E-2</v>
      </c>
      <c r="BJ15" s="411">
        <f>'Micro_30 (indiv)'!BJ16</f>
        <v>-2.8000000000000021E-2</v>
      </c>
      <c r="BK15" s="411">
        <f>'Micro_30 (indiv)'!BK16</f>
        <v>-2.8500000000000022E-2</v>
      </c>
      <c r="BL15" s="411">
        <f>'Micro_30 (indiv)'!BL16</f>
        <v>-2.9000000000000022E-2</v>
      </c>
      <c r="BM15" s="411">
        <f>'Micro_30 (indiv)'!BM16</f>
        <v>-2.9500000000000023E-2</v>
      </c>
      <c r="BN15" s="411">
        <f>'Micro_30 (indiv)'!BN16</f>
        <v>-3.0000000000000023E-2</v>
      </c>
      <c r="BO15" s="411">
        <f>'Micro_30 (indiv)'!BO16</f>
        <v>-3.0500000000000024E-2</v>
      </c>
      <c r="BP15" s="410">
        <f>'Micro_30 (indiv)'!BP16</f>
        <v>0</v>
      </c>
      <c r="CE15" s="76" t="s">
        <v>958</v>
      </c>
      <c r="CF15" s="285" t="s">
        <v>231</v>
      </c>
    </row>
    <row r="16" spans="1:84" s="3" customFormat="1" outlineLevel="1">
      <c r="A16" s="3" t="s">
        <v>657</v>
      </c>
      <c r="B16" s="13" t="s">
        <v>496</v>
      </c>
      <c r="C16" s="12"/>
      <c r="D16" s="3">
        <f t="shared" ref="D16:AI16" si="15">C17*D15</f>
        <v>0</v>
      </c>
      <c r="E16" s="3">
        <f t="shared" si="15"/>
        <v>0</v>
      </c>
      <c r="F16" s="3">
        <f t="shared" si="15"/>
        <v>0</v>
      </c>
      <c r="G16" s="3">
        <f t="shared" si="15"/>
        <v>0</v>
      </c>
      <c r="H16" s="3">
        <f t="shared" si="15"/>
        <v>0</v>
      </c>
      <c r="I16" s="3">
        <f t="shared" si="15"/>
        <v>0</v>
      </c>
      <c r="J16" s="3">
        <f t="shared" si="15"/>
        <v>0</v>
      </c>
      <c r="K16" s="3">
        <f t="shared" si="15"/>
        <v>-38.440464287601579</v>
      </c>
      <c r="L16" s="3">
        <f t="shared" si="15"/>
        <v>-87.078670745113939</v>
      </c>
      <c r="M16" s="3">
        <f t="shared" si="15"/>
        <v>-146.35515682240239</v>
      </c>
      <c r="N16" s="3">
        <f t="shared" si="15"/>
        <v>-216.68742126029323</v>
      </c>
      <c r="O16" s="3">
        <f t="shared" si="15"/>
        <v>-298.46897249855778</v>
      </c>
      <c r="P16" s="397">
        <f t="shared" si="15"/>
        <v>0</v>
      </c>
      <c r="Q16" s="3">
        <f t="shared" si="15"/>
        <v>-389.13223657107841</v>
      </c>
      <c r="R16" s="3">
        <f t="shared" si="15"/>
        <v>-589.71280504567244</v>
      </c>
      <c r="S16" s="3">
        <f t="shared" si="15"/>
        <v>-822.67591074128211</v>
      </c>
      <c r="T16" s="3">
        <f t="shared" si="15"/>
        <v>-1089.4983926024813</v>
      </c>
      <c r="U16" s="3">
        <f t="shared" si="15"/>
        <v>-1391.5790329489005</v>
      </c>
      <c r="V16" s="3">
        <f t="shared" si="15"/>
        <v>-1730.2356069158031</v>
      </c>
      <c r="W16" s="3">
        <f t="shared" si="15"/>
        <v>-2106.7021955701289</v>
      </c>
      <c r="X16" s="3">
        <f t="shared" si="15"/>
        <v>-2522.1267702603732</v>
      </c>
      <c r="Y16" s="3">
        <f t="shared" si="15"/>
        <v>-2977.5690546208252</v>
      </c>
      <c r="Z16" s="3">
        <f t="shared" si="15"/>
        <v>-3473.9986694919062</v>
      </c>
      <c r="AA16" s="3">
        <f t="shared" si="15"/>
        <v>-4012.2935648446114</v>
      </c>
      <c r="AB16" s="3">
        <f t="shared" si="15"/>
        <v>-4593.2387416142792</v>
      </c>
      <c r="AC16" s="397">
        <f t="shared" si="15"/>
        <v>0</v>
      </c>
      <c r="AD16" s="3">
        <f t="shared" si="15"/>
        <v>-5197.3285641800494</v>
      </c>
      <c r="AE16" s="3">
        <f t="shared" si="15"/>
        <v>-5811.7567317965304</v>
      </c>
      <c r="AF16" s="3">
        <f t="shared" si="15"/>
        <v>-6477.6540371080637</v>
      </c>
      <c r="AG16" s="3">
        <f t="shared" si="15"/>
        <v>-7196.4988001873999</v>
      </c>
      <c r="AH16" s="3">
        <f t="shared" si="15"/>
        <v>-7969.6442280308056</v>
      </c>
      <c r="AI16" s="3">
        <f t="shared" si="15"/>
        <v>-8798.3166580105681</v>
      </c>
      <c r="AJ16" s="3">
        <f t="shared" ref="AJ16:BO16" si="16">AI17*AJ15</f>
        <v>-9683.614204771493</v>
      </c>
      <c r="AK16" s="3">
        <f t="shared" si="16"/>
        <v>-10626.505810062477</v>
      </c>
      <c r="AL16" s="3">
        <f t="shared" si="16"/>
        <v>-11627.830693389114</v>
      </c>
      <c r="AM16" s="3">
        <f t="shared" si="16"/>
        <v>-12688.298199798599</v>
      </c>
      <c r="AN16" s="3">
        <f t="shared" si="16"/>
        <v>-13808.488039571203</v>
      </c>
      <c r="AO16" s="3">
        <f t="shared" si="16"/>
        <v>-14988.850913100843</v>
      </c>
      <c r="AP16" s="397">
        <f t="shared" si="16"/>
        <v>0</v>
      </c>
      <c r="AQ16" s="3">
        <f t="shared" si="16"/>
        <v>-16184.471326735882</v>
      </c>
      <c r="AR16" s="3">
        <f t="shared" si="16"/>
        <v>-17083.486430765886</v>
      </c>
      <c r="AS16" s="3">
        <f t="shared" si="16"/>
        <v>-18036.041626097416</v>
      </c>
      <c r="AT16" s="3">
        <f t="shared" si="16"/>
        <v>-19043.235201691583</v>
      </c>
      <c r="AU16" s="3">
        <f t="shared" si="16"/>
        <v>-20106.035302258715</v>
      </c>
      <c r="AV16" s="3">
        <f t="shared" si="16"/>
        <v>-21225.279980637351</v>
      </c>
      <c r="AW16" s="3">
        <f t="shared" si="16"/>
        <v>-22401.677639453621</v>
      </c>
      <c r="AX16" s="3">
        <f t="shared" si="16"/>
        <v>-23635.807853118949</v>
      </c>
      <c r="AY16" s="3">
        <f t="shared" si="16"/>
        <v>-24928.12255987243</v>
      </c>
      <c r="AZ16" s="3">
        <f t="shared" si="16"/>
        <v>-26278.947612294829</v>
      </c>
      <c r="BA16" s="3">
        <f t="shared" si="16"/>
        <v>-27688.484673518811</v>
      </c>
      <c r="BB16" s="3">
        <f t="shared" si="16"/>
        <v>-29156.813445238939</v>
      </c>
      <c r="BC16" s="397">
        <f t="shared" si="16"/>
        <v>0</v>
      </c>
      <c r="BD16" s="3">
        <f t="shared" si="16"/>
        <v>-30616.838308746886</v>
      </c>
      <c r="BE16" s="3">
        <f t="shared" si="16"/>
        <v>-31627.198281950368</v>
      </c>
      <c r="BF16" s="3">
        <f t="shared" si="16"/>
        <v>-32697.111889668809</v>
      </c>
      <c r="BG16" s="3">
        <f t="shared" si="16"/>
        <v>-33827.53624220092</v>
      </c>
      <c r="BH16" s="3">
        <f t="shared" si="16"/>
        <v>-35019.283500598314</v>
      </c>
      <c r="BI16" s="3">
        <f t="shared" si="16"/>
        <v>-36273.022469994052</v>
      </c>
      <c r="BJ16" s="3">
        <f t="shared" si="16"/>
        <v>-37589.280583165746</v>
      </c>
      <c r="BK16" s="3">
        <f t="shared" si="16"/>
        <v>-38968.446257634852</v>
      </c>
      <c r="BL16" s="3">
        <f t="shared" si="16"/>
        <v>-40410.771608527153</v>
      </c>
      <c r="BM16" s="3">
        <f t="shared" si="16"/>
        <v>-41916.375498449619</v>
      </c>
      <c r="BN16" s="3">
        <f t="shared" si="16"/>
        <v>-43485.246904778149</v>
      </c>
      <c r="BO16" s="3">
        <f t="shared" si="16"/>
        <v>-45117.248584000656</v>
      </c>
      <c r="BP16" s="397">
        <f t="shared" ref="BP16" si="17">BO17*BP15</f>
        <v>0</v>
      </c>
      <c r="CE16" s="3" t="s">
        <v>959</v>
      </c>
      <c r="CF16" s="13" t="s">
        <v>394</v>
      </c>
    </row>
    <row r="17" spans="1:84" s="17" customFormat="1" ht="15.6">
      <c r="A17" s="17" t="s">
        <v>656</v>
      </c>
      <c r="B17" s="13" t="s">
        <v>496</v>
      </c>
      <c r="C17" s="13">
        <v>0</v>
      </c>
      <c r="D17" s="60">
        <f>'Micro_30 (indiv)'!D18</f>
        <v>0</v>
      </c>
      <c r="E17" s="60">
        <f>'Micro_30 (indiv)'!E18</f>
        <v>0</v>
      </c>
      <c r="F17" s="60">
        <f>'Micro_30 (indiv)'!F18</f>
        <v>0</v>
      </c>
      <c r="G17" s="60">
        <f>'Micro_30 (indiv)'!G18</f>
        <v>0</v>
      </c>
      <c r="H17" s="60">
        <f>'Micro_30 (indiv)'!H18</f>
        <v>0</v>
      </c>
      <c r="I17" s="60">
        <f>'Micro_30 (indiv)'!I18</f>
        <v>0</v>
      </c>
      <c r="J17" s="60">
        <f>'Micro_30 (indiv)'!J18</f>
        <v>8542.3253972447947</v>
      </c>
      <c r="K17" s="60">
        <f>'Micro_30 (indiv)'!K18</f>
        <v>17415.734149022785</v>
      </c>
      <c r="L17" s="60">
        <f>'Micro_30 (indiv)'!L18</f>
        <v>26610.028513164067</v>
      </c>
      <c r="M17" s="60">
        <f>'Micro_30 (indiv)'!M18</f>
        <v>36114.570210048863</v>
      </c>
      <c r="N17" s="60">
        <f>'Micro_30 (indiv)'!N18</f>
        <v>45918.303461316566</v>
      </c>
      <c r="O17" s="60">
        <f>'Micro_30 (indiv)'!O18</f>
        <v>55590.31951015404</v>
      </c>
      <c r="P17" s="372">
        <f>'Micro_30 (indiv)'!P18</f>
        <v>55590.31951015404</v>
      </c>
      <c r="Q17" s="60">
        <f>'Micro_30 (indiv)'!Q18</f>
        <v>78628.374006089623</v>
      </c>
      <c r="R17" s="60">
        <f>'Micro_30 (indiv)'!R18</f>
        <v>102834.48884266021</v>
      </c>
      <c r="S17" s="60">
        <f>'Micro_30 (indiv)'!S18</f>
        <v>128176.28148264479</v>
      </c>
      <c r="T17" s="60">
        <f>'Micro_30 (indiv)'!T18</f>
        <v>154619.89254987775</v>
      </c>
      <c r="U17" s="60">
        <f>'Micro_30 (indiv)'!U18</f>
        <v>182130.06388587391</v>
      </c>
      <c r="V17" s="60">
        <f>'Micro_30 (indiv)'!V18</f>
        <v>210670.21955701275</v>
      </c>
      <c r="W17" s="60">
        <f>'Micro_30 (indiv)'!W18</f>
        <v>240202.54954860685</v>
      </c>
      <c r="X17" s="60">
        <f>'Micro_30 (indiv)'!X18</f>
        <v>270688.09587462031</v>
      </c>
      <c r="Y17" s="60">
        <f>'Micro_30 (indiv)'!Y18</f>
        <v>302086.84082538297</v>
      </c>
      <c r="Z17" s="60">
        <f>'Micro_30 (indiv)'!Z18</f>
        <v>334357.79707038408</v>
      </c>
      <c r="AA17" s="60">
        <f>'Micro_30 (indiv)'!AA18</f>
        <v>367459.09932914213</v>
      </c>
      <c r="AB17" s="60">
        <f>'Micro_30 (indiv)'!AB18</f>
        <v>399794.50493692665</v>
      </c>
      <c r="AC17" s="372">
        <f>AB17</f>
        <v>399794.50493692665</v>
      </c>
      <c r="AD17" s="60">
        <f>'Micro_30 (indiv)'!AD18</f>
        <v>430500.49865159456</v>
      </c>
      <c r="AE17" s="60">
        <f>'Micro_30 (indiv)'!AE18</f>
        <v>462689.57407914713</v>
      </c>
      <c r="AF17" s="60">
        <f>'Micro_30 (indiv)'!AF18</f>
        <v>496310.26208188932</v>
      </c>
      <c r="AG17" s="60">
        <f>'Micro_30 (indiv)'!AG18</f>
        <v>531309.61520205333</v>
      </c>
      <c r="AH17" s="60">
        <f>'Micro_30 (indiv)'!AH18</f>
        <v>567633.33277487499</v>
      </c>
      <c r="AI17" s="60">
        <f>'Micro_30 (indiv)'!AI18</f>
        <v>605225.88779821794</v>
      </c>
      <c r="AJ17" s="60">
        <f>'Micro_30 (indiv)'!AJ18</f>
        <v>644030.65515530121</v>
      </c>
      <c r="AK17" s="60">
        <f>'Micro_30 (indiv)'!AK18</f>
        <v>683990.04078759451</v>
      </c>
      <c r="AL17" s="60">
        <f>'Micro_30 (indiv)'!AL18</f>
        <v>725045.61141706235</v>
      </c>
      <c r="AM17" s="60">
        <f>'Micro_30 (indiv)'!AM18</f>
        <v>767138.22442062187</v>
      </c>
      <c r="AN17" s="60">
        <f>'Micro_30 (indiv)'!AN18</f>
        <v>810208.15746490983</v>
      </c>
      <c r="AO17" s="60">
        <f>'Micro_30 (indiv)'!AO18</f>
        <v>851814.28035451949</v>
      </c>
      <c r="AP17" s="372">
        <f>AO17</f>
        <v>851814.28035451949</v>
      </c>
      <c r="AQ17" s="60">
        <f>'Micro_30 (indiv)'!AQ18</f>
        <v>876076.22721876274</v>
      </c>
      <c r="AR17" s="60">
        <f>'Micro_30 (indiv)'!AR18</f>
        <v>901802.08130487008</v>
      </c>
      <c r="AS17" s="60">
        <f>'Micro_30 (indiv)'!AS18</f>
        <v>928938.30252153997</v>
      </c>
      <c r="AT17" s="60">
        <f>'Micro_30 (indiv)'!AT18</f>
        <v>957430.25248850964</v>
      </c>
      <c r="AU17" s="60">
        <f>'Micro_30 (indiv)'!AU18</f>
        <v>987222.32468080637</v>
      </c>
      <c r="AV17" s="60">
        <f>'Micro_30 (indiv)'!AV18</f>
        <v>1018258.0745206184</v>
      </c>
      <c r="AW17" s="60">
        <f>'Micro_30 (indiv)'!AW18</f>
        <v>1050480.3490275082</v>
      </c>
      <c r="AX17" s="60">
        <f>'Micro_30 (indiv)'!AX18</f>
        <v>1083831.4156466266</v>
      </c>
      <c r="AY17" s="60">
        <f>'Micro_30 (indiv)'!AY18</f>
        <v>1118253.0898848856</v>
      </c>
      <c r="AZ17" s="60">
        <f>'Micro_30 (indiv)'!AZ18</f>
        <v>1153686.8613966163</v>
      </c>
      <c r="BA17" s="60">
        <f>'Micro_30 (indiv)'!BA18</f>
        <v>1190074.0181730171</v>
      </c>
      <c r="BB17" s="60">
        <f>'Micro_30 (indiv)'!BB18</f>
        <v>1224673.5323498745</v>
      </c>
      <c r="BC17" s="372">
        <f>BB17</f>
        <v>1224673.5323498745</v>
      </c>
      <c r="BD17" s="60">
        <f>'Micro_30 (indiv)'!BD18</f>
        <v>1240282.2855666801</v>
      </c>
      <c r="BE17" s="60">
        <f>'Micro_30 (indiv)'!BE18</f>
        <v>1257581.2265257225</v>
      </c>
      <c r="BF17" s="60">
        <f>'Micro_30 (indiv)'!BF18</f>
        <v>1276510.8015924867</v>
      </c>
      <c r="BG17" s="60">
        <f>'Micro_30 (indiv)'!BG18</f>
        <v>1297010.5000221587</v>
      </c>
      <c r="BH17" s="60">
        <f>'Micro_30 (indiv)'!BH18</f>
        <v>1319018.9989088736</v>
      </c>
      <c r="BI17" s="60">
        <f>'Micro_30 (indiv)'!BI18</f>
        <v>1342474.3065416329</v>
      </c>
      <c r="BJ17" s="60">
        <f>'Micro_30 (indiv)'!BJ18</f>
        <v>1367313.9037766606</v>
      </c>
      <c r="BK17" s="60">
        <f>'Micro_30 (indiv)'!BK18</f>
        <v>1393474.8830526595</v>
      </c>
      <c r="BL17" s="60">
        <f>'Micro_30 (indiv)'!BL18</f>
        <v>1420894.0846932062</v>
      </c>
      <c r="BM17" s="60">
        <f>'Micro_30 (indiv)'!BM18</f>
        <v>1449508.2301592706</v>
      </c>
      <c r="BN17" s="60">
        <f>'Micro_30 (indiv)'!BN18</f>
        <v>1479254.0519344467</v>
      </c>
      <c r="BO17" s="60">
        <f>'Micro_30 (indiv)'!BO18</f>
        <v>1507002.9331499357</v>
      </c>
      <c r="BP17" s="372">
        <f>BO17</f>
        <v>1507002.9331499357</v>
      </c>
      <c r="CE17" s="17" t="s">
        <v>960</v>
      </c>
      <c r="CF17" s="13" t="s">
        <v>394</v>
      </c>
    </row>
    <row r="18" spans="1:84">
      <c r="A18" s="404" t="s">
        <v>653</v>
      </c>
      <c r="B18" s="13" t="s">
        <v>496</v>
      </c>
      <c r="C18" s="13">
        <v>0</v>
      </c>
      <c r="D18" s="3">
        <f t="shared" ref="D18:AI18" si="18">D17-D19-D20</f>
        <v>0</v>
      </c>
      <c r="E18" s="3">
        <f t="shared" si="18"/>
        <v>0</v>
      </c>
      <c r="F18" s="3">
        <f t="shared" si="18"/>
        <v>0</v>
      </c>
      <c r="G18" s="3">
        <f t="shared" si="18"/>
        <v>0</v>
      </c>
      <c r="H18" s="3">
        <f t="shared" si="18"/>
        <v>0</v>
      </c>
      <c r="I18" s="3">
        <f t="shared" si="18"/>
        <v>0</v>
      </c>
      <c r="J18" s="3">
        <f t="shared" si="18"/>
        <v>8542.3253972447947</v>
      </c>
      <c r="K18" s="3">
        <f t="shared" si="18"/>
        <v>17415.734149022785</v>
      </c>
      <c r="L18" s="3">
        <f t="shared" si="18"/>
        <v>25611.315489324068</v>
      </c>
      <c r="M18" s="3">
        <f t="shared" si="18"/>
        <v>34064.291217870385</v>
      </c>
      <c r="N18" s="3">
        <f t="shared" si="18"/>
        <v>42764.921386991955</v>
      </c>
      <c r="O18" s="3">
        <f t="shared" si="18"/>
        <v>51342.02966321334</v>
      </c>
      <c r="P18" s="397">
        <f t="shared" si="18"/>
        <v>51342.02966321334</v>
      </c>
      <c r="Q18" s="3">
        <f t="shared" si="18"/>
        <v>67011.763219917513</v>
      </c>
      <c r="R18" s="3">
        <f t="shared" si="18"/>
        <v>83474.741276873989</v>
      </c>
      <c r="S18" s="3">
        <f t="shared" si="18"/>
        <v>100708.94814452405</v>
      </c>
      <c r="T18" s="3">
        <f t="shared" si="18"/>
        <v>118691.36539991984</v>
      </c>
      <c r="U18" s="3">
        <f t="shared" si="18"/>
        <v>137398.02494270401</v>
      </c>
      <c r="V18" s="3">
        <f t="shared" si="18"/>
        <v>156804.06405389099</v>
      </c>
      <c r="W18" s="3">
        <f t="shared" si="18"/>
        <v>173553.35783749976</v>
      </c>
      <c r="X18" s="3">
        <f t="shared" si="18"/>
        <v>190840.75305699615</v>
      </c>
      <c r="Y18" s="3">
        <f t="shared" si="18"/>
        <v>208643.58130280173</v>
      </c>
      <c r="Z18" s="3">
        <f t="shared" si="18"/>
        <v>226938.62769989439</v>
      </c>
      <c r="AA18" s="3">
        <f t="shared" si="18"/>
        <v>245702.18280221298</v>
      </c>
      <c r="AB18" s="3">
        <f t="shared" si="18"/>
        <v>264010.64698262676</v>
      </c>
      <c r="AC18" s="397">
        <f t="shared" si="18"/>
        <v>264010.64698262676</v>
      </c>
      <c r="AD18" s="3">
        <f t="shared" si="18"/>
        <v>281364.64252276457</v>
      </c>
      <c r="AE18" s="3">
        <f t="shared" si="18"/>
        <v>299566.70162517251</v>
      </c>
      <c r="AF18" s="3">
        <f t="shared" si="18"/>
        <v>318587.59740443859</v>
      </c>
      <c r="AG18" s="3">
        <f t="shared" si="18"/>
        <v>338397.25466964621</v>
      </c>
      <c r="AH18" s="3">
        <f t="shared" si="18"/>
        <v>358964.82110272656</v>
      </c>
      <c r="AI18" s="3">
        <f t="shared" si="18"/>
        <v>380258.73945431266</v>
      </c>
      <c r="AJ18" s="3">
        <f t="shared" ref="AJ18:BO18" si="19">AJ17-AJ19-AJ20</f>
        <v>402246.82052727538</v>
      </c>
      <c r="AK18" s="3">
        <f t="shared" si="19"/>
        <v>424896.31671836029</v>
      </c>
      <c r="AL18" s="3">
        <f t="shared" si="19"/>
        <v>448173.9958894864</v>
      </c>
      <c r="AM18" s="3">
        <f t="shared" si="19"/>
        <v>472046.21534231195</v>
      </c>
      <c r="AN18" s="3">
        <f t="shared" si="19"/>
        <v>496478.99567259505</v>
      </c>
      <c r="AO18" s="3">
        <f t="shared" si="19"/>
        <v>520059.64540158969</v>
      </c>
      <c r="AP18" s="397">
        <f t="shared" si="19"/>
        <v>520059.64540158969</v>
      </c>
      <c r="AQ18" s="3">
        <f t="shared" si="19"/>
        <v>533594.85951268428</v>
      </c>
      <c r="AR18" s="3">
        <f t="shared" si="19"/>
        <v>547974.11478827149</v>
      </c>
      <c r="AS18" s="3">
        <f t="shared" si="19"/>
        <v>563166.99519095011</v>
      </c>
      <c r="AT18" s="3">
        <f t="shared" si="19"/>
        <v>579142.44215033948</v>
      </c>
      <c r="AU18" s="3">
        <f t="shared" si="19"/>
        <v>595868.82888834609</v>
      </c>
      <c r="AV18" s="3">
        <f t="shared" si="19"/>
        <v>613314.03475276986</v>
      </c>
      <c r="AW18" s="3">
        <f t="shared" si="19"/>
        <v>631445.51933609205</v>
      </c>
      <c r="AX18" s="3">
        <f t="shared" si="19"/>
        <v>650230.39616127266</v>
      </c>
      <c r="AY18" s="3">
        <f t="shared" si="19"/>
        <v>669635.50572216569</v>
      </c>
      <c r="AZ18" s="3">
        <f t="shared" si="19"/>
        <v>689627.48767265689</v>
      </c>
      <c r="BA18" s="3">
        <f t="shared" si="19"/>
        <v>710172.85196583497</v>
      </c>
      <c r="BB18" s="3">
        <f t="shared" si="19"/>
        <v>729685.17518967518</v>
      </c>
      <c r="BC18" s="397">
        <f t="shared" si="19"/>
        <v>729685.17518967518</v>
      </c>
      <c r="BD18" s="3">
        <f t="shared" si="19"/>
        <v>738205.23037735838</v>
      </c>
      <c r="BE18" s="3">
        <f t="shared" si="19"/>
        <v>747706.65656331065</v>
      </c>
      <c r="BF18" s="3">
        <f t="shared" si="19"/>
        <v>758155.41804638901</v>
      </c>
      <c r="BG18" s="3">
        <f t="shared" si="19"/>
        <v>769516.90901503339</v>
      </c>
      <c r="BH18" s="3">
        <f t="shared" si="19"/>
        <v>781756.03701165097</v>
      </c>
      <c r="BI18" s="3">
        <f t="shared" si="19"/>
        <v>794837.30552700337</v>
      </c>
      <c r="BJ18" s="3">
        <f t="shared" si="19"/>
        <v>808724.89549856982</v>
      </c>
      <c r="BK18" s="3">
        <f t="shared" si="19"/>
        <v>823382.74549633276</v>
      </c>
      <c r="BL18" s="3">
        <f t="shared" si="19"/>
        <v>838774.63038956095</v>
      </c>
      <c r="BM18" s="3">
        <f t="shared" si="19"/>
        <v>854864.23829884012</v>
      </c>
      <c r="BN18" s="3">
        <f t="shared" si="19"/>
        <v>871615.24564879574</v>
      </c>
      <c r="BO18" s="3">
        <f t="shared" si="19"/>
        <v>887216.63475094887</v>
      </c>
      <c r="BP18" s="397">
        <f t="shared" ref="BP18" si="20">BP17-BP19-BP20</f>
        <v>887216.63475094887</v>
      </c>
      <c r="CE18" s="404" t="s">
        <v>961</v>
      </c>
      <c r="CF18" s="13" t="s">
        <v>394</v>
      </c>
    </row>
    <row r="19" spans="1:84">
      <c r="A19" s="404" t="s">
        <v>652</v>
      </c>
      <c r="B19" s="13" t="s">
        <v>496</v>
      </c>
      <c r="C19" s="13">
        <v>0</v>
      </c>
      <c r="D19" s="3">
        <f>'Installment card_150 (indiv)'!D18</f>
        <v>0</v>
      </c>
      <c r="E19" s="3">
        <f>'Installment card_150 (indiv)'!E18</f>
        <v>0</v>
      </c>
      <c r="F19" s="3">
        <f>'Installment card_150 (indiv)'!F18</f>
        <v>0</v>
      </c>
      <c r="G19" s="3">
        <f>'Installment card_150 (indiv)'!G18</f>
        <v>0</v>
      </c>
      <c r="H19" s="3">
        <f>'Installment card_150 (indiv)'!H18</f>
        <v>0</v>
      </c>
      <c r="I19" s="3">
        <f>'Installment card_150 (indiv)'!I18</f>
        <v>0</v>
      </c>
      <c r="J19" s="3">
        <f>'Installment card_150 (indiv)'!J18</f>
        <v>0</v>
      </c>
      <c r="K19" s="3">
        <f>'Installment card_150 (indiv)'!K18</f>
        <v>0</v>
      </c>
      <c r="L19" s="3">
        <f>'Installment card_150 (indiv)'!L18</f>
        <v>998.71302383999989</v>
      </c>
      <c r="M19" s="3">
        <f>'Installment card_150 (indiv)'!M18</f>
        <v>2050.2789921784797</v>
      </c>
      <c r="N19" s="3">
        <f>'Installment card_150 (indiv)'!N18</f>
        <v>3153.3820743246088</v>
      </c>
      <c r="O19" s="3">
        <f>'Installment card_150 (indiv)'!O18</f>
        <v>4248.2898469406991</v>
      </c>
      <c r="P19" s="397">
        <f>'Installment card_150 (indiv)'!P18</f>
        <v>4248.2898469406991</v>
      </c>
      <c r="Q19" s="3">
        <f>'Installment card_150 (indiv)'!Q18</f>
        <v>11616.610786172114</v>
      </c>
      <c r="R19" s="3">
        <f>'Installment card_150 (indiv)'!R18</f>
        <v>19359.747565786223</v>
      </c>
      <c r="S19" s="3">
        <f>'Installment card_150 (indiv)'!S18</f>
        <v>27467.333338120734</v>
      </c>
      <c r="T19" s="3">
        <f>'Installment card_150 (indiv)'!T18</f>
        <v>35928.52714995791</v>
      </c>
      <c r="U19" s="3">
        <f>'Installment card_150 (indiv)'!U18</f>
        <v>44732.038943169886</v>
      </c>
      <c r="V19" s="3">
        <f>'Installment card_150 (indiv)'!V18</f>
        <v>53866.155503121772</v>
      </c>
      <c r="W19" s="3">
        <f>'Installment card_150 (indiv)'!W18</f>
        <v>63318.767270352946</v>
      </c>
      <c r="X19" s="3">
        <f>'Installment card_150 (indiv)'!X18</f>
        <v>73077.395928627026</v>
      </c>
      <c r="Y19" s="3">
        <f>'Installment card_150 (indiv)'!Y18</f>
        <v>83129.222680375329</v>
      </c>
      <c r="Z19" s="3">
        <f>'Installment card_150 (indiv)'!Z18</f>
        <v>93461.117118864611</v>
      </c>
      <c r="AA19" s="3">
        <f>'Installment card_150 (indiv)'!AA18</f>
        <v>104059.66660510223</v>
      </c>
      <c r="AB19" s="3">
        <f>'Installment card_150 (indiv)'!AB18</f>
        <v>114420.59793550649</v>
      </c>
      <c r="AC19" s="397">
        <f>'Installment card_150 (indiv)'!AC18</f>
        <v>114420.59793550649</v>
      </c>
      <c r="AD19" s="3">
        <f>'Installment card_150 (indiv)'!AD18</f>
        <v>124271.0214082969</v>
      </c>
      <c r="AE19" s="3">
        <f>'Installment card_150 (indiv)'!AE18</f>
        <v>134593.62540644777</v>
      </c>
      <c r="AF19" s="3">
        <f>'Installment card_150 (indiv)'!AF18</f>
        <v>145371.94897913127</v>
      </c>
      <c r="AG19" s="3">
        <f>'Installment card_150 (indiv)'!AG18</f>
        <v>156589.0615885185</v>
      </c>
      <c r="AH19" s="3">
        <f>'Installment card_150 (indiv)'!AH18</f>
        <v>168227.60307548623</v>
      </c>
      <c r="AI19" s="3">
        <f>'Installment card_150 (indiv)'!AI18</f>
        <v>180269.82417982258</v>
      </c>
      <c r="AJ19" s="3">
        <f>'Installment card_150 (indiv)'!AJ18</f>
        <v>192697.6274861627</v>
      </c>
      <c r="AK19" s="3">
        <f>'Installment card_150 (indiv)'!AK18</f>
        <v>205492.60866706914</v>
      </c>
      <c r="AL19" s="3">
        <f>'Installment card_150 (indiv)'!AL18</f>
        <v>218636.097895368</v>
      </c>
      <c r="AM19" s="3">
        <f>'Installment card_150 (indiv)'!AM18</f>
        <v>232109.20129904899</v>
      </c>
      <c r="AN19" s="3">
        <f>'Installment card_150 (indiv)'!AN18</f>
        <v>245892.84233372691</v>
      </c>
      <c r="AO19" s="3">
        <f>'Installment card_150 (indiv)'!AO18</f>
        <v>259215.92174088259</v>
      </c>
      <c r="AP19" s="397">
        <f>'Installment card_150 (indiv)'!AP18</f>
        <v>259215.92174088259</v>
      </c>
      <c r="AQ19" s="3">
        <f>'Installment card_150 (indiv)'!AQ18</f>
        <v>267063.37234074657</v>
      </c>
      <c r="AR19" s="3">
        <f>'Installment card_150 (indiv)'!AR18</f>
        <v>275374.37569069356</v>
      </c>
      <c r="AS19" s="3">
        <f>'Installment card_150 (indiv)'!AS18</f>
        <v>284131.81328512199</v>
      </c>
      <c r="AT19" s="3">
        <f>'Installment card_150 (indiv)'!AT18</f>
        <v>293318.22221867001</v>
      </c>
      <c r="AU19" s="3">
        <f>'Installment card_150 (indiv)'!AU18</f>
        <v>302915.83665562177</v>
      </c>
      <c r="AV19" s="3">
        <f>'Installment card_150 (indiv)'!AV18</f>
        <v>312906.62926872046</v>
      </c>
      <c r="AW19" s="3">
        <f>'Installment card_150 (indiv)'!AW18</f>
        <v>323272.35252365388</v>
      </c>
      <c r="AX19" s="3">
        <f>'Installment card_150 (indiv)'!AX18</f>
        <v>333994.57968836772</v>
      </c>
      <c r="AY19" s="3">
        <f>'Installment card_150 (indiv)'!AY18</f>
        <v>345054.74544968206</v>
      </c>
      <c r="AZ19" s="3">
        <f>'Installment card_150 (indiv)'!AZ18</f>
        <v>356434.1860234121</v>
      </c>
      <c r="BA19" s="3">
        <f>'Installment card_150 (indiv)'!BA18</f>
        <v>368114.17864829849</v>
      </c>
      <c r="BB19" s="3">
        <f>'Installment card_150 (indiv)'!BB18</f>
        <v>379228.95841523504</v>
      </c>
      <c r="BC19" s="397">
        <f>'Installment card_150 (indiv)'!BC18</f>
        <v>379228.95841523504</v>
      </c>
      <c r="BD19" s="3">
        <f>'Installment card_150 (indiv)'!BD18</f>
        <v>384345.7896734497</v>
      </c>
      <c r="BE19" s="3">
        <f>'Installment card_150 (indiv)'!BE18</f>
        <v>389995.33179709018</v>
      </c>
      <c r="BF19" s="3">
        <f>'Installment card_150 (indiv)'!BF18</f>
        <v>396158.61747239722</v>
      </c>
      <c r="BG19" s="3">
        <f>'Installment card_150 (indiv)'!BG18</f>
        <v>402816.38295312808</v>
      </c>
      <c r="BH19" s="3">
        <f>'Installment card_150 (indiv)'!BH18</f>
        <v>409949.11399886094</v>
      </c>
      <c r="BI19" s="3">
        <f>'Installment card_150 (indiv)'!BI18</f>
        <v>417537.09129107755</v>
      </c>
      <c r="BJ19" s="3">
        <f>'Installment card_150 (indiv)'!BJ18</f>
        <v>425560.4352038306</v>
      </c>
      <c r="BK19" s="3">
        <f>'Installment card_150 (indiv)'!BK18</f>
        <v>433999.14981114253</v>
      </c>
      <c r="BL19" s="3">
        <f>'Installment card_150 (indiv)'!BL18</f>
        <v>442833.16601895849</v>
      </c>
      <c r="BM19" s="3">
        <f>'Installment card_150 (indiv)'!BM18</f>
        <v>452042.38371545624</v>
      </c>
      <c r="BN19" s="3">
        <f>'Installment card_150 (indiv)'!BN18</f>
        <v>461606.71283976757</v>
      </c>
      <c r="BO19" s="3">
        <f>'Installment card_150 (indiv)'!BO18</f>
        <v>470538.0648769408</v>
      </c>
      <c r="BP19" s="397">
        <f>'Installment card_150 (indiv)'!BP18</f>
        <v>470538.0648769408</v>
      </c>
      <c r="CE19" s="404" t="s">
        <v>962</v>
      </c>
      <c r="CF19" s="13" t="s">
        <v>394</v>
      </c>
    </row>
    <row r="20" spans="1:84">
      <c r="A20" s="404" t="s">
        <v>651</v>
      </c>
      <c r="B20" s="13" t="s">
        <v>496</v>
      </c>
      <c r="C20" s="13">
        <v>0</v>
      </c>
      <c r="D20" s="3">
        <f>'Installment card_1000 (indiv)'!D18</f>
        <v>0</v>
      </c>
      <c r="E20" s="3">
        <f>'Installment card_1000 (indiv)'!E18</f>
        <v>0</v>
      </c>
      <c r="F20" s="3">
        <f>'Installment card_1000 (indiv)'!F18</f>
        <v>0</v>
      </c>
      <c r="G20" s="3">
        <f>'Installment card_1000 (indiv)'!G18</f>
        <v>0</v>
      </c>
      <c r="H20" s="3">
        <f>'Installment card_1000 (indiv)'!H18</f>
        <v>0</v>
      </c>
      <c r="I20" s="3">
        <f>'Installment card_1000 (indiv)'!I18</f>
        <v>0</v>
      </c>
      <c r="J20" s="3">
        <f>'Installment card_1000 (indiv)'!J18</f>
        <v>0</v>
      </c>
      <c r="K20" s="3">
        <f>'Installment card_1000 (indiv)'!K18</f>
        <v>0</v>
      </c>
      <c r="L20" s="3">
        <f>'Installment card_1000 (indiv)'!L18</f>
        <v>0</v>
      </c>
      <c r="M20" s="3">
        <f>'Installment card_1000 (indiv)'!M18</f>
        <v>0</v>
      </c>
      <c r="N20" s="3">
        <f>'Installment card_1000 (indiv)'!N18</f>
        <v>0</v>
      </c>
      <c r="O20" s="3">
        <f>'Installment card_1000 (indiv)'!O18</f>
        <v>0</v>
      </c>
      <c r="P20" s="397">
        <f>'Installment card_1000 (indiv)'!P18</f>
        <v>0</v>
      </c>
      <c r="Q20" s="3">
        <f>'Installment card_1000 (indiv)'!Q18</f>
        <v>0</v>
      </c>
      <c r="R20" s="3">
        <f>'Installment card_1000 (indiv)'!R18</f>
        <v>0</v>
      </c>
      <c r="S20" s="3">
        <f>'Installment card_1000 (indiv)'!S18</f>
        <v>0</v>
      </c>
      <c r="T20" s="3">
        <f>'Installment card_1000 (indiv)'!T18</f>
        <v>0</v>
      </c>
      <c r="U20" s="3">
        <f>'Installment card_1000 (indiv)'!U18</f>
        <v>0</v>
      </c>
      <c r="V20" s="3">
        <f>'Installment card_1000 (indiv)'!V18</f>
        <v>0</v>
      </c>
      <c r="W20" s="3">
        <f>'Installment card_1000 (indiv)'!W18</f>
        <v>3330.4244407541319</v>
      </c>
      <c r="X20" s="3">
        <f>'Installment card_1000 (indiv)'!X18</f>
        <v>6769.9468889971449</v>
      </c>
      <c r="Y20" s="3">
        <f>'Installment card_1000 (indiv)'!Y18</f>
        <v>10314.036842205907</v>
      </c>
      <c r="Z20" s="3">
        <f>'Installment card_1000 (indiv)'!Z18</f>
        <v>13958.052251625071</v>
      </c>
      <c r="AA20" s="3">
        <f>'Installment card_1000 (indiv)'!AA18</f>
        <v>17697.249921826904</v>
      </c>
      <c r="AB20" s="3">
        <f>'Installment card_1000 (indiv)'!AB18</f>
        <v>21363.260018793415</v>
      </c>
      <c r="AC20" s="397">
        <f>'Installment card_1000 (indiv)'!AC18</f>
        <v>21363.260018793415</v>
      </c>
      <c r="AD20" s="3">
        <f>'Installment card_1000 (indiv)'!AD18</f>
        <v>24864.834720533097</v>
      </c>
      <c r="AE20" s="3">
        <f>'Installment card_1000 (indiv)'!AE18</f>
        <v>28529.24704752686</v>
      </c>
      <c r="AF20" s="3">
        <f>'Installment card_1000 (indiv)'!AF18</f>
        <v>32350.715698319404</v>
      </c>
      <c r="AG20" s="3">
        <f>'Installment card_1000 (indiv)'!AG18</f>
        <v>36323.298943888651</v>
      </c>
      <c r="AH20" s="3">
        <f>'Installment card_1000 (indiv)'!AH18</f>
        <v>40440.908596662157</v>
      </c>
      <c r="AI20" s="3">
        <f>'Installment card_1000 (indiv)'!AI18</f>
        <v>44697.324164082689</v>
      </c>
      <c r="AJ20" s="3">
        <f>'Installment card_1000 (indiv)'!AJ18</f>
        <v>49086.207141863124</v>
      </c>
      <c r="AK20" s="3">
        <f>'Installment card_1000 (indiv)'!AK18</f>
        <v>53601.115402165102</v>
      </c>
      <c r="AL20" s="3">
        <f>'Installment card_1000 (indiv)'!AL18</f>
        <v>58235.517632207971</v>
      </c>
      <c r="AM20" s="3">
        <f>'Installment card_1000 (indiv)'!AM18</f>
        <v>62982.807779260969</v>
      </c>
      <c r="AN20" s="3">
        <f>'Installment card_1000 (indiv)'!AN18</f>
        <v>67836.319458587866</v>
      </c>
      <c r="AO20" s="3">
        <f>'Installment card_1000 (indiv)'!AO18</f>
        <v>72538.713212047223</v>
      </c>
      <c r="AP20" s="397">
        <f>'Installment card_1000 (indiv)'!AP18</f>
        <v>72538.713212047223</v>
      </c>
      <c r="AQ20" s="3">
        <f>'Installment card_1000 (indiv)'!AQ18</f>
        <v>75417.995365331924</v>
      </c>
      <c r="AR20" s="3">
        <f>'Installment card_1000 (indiv)'!AR18</f>
        <v>78453.590825905136</v>
      </c>
      <c r="AS20" s="3">
        <f>'Installment card_1000 (indiv)'!AS18</f>
        <v>81639.4940454678</v>
      </c>
      <c r="AT20" s="3">
        <f>'Installment card_1000 (indiv)'!AT18</f>
        <v>84969.588119500055</v>
      </c>
      <c r="AU20" s="3">
        <f>'Installment card_1000 (indiv)'!AU18</f>
        <v>88437.659136838498</v>
      </c>
      <c r="AV20" s="3">
        <f>'Installment card_1000 (indiv)'!AV18</f>
        <v>92037.410499127989</v>
      </c>
      <c r="AW20" s="3">
        <f>'Installment card_1000 (indiv)'!AW18</f>
        <v>95762.477167762278</v>
      </c>
      <c r="AX20" s="3">
        <f>'Installment card_1000 (indiv)'!AX18</f>
        <v>99606.439796986306</v>
      </c>
      <c r="AY20" s="3">
        <f>'Installment card_1000 (indiv)'!AY18</f>
        <v>103562.83871303788</v>
      </c>
      <c r="AZ20" s="3">
        <f>'Installment card_1000 (indiv)'!AZ18</f>
        <v>107625.18770054735</v>
      </c>
      <c r="BA20" s="3">
        <f>'Installment card_1000 (indiv)'!BA18</f>
        <v>111786.98755888364</v>
      </c>
      <c r="BB20" s="3">
        <f>'Installment card_1000 (indiv)'!BB18</f>
        <v>115759.39874496429</v>
      </c>
      <c r="BC20" s="397">
        <f>'Installment card_1000 (indiv)'!BC18</f>
        <v>115759.39874496429</v>
      </c>
      <c r="BD20" s="3">
        <f>'Installment card_1000 (indiv)'!BD18</f>
        <v>117731.26551587202</v>
      </c>
      <c r="BE20" s="3">
        <f>'Installment card_1000 (indiv)'!BE18</f>
        <v>119879.23816532177</v>
      </c>
      <c r="BF20" s="3">
        <f>'Installment card_1000 (indiv)'!BF18</f>
        <v>122196.76607370055</v>
      </c>
      <c r="BG20" s="3">
        <f>'Installment card_1000 (indiv)'!BG18</f>
        <v>124677.20805399727</v>
      </c>
      <c r="BH20" s="3">
        <f>'Installment card_1000 (indiv)'!BH18</f>
        <v>127313.84789836177</v>
      </c>
      <c r="BI20" s="3">
        <f>'Installment card_1000 (indiv)'!BI18</f>
        <v>130099.90972355191</v>
      </c>
      <c r="BJ20" s="3">
        <f>'Installment card_1000 (indiv)'!BJ18</f>
        <v>133028.57307426017</v>
      </c>
      <c r="BK20" s="3">
        <f>'Installment card_1000 (indiv)'!BK18</f>
        <v>136092.98774518413</v>
      </c>
      <c r="BL20" s="3">
        <f>'Installment card_1000 (indiv)'!BL18</f>
        <v>139286.28828468683</v>
      </c>
      <c r="BM20" s="3">
        <f>'Installment card_1000 (indiv)'!BM18</f>
        <v>142601.60814497425</v>
      </c>
      <c r="BN20" s="3">
        <f>'Installment card_1000 (indiv)'!BN18</f>
        <v>146032.09344588337</v>
      </c>
      <c r="BO20" s="3">
        <f>'Installment card_1000 (indiv)'!BO18</f>
        <v>149248.23352204598</v>
      </c>
      <c r="BP20" s="397">
        <f>'Installment card_1000 (indiv)'!BP18</f>
        <v>149248.23352204598</v>
      </c>
      <c r="CE20" s="404" t="s">
        <v>963</v>
      </c>
      <c r="CF20" s="13" t="s">
        <v>394</v>
      </c>
    </row>
    <row r="21" spans="1:84">
      <c r="A21" s="4" t="s">
        <v>654</v>
      </c>
      <c r="P21" s="349"/>
      <c r="AC21" s="349"/>
      <c r="AP21" s="349"/>
      <c r="BC21" s="349"/>
      <c r="BP21" s="349"/>
      <c r="CE21" s="4" t="s">
        <v>964</v>
      </c>
    </row>
    <row r="22" spans="1:84" s="405" customFormat="1">
      <c r="A22" s="409" t="s">
        <v>653</v>
      </c>
      <c r="B22" s="408" t="s">
        <v>231</v>
      </c>
      <c r="C22" s="408"/>
      <c r="D22" s="407"/>
      <c r="E22" s="407"/>
      <c r="F22" s="407"/>
      <c r="G22" s="407"/>
      <c r="H22" s="407"/>
      <c r="I22" s="407"/>
      <c r="J22" s="407">
        <f t="shared" ref="J22:AI22" si="21">J18/J17</f>
        <v>1</v>
      </c>
      <c r="K22" s="407">
        <f t="shared" si="21"/>
        <v>1</v>
      </c>
      <c r="L22" s="407">
        <f t="shared" si="21"/>
        <v>0.96246854739949139</v>
      </c>
      <c r="M22" s="407">
        <f t="shared" si="21"/>
        <v>0.94322848146181204</v>
      </c>
      <c r="N22" s="407">
        <f t="shared" si="21"/>
        <v>0.93132625039204364</v>
      </c>
      <c r="O22" s="407">
        <f t="shared" si="21"/>
        <v>0.923578603534295</v>
      </c>
      <c r="P22" s="406">
        <f t="shared" si="21"/>
        <v>0.923578603534295</v>
      </c>
      <c r="Q22" s="407">
        <f t="shared" si="21"/>
        <v>0.85225930291687801</v>
      </c>
      <c r="R22" s="407">
        <f t="shared" si="21"/>
        <v>0.81173876795938371</v>
      </c>
      <c r="S22" s="407">
        <f t="shared" si="21"/>
        <v>0.78570658299336105</v>
      </c>
      <c r="T22" s="407">
        <f t="shared" si="21"/>
        <v>0.76763321615704794</v>
      </c>
      <c r="U22" s="407">
        <f t="shared" si="21"/>
        <v>0.75439508454134274</v>
      </c>
      <c r="V22" s="407">
        <f t="shared" si="21"/>
        <v>0.74431053607677</v>
      </c>
      <c r="W22" s="407">
        <f t="shared" si="21"/>
        <v>0.72252920780251706</v>
      </c>
      <c r="X22" s="407">
        <f t="shared" si="21"/>
        <v>0.70502085597953834</v>
      </c>
      <c r="Y22" s="407">
        <f t="shared" si="21"/>
        <v>0.69067418075124032</v>
      </c>
      <c r="Z22" s="407">
        <f t="shared" si="21"/>
        <v>0.67872988064974782</v>
      </c>
      <c r="AA22" s="407">
        <f t="shared" si="21"/>
        <v>0.66865178533007696</v>
      </c>
      <c r="AB22" s="407">
        <f t="shared" si="21"/>
        <v>0.66036587227300247</v>
      </c>
      <c r="AC22" s="406">
        <f t="shared" si="21"/>
        <v>0.66036587227300247</v>
      </c>
      <c r="AD22" s="407">
        <f t="shared" si="21"/>
        <v>0.65357564835360127</v>
      </c>
      <c r="AE22" s="407">
        <f t="shared" si="21"/>
        <v>0.64744640555468624</v>
      </c>
      <c r="AF22" s="407">
        <f t="shared" si="21"/>
        <v>0.6419121701575311</v>
      </c>
      <c r="AG22" s="407">
        <f t="shared" si="21"/>
        <v>0.63691159539989894</v>
      </c>
      <c r="AH22" s="407">
        <f t="shared" si="21"/>
        <v>0.63238855151075679</v>
      </c>
      <c r="AI22" s="407">
        <f t="shared" si="21"/>
        <v>0.62829225768526731</v>
      </c>
      <c r="AJ22" s="407">
        <f t="shared" ref="AJ22:BP22" si="22">AJ18/AJ17</f>
        <v>0.62457713356870848</v>
      </c>
      <c r="AK22" s="407">
        <f t="shared" si="22"/>
        <v>0.62120249035951547</v>
      </c>
      <c r="AL22" s="407">
        <f t="shared" si="22"/>
        <v>0.61813214069878253</v>
      </c>
      <c r="AM22" s="407">
        <f t="shared" si="22"/>
        <v>0.61533397804394763</v>
      </c>
      <c r="AN22" s="407">
        <f t="shared" si="22"/>
        <v>0.61277955683147711</v>
      </c>
      <c r="AO22" s="407">
        <f t="shared" si="22"/>
        <v>0.61053172903504771</v>
      </c>
      <c r="AP22" s="406">
        <f t="shared" si="22"/>
        <v>0.61053172903504771</v>
      </c>
      <c r="AQ22" s="407">
        <f t="shared" si="22"/>
        <v>0.60907355197465218</v>
      </c>
      <c r="AR22" s="407">
        <f t="shared" si="22"/>
        <v>0.60764343545911514</v>
      </c>
      <c r="AS22" s="407">
        <f t="shared" si="22"/>
        <v>0.60624800771189169</v>
      </c>
      <c r="AT22" s="407">
        <f t="shared" si="22"/>
        <v>0.6048925659546045</v>
      </c>
      <c r="AU22" s="407">
        <f t="shared" si="22"/>
        <v>0.60358119340646532</v>
      </c>
      <c r="AV22" s="407">
        <f t="shared" si="22"/>
        <v>0.60231688812436812</v>
      </c>
      <c r="AW22" s="407">
        <f t="shared" si="22"/>
        <v>0.60110169592478202</v>
      </c>
      <c r="AX22" s="407">
        <f t="shared" si="22"/>
        <v>0.59993684144442105</v>
      </c>
      <c r="AY22" s="407">
        <f t="shared" si="22"/>
        <v>0.5988228530547578</v>
      </c>
      <c r="AZ22" s="407">
        <f t="shared" si="22"/>
        <v>0.59775967877264025</v>
      </c>
      <c r="BA22" s="407">
        <f t="shared" si="22"/>
        <v>0.59674679147779497</v>
      </c>
      <c r="BB22" s="407">
        <f t="shared" si="22"/>
        <v>0.59582015607830818</v>
      </c>
      <c r="BC22" s="406">
        <f t="shared" si="22"/>
        <v>0.59582015607830818</v>
      </c>
      <c r="BD22" s="407">
        <f t="shared" si="22"/>
        <v>0.59519130359914418</v>
      </c>
      <c r="BE22" s="407">
        <f t="shared" si="22"/>
        <v>0.5945593340550851</v>
      </c>
      <c r="BF22" s="407">
        <f t="shared" si="22"/>
        <v>0.59392793002657451</v>
      </c>
      <c r="BG22" s="407">
        <f t="shared" si="22"/>
        <v>0.59330044668249537</v>
      </c>
      <c r="BH22" s="407">
        <f t="shared" si="22"/>
        <v>0.59267989138772048</v>
      </c>
      <c r="BI22" s="407">
        <f t="shared" si="22"/>
        <v>0.59206891458101352</v>
      </c>
      <c r="BJ22" s="407">
        <f t="shared" si="22"/>
        <v>0.59146981045448976</v>
      </c>
      <c r="BK22" s="407">
        <f t="shared" si="22"/>
        <v>0.59088452580685458</v>
      </c>
      <c r="BL22" s="407">
        <f t="shared" si="22"/>
        <v>0.59031467540430071</v>
      </c>
      <c r="BM22" s="407">
        <f t="shared" si="22"/>
        <v>0.58976156224025611</v>
      </c>
      <c r="BN22" s="407">
        <f t="shared" si="22"/>
        <v>0.58922620121200209</v>
      </c>
      <c r="BO22" s="407">
        <f t="shared" si="22"/>
        <v>0.5887292023357179</v>
      </c>
      <c r="BP22" s="406">
        <f t="shared" si="22"/>
        <v>0.5887292023357179</v>
      </c>
      <c r="CE22" s="409" t="s">
        <v>961</v>
      </c>
      <c r="CF22" s="408" t="s">
        <v>231</v>
      </c>
    </row>
    <row r="23" spans="1:84" s="405" customFormat="1">
      <c r="A23" s="409" t="s">
        <v>652</v>
      </c>
      <c r="B23" s="408" t="s">
        <v>231</v>
      </c>
      <c r="C23" s="408"/>
      <c r="D23" s="407"/>
      <c r="E23" s="407"/>
      <c r="F23" s="407"/>
      <c r="G23" s="407"/>
      <c r="H23" s="407"/>
      <c r="I23" s="407"/>
      <c r="J23" s="407">
        <f t="shared" ref="J23:AI23" si="23">J19/J17</f>
        <v>0</v>
      </c>
      <c r="K23" s="407">
        <f t="shared" si="23"/>
        <v>0</v>
      </c>
      <c r="L23" s="407">
        <f t="shared" si="23"/>
        <v>3.7531452600508615E-2</v>
      </c>
      <c r="M23" s="407">
        <f t="shared" si="23"/>
        <v>5.6771518538187959E-2</v>
      </c>
      <c r="N23" s="407">
        <f t="shared" si="23"/>
        <v>6.8673749607956344E-2</v>
      </c>
      <c r="O23" s="407">
        <f t="shared" si="23"/>
        <v>7.6421396465705033E-2</v>
      </c>
      <c r="P23" s="406">
        <f t="shared" si="23"/>
        <v>7.6421396465705033E-2</v>
      </c>
      <c r="Q23" s="407">
        <f t="shared" si="23"/>
        <v>0.14774069708312204</v>
      </c>
      <c r="R23" s="407">
        <f t="shared" si="23"/>
        <v>0.18826123204061632</v>
      </c>
      <c r="S23" s="407">
        <f t="shared" si="23"/>
        <v>0.21429341700663895</v>
      </c>
      <c r="T23" s="407">
        <f t="shared" si="23"/>
        <v>0.23236678384295201</v>
      </c>
      <c r="U23" s="407">
        <f t="shared" si="23"/>
        <v>0.24560491545865715</v>
      </c>
      <c r="V23" s="407">
        <f t="shared" si="23"/>
        <v>0.25568946392323005</v>
      </c>
      <c r="W23" s="407">
        <f t="shared" si="23"/>
        <v>0.26360572520709197</v>
      </c>
      <c r="X23" s="407">
        <f t="shared" si="23"/>
        <v>0.26996900507392707</v>
      </c>
      <c r="Y23" s="407">
        <f t="shared" si="23"/>
        <v>0.27518319716689349</v>
      </c>
      <c r="Z23" s="407">
        <f t="shared" si="23"/>
        <v>0.27952426394049529</v>
      </c>
      <c r="AA23" s="407">
        <f t="shared" si="23"/>
        <v>0.2831870725070641</v>
      </c>
      <c r="AB23" s="407">
        <f t="shared" si="23"/>
        <v>0.28619852579904265</v>
      </c>
      <c r="AC23" s="406">
        <f t="shared" si="23"/>
        <v>0.28619852579904265</v>
      </c>
      <c r="AD23" s="407">
        <f t="shared" si="23"/>
        <v>0.28866638203099931</v>
      </c>
      <c r="AE23" s="407">
        <f t="shared" si="23"/>
        <v>0.29089400960529171</v>
      </c>
      <c r="AF23" s="407">
        <f t="shared" si="23"/>
        <v>0.29290538617786116</v>
      </c>
      <c r="AG23" s="407">
        <f t="shared" si="23"/>
        <v>0.29472280777182769</v>
      </c>
      <c r="AH23" s="407">
        <f t="shared" si="23"/>
        <v>0.29636667433377417</v>
      </c>
      <c r="AI23" s="407">
        <f t="shared" si="23"/>
        <v>0.29785544176842027</v>
      </c>
      <c r="AJ23" s="407">
        <f t="shared" ref="AJ23:BP23" si="24">AJ19/AJ17</f>
        <v>0.29920567591568403</v>
      </c>
      <c r="AK23" s="407">
        <f t="shared" si="24"/>
        <v>0.3004321648169766</v>
      </c>
      <c r="AL23" s="407">
        <f t="shared" si="24"/>
        <v>0.30154806049795352</v>
      </c>
      <c r="AM23" s="407">
        <f t="shared" si="24"/>
        <v>0.30256503184201067</v>
      </c>
      <c r="AN23" s="407">
        <f t="shared" si="24"/>
        <v>0.30349341717702533</v>
      </c>
      <c r="AO23" s="407">
        <f t="shared" si="24"/>
        <v>0.30431037342200773</v>
      </c>
      <c r="AP23" s="406">
        <f t="shared" si="24"/>
        <v>0.30431037342200773</v>
      </c>
      <c r="AQ23" s="407">
        <f t="shared" si="24"/>
        <v>0.30484033699736368</v>
      </c>
      <c r="AR23" s="407">
        <f t="shared" si="24"/>
        <v>0.30536010217700793</v>
      </c>
      <c r="AS23" s="407">
        <f t="shared" si="24"/>
        <v>0.30586725998256875</v>
      </c>
      <c r="AT23" s="407">
        <f t="shared" si="24"/>
        <v>0.30635988517836205</v>
      </c>
      <c r="AU23" s="407">
        <f t="shared" si="24"/>
        <v>0.30683649374882405</v>
      </c>
      <c r="AV23" s="407">
        <f t="shared" si="24"/>
        <v>0.30729599607254032</v>
      </c>
      <c r="AW23" s="407">
        <f t="shared" si="24"/>
        <v>0.30773764861277625</v>
      </c>
      <c r="AX23" s="407">
        <f t="shared" si="24"/>
        <v>0.30816100628445303</v>
      </c>
      <c r="AY23" s="407">
        <f t="shared" si="24"/>
        <v>0.30856587705490035</v>
      </c>
      <c r="AZ23" s="407">
        <f t="shared" si="24"/>
        <v>0.30895227981700712</v>
      </c>
      <c r="BA23" s="407">
        <f t="shared" si="24"/>
        <v>0.3093204061487046</v>
      </c>
      <c r="BB23" s="407">
        <f t="shared" si="24"/>
        <v>0.30965718487242844</v>
      </c>
      <c r="BC23" s="406">
        <f t="shared" si="24"/>
        <v>0.30965718487242844</v>
      </c>
      <c r="BD23" s="407">
        <f t="shared" si="24"/>
        <v>0.30988573661506713</v>
      </c>
      <c r="BE23" s="407">
        <f t="shared" si="24"/>
        <v>0.31011542123169028</v>
      </c>
      <c r="BF23" s="407">
        <f t="shared" si="24"/>
        <v>0.31034490031590573</v>
      </c>
      <c r="BG23" s="407">
        <f t="shared" si="24"/>
        <v>0.31057295445661093</v>
      </c>
      <c r="BH23" s="407">
        <f t="shared" si="24"/>
        <v>0.31079849064947612</v>
      </c>
      <c r="BI23" s="407">
        <f t="shared" si="24"/>
        <v>0.31102054561230358</v>
      </c>
      <c r="BJ23" s="407">
        <f t="shared" si="24"/>
        <v>0.31123828553808253</v>
      </c>
      <c r="BK23" s="407">
        <f t="shared" si="24"/>
        <v>0.31145100287734551</v>
      </c>
      <c r="BL23" s="407">
        <f t="shared" si="24"/>
        <v>0.31165811075536515</v>
      </c>
      <c r="BM23" s="407">
        <f t="shared" si="24"/>
        <v>0.31185913560889977</v>
      </c>
      <c r="BN23" s="407">
        <f t="shared" si="24"/>
        <v>0.31205370858110298</v>
      </c>
      <c r="BO23" s="407">
        <f t="shared" si="24"/>
        <v>0.31223433911533449</v>
      </c>
      <c r="BP23" s="406">
        <f t="shared" si="24"/>
        <v>0.31223433911533449</v>
      </c>
      <c r="CE23" s="409" t="s">
        <v>962</v>
      </c>
      <c r="CF23" s="408" t="s">
        <v>231</v>
      </c>
    </row>
    <row r="24" spans="1:84" s="405" customFormat="1">
      <c r="A24" s="409" t="s">
        <v>651</v>
      </c>
      <c r="B24" s="408" t="s">
        <v>231</v>
      </c>
      <c r="C24" s="408"/>
      <c r="D24" s="407"/>
      <c r="E24" s="407"/>
      <c r="F24" s="407"/>
      <c r="G24" s="407"/>
      <c r="H24" s="407"/>
      <c r="I24" s="407"/>
      <c r="J24" s="407">
        <f t="shared" ref="J24:AI24" si="25">J20/J17</f>
        <v>0</v>
      </c>
      <c r="K24" s="407">
        <f t="shared" si="25"/>
        <v>0</v>
      </c>
      <c r="L24" s="407">
        <f t="shared" si="25"/>
        <v>0</v>
      </c>
      <c r="M24" s="407">
        <f t="shared" si="25"/>
        <v>0</v>
      </c>
      <c r="N24" s="407">
        <f t="shared" si="25"/>
        <v>0</v>
      </c>
      <c r="O24" s="407">
        <f t="shared" si="25"/>
        <v>0</v>
      </c>
      <c r="P24" s="406">
        <f t="shared" si="25"/>
        <v>0</v>
      </c>
      <c r="Q24" s="407">
        <f t="shared" si="25"/>
        <v>0</v>
      </c>
      <c r="R24" s="407">
        <f t="shared" si="25"/>
        <v>0</v>
      </c>
      <c r="S24" s="407">
        <f t="shared" si="25"/>
        <v>0</v>
      </c>
      <c r="T24" s="407">
        <f t="shared" si="25"/>
        <v>0</v>
      </c>
      <c r="U24" s="407">
        <f t="shared" si="25"/>
        <v>0</v>
      </c>
      <c r="V24" s="407">
        <f t="shared" si="25"/>
        <v>0</v>
      </c>
      <c r="W24" s="407">
        <f t="shared" si="25"/>
        <v>1.3865066990390935E-2</v>
      </c>
      <c r="X24" s="407">
        <f t="shared" si="25"/>
        <v>2.5010138946534644E-2</v>
      </c>
      <c r="Y24" s="407">
        <f t="shared" si="25"/>
        <v>3.4142622081866157E-2</v>
      </c>
      <c r="Z24" s="407">
        <f t="shared" si="25"/>
        <v>4.1745855409756831E-2</v>
      </c>
      <c r="AA24" s="407">
        <f t="shared" si="25"/>
        <v>4.8161142162858904E-2</v>
      </c>
      <c r="AB24" s="407">
        <f t="shared" si="25"/>
        <v>5.3435601927954907E-2</v>
      </c>
      <c r="AC24" s="406">
        <f t="shared" si="25"/>
        <v>5.3435601927954907E-2</v>
      </c>
      <c r="AD24" s="407">
        <f t="shared" si="25"/>
        <v>5.7757969615399418E-2</v>
      </c>
      <c r="AE24" s="407">
        <f t="shared" si="25"/>
        <v>6.1659584840022097E-2</v>
      </c>
      <c r="AF24" s="407">
        <f t="shared" si="25"/>
        <v>6.5182443664607639E-2</v>
      </c>
      <c r="AG24" s="407">
        <f t="shared" si="25"/>
        <v>6.8365596828273381E-2</v>
      </c>
      <c r="AH24" s="407">
        <f t="shared" si="25"/>
        <v>7.1244774155469009E-2</v>
      </c>
      <c r="AI24" s="407">
        <f t="shared" si="25"/>
        <v>7.3852300546312324E-2</v>
      </c>
      <c r="AJ24" s="407">
        <f t="shared" ref="AJ24:BP24" si="26">AJ20/AJ17</f>
        <v>7.6217190515607519E-2</v>
      </c>
      <c r="AK24" s="407">
        <f t="shared" si="26"/>
        <v>7.8365344823507932E-2</v>
      </c>
      <c r="AL24" s="407">
        <f t="shared" si="26"/>
        <v>8.0319798803263995E-2</v>
      </c>
      <c r="AM24" s="407">
        <f t="shared" si="26"/>
        <v>8.2100990114041691E-2</v>
      </c>
      <c r="AN24" s="407">
        <f t="shared" si="26"/>
        <v>8.3727025991497575E-2</v>
      </c>
      <c r="AO24" s="407">
        <f t="shared" si="26"/>
        <v>8.5157897542944561E-2</v>
      </c>
      <c r="AP24" s="406">
        <f t="shared" si="26"/>
        <v>8.5157897542944561E-2</v>
      </c>
      <c r="AQ24" s="407">
        <f t="shared" si="26"/>
        <v>8.6086111027984205E-2</v>
      </c>
      <c r="AR24" s="407">
        <f t="shared" si="26"/>
        <v>8.6996462363877064E-2</v>
      </c>
      <c r="AS24" s="407">
        <f t="shared" si="26"/>
        <v>8.788473230553949E-2</v>
      </c>
      <c r="AT24" s="407">
        <f t="shared" si="26"/>
        <v>8.8747548867033316E-2</v>
      </c>
      <c r="AU24" s="407">
        <f t="shared" si="26"/>
        <v>8.9582312844710646E-2</v>
      </c>
      <c r="AV24" s="407">
        <f t="shared" si="26"/>
        <v>9.0387115803091375E-2</v>
      </c>
      <c r="AW24" s="407">
        <f t="shared" si="26"/>
        <v>9.11606554624418E-2</v>
      </c>
      <c r="AX24" s="407">
        <f t="shared" si="26"/>
        <v>9.190215227112597E-2</v>
      </c>
      <c r="AY24" s="407">
        <f t="shared" si="26"/>
        <v>9.261126989034188E-2</v>
      </c>
      <c r="AZ24" s="407">
        <f t="shared" si="26"/>
        <v>9.3288041410352671E-2</v>
      </c>
      <c r="BA24" s="407">
        <f t="shared" si="26"/>
        <v>9.393280237350049E-2</v>
      </c>
      <c r="BB24" s="407">
        <f t="shared" si="26"/>
        <v>9.4522659049263436E-2</v>
      </c>
      <c r="BC24" s="406">
        <f t="shared" si="26"/>
        <v>9.4522659049263436E-2</v>
      </c>
      <c r="BD24" s="407">
        <f t="shared" si="26"/>
        <v>9.4922959785788658E-2</v>
      </c>
      <c r="BE24" s="407">
        <f t="shared" si="26"/>
        <v>9.5325244713224705E-2</v>
      </c>
      <c r="BF24" s="407">
        <f t="shared" si="26"/>
        <v>9.5727169657519789E-2</v>
      </c>
      <c r="BG24" s="407">
        <f t="shared" si="26"/>
        <v>9.6126598860893739E-2</v>
      </c>
      <c r="BH24" s="407">
        <f t="shared" si="26"/>
        <v>9.6521617962803452E-2</v>
      </c>
      <c r="BI24" s="407">
        <f t="shared" si="26"/>
        <v>9.6910539806682891E-2</v>
      </c>
      <c r="BJ24" s="407">
        <f t="shared" si="26"/>
        <v>9.7291904007427751E-2</v>
      </c>
      <c r="BK24" s="407">
        <f t="shared" si="26"/>
        <v>9.7664471315799931E-2</v>
      </c>
      <c r="BL24" s="407">
        <f t="shared" si="26"/>
        <v>9.8027213840334179E-2</v>
      </c>
      <c r="BM24" s="407">
        <f t="shared" si="26"/>
        <v>9.8379302150844172E-2</v>
      </c>
      <c r="BN24" s="407">
        <f t="shared" si="26"/>
        <v>9.87200902068949E-2</v>
      </c>
      <c r="BO24" s="407">
        <f t="shared" si="26"/>
        <v>9.9036458548947548E-2</v>
      </c>
      <c r="BP24" s="406">
        <f t="shared" si="26"/>
        <v>9.9036458548947548E-2</v>
      </c>
      <c r="CE24" s="409" t="s">
        <v>963</v>
      </c>
      <c r="CF24" s="408" t="s">
        <v>231</v>
      </c>
    </row>
    <row r="25" spans="1:84" s="17" customFormat="1" ht="15.6">
      <c r="A25" s="17" t="s">
        <v>655</v>
      </c>
      <c r="B25" s="13" t="s">
        <v>496</v>
      </c>
      <c r="C25" s="13">
        <v>0</v>
      </c>
      <c r="D25" s="60">
        <f>'Micro_30 (indiv)'!D22</f>
        <v>0</v>
      </c>
      <c r="E25" s="60">
        <f>'Micro_30 (indiv)'!E22</f>
        <v>0</v>
      </c>
      <c r="F25" s="60">
        <f>'Micro_30 (indiv)'!F22</f>
        <v>0</v>
      </c>
      <c r="G25" s="60">
        <f>'Micro_30 (indiv)'!G22</f>
        <v>0</v>
      </c>
      <c r="H25" s="60">
        <f>'Micro_30 (indiv)'!H22</f>
        <v>0</v>
      </c>
      <c r="I25" s="60">
        <f>'Micro_30 (indiv)'!I22</f>
        <v>0</v>
      </c>
      <c r="J25" s="60">
        <f>'Micro_30 (indiv)'!J22</f>
        <v>6833.8603177958357</v>
      </c>
      <c r="K25" s="60">
        <f>'Micro_30 (indiv)'!K22</f>
        <v>13932.587319218228</v>
      </c>
      <c r="L25" s="60">
        <f>'Micro_30 (indiv)'!L22</f>
        <v>21288.022810531256</v>
      </c>
      <c r="M25" s="60">
        <f>'Micro_30 (indiv)'!M22</f>
        <v>28891.656168039091</v>
      </c>
      <c r="N25" s="60">
        <f>'Micro_30 (indiv)'!N22</f>
        <v>36734.642769053251</v>
      </c>
      <c r="O25" s="60">
        <f>'Micro_30 (indiv)'!O22</f>
        <v>44472.255608123232</v>
      </c>
      <c r="P25" s="372">
        <f>'Micro_30 (indiv)'!P22</f>
        <v>44472.255608123232</v>
      </c>
      <c r="Q25" s="60">
        <f>'Micro_30 (indiv)'!Q22</f>
        <v>62902.6992048717</v>
      </c>
      <c r="R25" s="60">
        <f>'Micro_30 (indiv)'!R22</f>
        <v>82267.59107412817</v>
      </c>
      <c r="S25" s="60">
        <f>'Micro_30 (indiv)'!S22</f>
        <v>102541.02518611583</v>
      </c>
      <c r="T25" s="60">
        <f>'Micro_30 (indiv)'!T22</f>
        <v>123695.91403990221</v>
      </c>
      <c r="U25" s="60">
        <f>'Micro_30 (indiv)'!U22</f>
        <v>145704.05110869915</v>
      </c>
      <c r="V25" s="60">
        <f>'Micro_30 (indiv)'!V22</f>
        <v>168536.1756456102</v>
      </c>
      <c r="W25" s="60">
        <f>'Micro_30 (indiv)'!W22</f>
        <v>192162.0396388855</v>
      </c>
      <c r="X25" s="60">
        <f>'Micro_30 (indiv)'!X22</f>
        <v>216550.47669969627</v>
      </c>
      <c r="Y25" s="60">
        <f>'Micro_30 (indiv)'!Y22</f>
        <v>241669.47266030638</v>
      </c>
      <c r="Z25" s="60">
        <f>'Micro_30 (indiv)'!Z22</f>
        <v>267486.23765630729</v>
      </c>
      <c r="AA25" s="60">
        <f>'Micro_30 (indiv)'!AA22</f>
        <v>293967.27946331369</v>
      </c>
      <c r="AB25" s="60">
        <f>'Micro_30 (indiv)'!AB22</f>
        <v>319835.60394954134</v>
      </c>
      <c r="AC25" s="372">
        <f>'Micro_30 (indiv)'!AC22</f>
        <v>319835.60394954134</v>
      </c>
      <c r="AD25" s="60">
        <f>'Micro_30 (indiv)'!AD22</f>
        <v>344400.39892127569</v>
      </c>
      <c r="AE25" s="60">
        <f>'Micro_30 (indiv)'!AE22</f>
        <v>370151.65926331771</v>
      </c>
      <c r="AF25" s="60">
        <f>'Micro_30 (indiv)'!AF22</f>
        <v>397048.2096655115</v>
      </c>
      <c r="AG25" s="60">
        <f>'Micro_30 (indiv)'!AG22</f>
        <v>425047.69216164271</v>
      </c>
      <c r="AH25" s="60">
        <f>'Micro_30 (indiv)'!AH22</f>
        <v>454106.66621990001</v>
      </c>
      <c r="AI25" s="60">
        <f>'Micro_30 (indiv)'!AI22</f>
        <v>484180.71023857436</v>
      </c>
      <c r="AJ25" s="60">
        <f>'Micro_30 (indiv)'!AJ22</f>
        <v>515224.52412424097</v>
      </c>
      <c r="AK25" s="60">
        <f>'Micro_30 (indiv)'!AK22</f>
        <v>547192.03263007558</v>
      </c>
      <c r="AL25" s="60">
        <f>'Micro_30 (indiv)'!AL22</f>
        <v>580036.48913364985</v>
      </c>
      <c r="AM25" s="60">
        <f>'Micro_30 (indiv)'!AM22</f>
        <v>613710.57953649748</v>
      </c>
      <c r="AN25" s="60">
        <f>'Micro_30 (indiv)'!AN22</f>
        <v>648166.52597192791</v>
      </c>
      <c r="AO25" s="60">
        <f>'Micro_30 (indiv)'!AO22</f>
        <v>681451.42428361566</v>
      </c>
      <c r="AP25" s="372">
        <f>'Micro_30 (indiv)'!AP22</f>
        <v>681451.42428361566</v>
      </c>
      <c r="AQ25" s="60">
        <f>'Micro_30 (indiv)'!AQ22</f>
        <v>700860.98177501024</v>
      </c>
      <c r="AR25" s="60">
        <f>'Micro_30 (indiv)'!AR22</f>
        <v>721441.66504389606</v>
      </c>
      <c r="AS25" s="60">
        <f>'Micro_30 (indiv)'!AS22</f>
        <v>743150.64201723202</v>
      </c>
      <c r="AT25" s="60">
        <f>'Micro_30 (indiv)'!AT22</f>
        <v>765944.20199080778</v>
      </c>
      <c r="AU25" s="60">
        <f>'Micro_30 (indiv)'!AU22</f>
        <v>789777.85974464519</v>
      </c>
      <c r="AV25" s="60">
        <f>'Micro_30 (indiv)'!AV22</f>
        <v>814606.45961649483</v>
      </c>
      <c r="AW25" s="60">
        <f>'Micro_30 (indiv)'!AW22</f>
        <v>840384.27922200656</v>
      </c>
      <c r="AX25" s="60">
        <f>'Micro_30 (indiv)'!AX22</f>
        <v>867065.13251730136</v>
      </c>
      <c r="AY25" s="60">
        <f>'Micro_30 (indiv)'!AY22</f>
        <v>894602.47190790856</v>
      </c>
      <c r="AZ25" s="60">
        <f>'Micro_30 (indiv)'!AZ22</f>
        <v>922949.48911729315</v>
      </c>
      <c r="BA25" s="60">
        <f>'Micro_30 (indiv)'!BA22</f>
        <v>952059.21453841368</v>
      </c>
      <c r="BB25" s="60">
        <f>'Micro_30 (indiv)'!BB22</f>
        <v>979738.82587989967</v>
      </c>
      <c r="BC25" s="372">
        <f>'Micro_30 (indiv)'!BC22</f>
        <v>979738.82587989967</v>
      </c>
      <c r="BD25" s="60">
        <f>'Micro_30 (indiv)'!BD22</f>
        <v>992225.82845334418</v>
      </c>
      <c r="BE25" s="60">
        <f>'Micro_30 (indiv)'!BE22</f>
        <v>1006064.9812205781</v>
      </c>
      <c r="BF25" s="60">
        <f>'Micro_30 (indiv)'!BF22</f>
        <v>1021208.6412739893</v>
      </c>
      <c r="BG25" s="60">
        <f>'Micro_30 (indiv)'!BG22</f>
        <v>1037608.400017727</v>
      </c>
      <c r="BH25" s="60">
        <f>'Micro_30 (indiv)'!BH22</f>
        <v>1055215.199127099</v>
      </c>
      <c r="BI25" s="60">
        <f>'Micro_30 (indiv)'!BI22</f>
        <v>1073979.4452333064</v>
      </c>
      <c r="BJ25" s="60">
        <f>'Micro_30 (indiv)'!BJ22</f>
        <v>1093851.1230213286</v>
      </c>
      <c r="BK25" s="60">
        <f>'Micro_30 (indiv)'!BK22</f>
        <v>1114779.9064421277</v>
      </c>
      <c r="BL25" s="60">
        <f>'Micro_30 (indiv)'!BL22</f>
        <v>1136715.267754565</v>
      </c>
      <c r="BM25" s="60">
        <f>'Micro_30 (indiv)'!BM22</f>
        <v>1159606.5841274166</v>
      </c>
      <c r="BN25" s="60">
        <f>'Micro_30 (indiv)'!BN22</f>
        <v>1183403.2415475573</v>
      </c>
      <c r="BO25" s="60">
        <f>'Micro_30 (indiv)'!BO22</f>
        <v>1205602.3465199487</v>
      </c>
      <c r="BP25" s="372">
        <f>'Micro_30 (indiv)'!BP22</f>
        <v>1205602.3465199487</v>
      </c>
      <c r="BW25" s="60"/>
      <c r="CE25" s="17" t="s">
        <v>968</v>
      </c>
      <c r="CF25" s="13" t="s">
        <v>394</v>
      </c>
    </row>
    <row r="26" spans="1:84">
      <c r="A26" s="404" t="s">
        <v>653</v>
      </c>
      <c r="B26" s="13" t="s">
        <v>496</v>
      </c>
      <c r="C26" s="13">
        <v>0</v>
      </c>
      <c r="D26" s="3">
        <f t="shared" ref="D26:AI26" si="27">D25-D27-D28</f>
        <v>0</v>
      </c>
      <c r="E26" s="3">
        <f t="shared" si="27"/>
        <v>0</v>
      </c>
      <c r="F26" s="3">
        <f t="shared" si="27"/>
        <v>0</v>
      </c>
      <c r="G26" s="3">
        <f t="shared" si="27"/>
        <v>0</v>
      </c>
      <c r="H26" s="3">
        <f t="shared" si="27"/>
        <v>0</v>
      </c>
      <c r="I26" s="3">
        <f t="shared" si="27"/>
        <v>0</v>
      </c>
      <c r="J26" s="3">
        <f t="shared" si="27"/>
        <v>6833.8603177958357</v>
      </c>
      <c r="K26" s="3">
        <f t="shared" si="27"/>
        <v>13932.587319218228</v>
      </c>
      <c r="L26" s="3">
        <f t="shared" si="27"/>
        <v>20299.296916929656</v>
      </c>
      <c r="M26" s="3">
        <f t="shared" si="27"/>
        <v>26861.879965782398</v>
      </c>
      <c r="N26" s="3">
        <f t="shared" si="27"/>
        <v>33612.794515471891</v>
      </c>
      <c r="O26" s="3">
        <f t="shared" si="27"/>
        <v>40266.448659651942</v>
      </c>
      <c r="P26" s="397">
        <f t="shared" si="27"/>
        <v>40266.448659651942</v>
      </c>
      <c r="Q26" s="3">
        <f t="shared" si="27"/>
        <v>51460.337580492167</v>
      </c>
      <c r="R26" s="3">
        <f t="shared" si="27"/>
        <v>63198.239721828737</v>
      </c>
      <c r="S26" s="3">
        <f t="shared" si="27"/>
        <v>75485.701848066907</v>
      </c>
      <c r="T26" s="3">
        <f t="shared" si="27"/>
        <v>88306.314797193671</v>
      </c>
      <c r="U26" s="3">
        <f t="shared" si="27"/>
        <v>101642.99274967681</v>
      </c>
      <c r="V26" s="3">
        <f t="shared" si="27"/>
        <v>115478.01247503526</v>
      </c>
      <c r="W26" s="3">
        <f t="shared" si="27"/>
        <v>126662.45490327897</v>
      </c>
      <c r="X26" s="3">
        <f t="shared" si="27"/>
        <v>138205.49163434131</v>
      </c>
      <c r="Y26" s="3">
        <f t="shared" si="27"/>
        <v>150091.99368846315</v>
      </c>
      <c r="Z26" s="3">
        <f t="shared" si="27"/>
        <v>162306.46817769809</v>
      </c>
      <c r="AA26" s="3">
        <f t="shared" si="27"/>
        <v>174833.09293077071</v>
      </c>
      <c r="AB26" s="3">
        <f t="shared" si="27"/>
        <v>187049.85056540163</v>
      </c>
      <c r="AC26" s="397">
        <f t="shared" si="27"/>
        <v>187049.85056540163</v>
      </c>
      <c r="AD26" s="3">
        <f t="shared" si="27"/>
        <v>199490.50165104895</v>
      </c>
      <c r="AE26" s="3">
        <f t="shared" si="27"/>
        <v>211717.70661079892</v>
      </c>
      <c r="AF26" s="3">
        <f t="shared" si="27"/>
        <v>224497.53406652581</v>
      </c>
      <c r="AG26" s="3">
        <f t="shared" si="27"/>
        <v>237809.74378707813</v>
      </c>
      <c r="AH26" s="3">
        <f t="shared" si="27"/>
        <v>251633.57021102769</v>
      </c>
      <c r="AI26" s="3">
        <f t="shared" si="27"/>
        <v>265947.77106975135</v>
      </c>
      <c r="AJ26" s="3">
        <f t="shared" ref="AJ26:BO26" si="28">AJ25-AJ27-AJ28</f>
        <v>280730.67654586886</v>
      </c>
      <c r="AK26" s="3">
        <f t="shared" si="28"/>
        <v>295960.23881233425</v>
      </c>
      <c r="AL26" s="3">
        <f t="shared" si="28"/>
        <v>311614.08179823583</v>
      </c>
      <c r="AM26" s="3">
        <f t="shared" si="28"/>
        <v>327669.55102871684</v>
      </c>
      <c r="AN26" s="3">
        <f t="shared" si="28"/>
        <v>344103.76338838885</v>
      </c>
      <c r="AO26" s="3">
        <f t="shared" si="28"/>
        <v>359958.8176903468</v>
      </c>
      <c r="AP26" s="397">
        <f t="shared" si="28"/>
        <v>359958.8176903468</v>
      </c>
      <c r="AQ26" s="3">
        <f t="shared" si="28"/>
        <v>371089.63800667698</v>
      </c>
      <c r="AR26" s="3">
        <f t="shared" si="28"/>
        <v>380774.34518563712</v>
      </c>
      <c r="AS26" s="3">
        <f t="shared" si="28"/>
        <v>391013.78954240773</v>
      </c>
      <c r="AT26" s="3">
        <f t="shared" si="28"/>
        <v>401786.91425766447</v>
      </c>
      <c r="AU26" s="3">
        <f t="shared" si="28"/>
        <v>413072.27259952255</v>
      </c>
      <c r="AV26" s="3">
        <f t="shared" si="28"/>
        <v>424848.07842029462</v>
      </c>
      <c r="AW26" s="3">
        <f t="shared" si="28"/>
        <v>437092.25651710277</v>
      </c>
      <c r="AX26" s="3">
        <f t="shared" si="28"/>
        <v>449782.49270791549</v>
      </c>
      <c r="AY26" s="3">
        <f t="shared" si="28"/>
        <v>462896.28347847372</v>
      </c>
      <c r="AZ26" s="3">
        <f t="shared" si="28"/>
        <v>476410.98505996278</v>
      </c>
      <c r="BA26" s="3">
        <f t="shared" si="28"/>
        <v>490303.86180214968</v>
      </c>
      <c r="BB26" s="3">
        <f t="shared" si="28"/>
        <v>503491.94457967835</v>
      </c>
      <c r="BC26" s="397">
        <f t="shared" si="28"/>
        <v>503491.94457967835</v>
      </c>
      <c r="BD26" s="3">
        <f t="shared" si="28"/>
        <v>512274.96085065434</v>
      </c>
      <c r="BE26" s="3">
        <f t="shared" si="28"/>
        <v>518679.40264695784</v>
      </c>
      <c r="BF26" s="3">
        <f t="shared" si="28"/>
        <v>525735.7251986966</v>
      </c>
      <c r="BG26" s="3">
        <f t="shared" si="28"/>
        <v>533420.24922405533</v>
      </c>
      <c r="BH26" s="3">
        <f t="shared" si="28"/>
        <v>541708.95696069475</v>
      </c>
      <c r="BI26" s="3">
        <f t="shared" si="28"/>
        <v>550577.54883252899</v>
      </c>
      <c r="BJ26" s="3">
        <f t="shared" si="28"/>
        <v>560001.49937603623</v>
      </c>
      <c r="BK26" s="3">
        <f t="shared" si="28"/>
        <v>569956.11227720184</v>
      </c>
      <c r="BL26" s="3">
        <f t="shared" si="28"/>
        <v>580416.57437711034</v>
      </c>
      <c r="BM26" s="3">
        <f t="shared" si="28"/>
        <v>591358.00851149752</v>
      </c>
      <c r="BN26" s="3">
        <f t="shared" si="28"/>
        <v>602755.52505722898</v>
      </c>
      <c r="BO26" s="3">
        <f t="shared" si="28"/>
        <v>613364.53108425438</v>
      </c>
      <c r="BP26" s="397">
        <f t="shared" ref="BP26" si="29">BP25-BP27-BP28</f>
        <v>613364.53108425438</v>
      </c>
      <c r="BW26" s="3"/>
      <c r="CE26" s="404" t="s">
        <v>961</v>
      </c>
      <c r="CF26" s="13" t="s">
        <v>394</v>
      </c>
    </row>
    <row r="27" spans="1:84">
      <c r="A27" s="404" t="s">
        <v>652</v>
      </c>
      <c r="B27" s="13" t="s">
        <v>496</v>
      </c>
      <c r="C27" s="13">
        <v>0</v>
      </c>
      <c r="D27" s="3">
        <f>'Installment card_150 (indiv)'!D22</f>
        <v>0</v>
      </c>
      <c r="E27" s="3">
        <f>'Installment card_150 (indiv)'!E22</f>
        <v>0</v>
      </c>
      <c r="F27" s="3">
        <f>'Installment card_150 (indiv)'!F22</f>
        <v>0</v>
      </c>
      <c r="G27" s="3">
        <f>'Installment card_150 (indiv)'!G22</f>
        <v>0</v>
      </c>
      <c r="H27" s="3">
        <f>'Installment card_150 (indiv)'!H22</f>
        <v>0</v>
      </c>
      <c r="I27" s="3">
        <f>'Installment card_150 (indiv)'!I22</f>
        <v>0</v>
      </c>
      <c r="J27" s="3">
        <f>'Installment card_150 (indiv)'!J22</f>
        <v>0</v>
      </c>
      <c r="K27" s="3">
        <f>'Installment card_150 (indiv)'!K22</f>
        <v>0</v>
      </c>
      <c r="L27" s="3">
        <f>'Installment card_150 (indiv)'!L22</f>
        <v>988.72589360159986</v>
      </c>
      <c r="M27" s="3">
        <f>'Installment card_150 (indiv)'!M22</f>
        <v>2029.7762022566949</v>
      </c>
      <c r="N27" s="3">
        <f>'Installment card_150 (indiv)'!N22</f>
        <v>3121.8482535813628</v>
      </c>
      <c r="O27" s="3">
        <f>'Installment card_150 (indiv)'!O22</f>
        <v>4205.8069484712923</v>
      </c>
      <c r="P27" s="397">
        <f>'Installment card_150 (indiv)'!P22</f>
        <v>4205.8069484712923</v>
      </c>
      <c r="Q27" s="3">
        <f>'Installment card_150 (indiv)'!Q22</f>
        <v>11442.361624379531</v>
      </c>
      <c r="R27" s="3">
        <f>'Installment card_150 (indiv)'!R22</f>
        <v>19069.351352299429</v>
      </c>
      <c r="S27" s="3">
        <f>'Installment card_150 (indiv)'!S22</f>
        <v>27055.323338048922</v>
      </c>
      <c r="T27" s="3">
        <f>'Installment card_150 (indiv)'!T22</f>
        <v>35389.599242708544</v>
      </c>
      <c r="U27" s="3">
        <f>'Installment card_150 (indiv)'!U22</f>
        <v>44061.05835902234</v>
      </c>
      <c r="V27" s="3">
        <f>'Installment card_150 (indiv)'!V22</f>
        <v>53058.163170574946</v>
      </c>
      <c r="W27" s="3">
        <f>'Installment card_150 (indiv)'!W22</f>
        <v>62368.985761297648</v>
      </c>
      <c r="X27" s="3">
        <f>'Installment card_150 (indiv)'!X22</f>
        <v>71981.234989697623</v>
      </c>
      <c r="Y27" s="3">
        <f>'Installment card_150 (indiv)'!Y22</f>
        <v>81882.284340169703</v>
      </c>
      <c r="Z27" s="3">
        <f>'Installment card_150 (indiv)'!Z22</f>
        <v>92059.200362081639</v>
      </c>
      <c r="AA27" s="3">
        <f>'Installment card_150 (indiv)'!AA22</f>
        <v>102498.77160602569</v>
      </c>
      <c r="AB27" s="3">
        <f>'Installment card_150 (indiv)'!AB22</f>
        <v>112704.28896647389</v>
      </c>
      <c r="AC27" s="397">
        <f>'Installment card_150 (indiv)'!AC22</f>
        <v>112704.28896647389</v>
      </c>
      <c r="AD27" s="3">
        <f>'Installment card_150 (indiv)'!AD22</f>
        <v>121785.60098013097</v>
      </c>
      <c r="AE27" s="3">
        <f>'Installment card_150 (indiv)'!AE22</f>
        <v>131901.75289831881</v>
      </c>
      <c r="AF27" s="3">
        <f>'Installment card_150 (indiv)'!AF22</f>
        <v>142464.50999954864</v>
      </c>
      <c r="AG27" s="3">
        <f>'Installment card_150 (indiv)'!AG22</f>
        <v>153457.28035674812</v>
      </c>
      <c r="AH27" s="3">
        <f>'Installment card_150 (indiv)'!AH22</f>
        <v>164863.05101397651</v>
      </c>
      <c r="AI27" s="3">
        <f>'Installment card_150 (indiv)'!AI22</f>
        <v>176664.42769622614</v>
      </c>
      <c r="AJ27" s="3">
        <f>'Installment card_150 (indiv)'!AJ22</f>
        <v>188843.67493643943</v>
      </c>
      <c r="AK27" s="3">
        <f>'Installment card_150 (indiv)'!AK22</f>
        <v>201382.75649372776</v>
      </c>
      <c r="AL27" s="3">
        <f>'Installment card_150 (indiv)'!AL22</f>
        <v>214263.37593746063</v>
      </c>
      <c r="AM27" s="3">
        <f>'Installment card_150 (indiv)'!AM22</f>
        <v>227467.01727306799</v>
      </c>
      <c r="AN27" s="3">
        <f>'Installment card_150 (indiv)'!AN22</f>
        <v>240974.98548705236</v>
      </c>
      <c r="AO27" s="3">
        <f>'Installment card_150 (indiv)'!AO22</f>
        <v>254031.60330606494</v>
      </c>
      <c r="AP27" s="397">
        <f>'Installment card_150 (indiv)'!AP22</f>
        <v>254031.60330606494</v>
      </c>
      <c r="AQ27" s="3">
        <f>'Installment card_150 (indiv)'!AQ22</f>
        <v>260386.78803222789</v>
      </c>
      <c r="AR27" s="3">
        <f>'Installment card_150 (indiv)'!AR22</f>
        <v>268490.0162984262</v>
      </c>
      <c r="AS27" s="3">
        <f>'Installment card_150 (indiv)'!AS22</f>
        <v>277028.51795299392</v>
      </c>
      <c r="AT27" s="3">
        <f>'Installment card_150 (indiv)'!AT22</f>
        <v>285985.26666320325</v>
      </c>
      <c r="AU27" s="3">
        <f>'Installment card_150 (indiv)'!AU22</f>
        <v>295342.94073923124</v>
      </c>
      <c r="AV27" s="3">
        <f>'Installment card_150 (indiv)'!AV22</f>
        <v>305083.96353700245</v>
      </c>
      <c r="AW27" s="3">
        <f>'Installment card_150 (indiv)'!AW22</f>
        <v>315190.54371056252</v>
      </c>
      <c r="AX27" s="3">
        <f>'Installment card_150 (indiv)'!AX22</f>
        <v>325644.7151961585</v>
      </c>
      <c r="AY27" s="3">
        <f>'Installment card_150 (indiv)'!AY22</f>
        <v>336428.37681344</v>
      </c>
      <c r="AZ27" s="3">
        <f>'Installment card_150 (indiv)'!AZ22</f>
        <v>347523.33137282677</v>
      </c>
      <c r="BA27" s="3">
        <f>'Installment card_150 (indiv)'!BA22</f>
        <v>358911.32418209105</v>
      </c>
      <c r="BB27" s="3">
        <f>'Installment card_150 (indiv)'!BB22</f>
        <v>369748.23445485416</v>
      </c>
      <c r="BC27" s="397">
        <f>'Installment card_150 (indiv)'!BC22</f>
        <v>369748.23445485416</v>
      </c>
      <c r="BD27" s="3">
        <f>'Installment card_150 (indiv)'!BD22</f>
        <v>372815.41598324623</v>
      </c>
      <c r="BE27" s="3">
        <f>'Installment card_150 (indiv)'!BE22</f>
        <v>378295.47184317745</v>
      </c>
      <c r="BF27" s="3">
        <f>'Installment card_150 (indiv)'!BF22</f>
        <v>384273.85894822527</v>
      </c>
      <c r="BG27" s="3">
        <f>'Installment card_150 (indiv)'!BG22</f>
        <v>390731.89146453422</v>
      </c>
      <c r="BH27" s="3">
        <f>'Installment card_150 (indiv)'!BH22</f>
        <v>397650.64057889511</v>
      </c>
      <c r="BI27" s="3">
        <f>'Installment card_150 (indiv)'!BI22</f>
        <v>405010.97855234519</v>
      </c>
      <c r="BJ27" s="3">
        <f>'Installment card_150 (indiv)'!BJ22</f>
        <v>412793.62214771565</v>
      </c>
      <c r="BK27" s="3">
        <f>'Installment card_150 (indiv)'!BK22</f>
        <v>420979.17531680822</v>
      </c>
      <c r="BL27" s="3">
        <f>'Installment card_150 (indiv)'!BL22</f>
        <v>429548.17103838973</v>
      </c>
      <c r="BM27" s="3">
        <f>'Installment card_150 (indiv)'!BM22</f>
        <v>438481.11220399255</v>
      </c>
      <c r="BN27" s="3">
        <f>'Installment card_150 (indiv)'!BN22</f>
        <v>447758.51145457453</v>
      </c>
      <c r="BO27" s="3">
        <f>'Installment card_150 (indiv)'!BO22</f>
        <v>456421.92293063254</v>
      </c>
      <c r="BP27" s="397">
        <f>'Installment card_150 (indiv)'!BP22</f>
        <v>456421.92293063254</v>
      </c>
      <c r="CE27" s="404" t="s">
        <v>962</v>
      </c>
      <c r="CF27" s="13" t="s">
        <v>394</v>
      </c>
    </row>
    <row r="28" spans="1:84">
      <c r="A28" s="404" t="s">
        <v>651</v>
      </c>
      <c r="B28" s="13" t="s">
        <v>496</v>
      </c>
      <c r="C28" s="13">
        <v>0</v>
      </c>
      <c r="D28" s="3">
        <f>'Installment card_1000 (indiv)'!D22</f>
        <v>0</v>
      </c>
      <c r="E28" s="3">
        <f>'Installment card_1000 (indiv)'!E22</f>
        <v>0</v>
      </c>
      <c r="F28" s="3">
        <f>'Installment card_1000 (indiv)'!F22</f>
        <v>0</v>
      </c>
      <c r="G28" s="3">
        <f>'Installment card_1000 (indiv)'!G22</f>
        <v>0</v>
      </c>
      <c r="H28" s="3">
        <f>'Installment card_1000 (indiv)'!H22</f>
        <v>0</v>
      </c>
      <c r="I28" s="3">
        <f>'Installment card_1000 (indiv)'!I22</f>
        <v>0</v>
      </c>
      <c r="J28" s="3">
        <f>'Installment card_1000 (indiv)'!J22</f>
        <v>0</v>
      </c>
      <c r="K28" s="3">
        <f>'Installment card_1000 (indiv)'!K22</f>
        <v>0</v>
      </c>
      <c r="L28" s="3">
        <f>'Installment card_1000 (indiv)'!L22</f>
        <v>0</v>
      </c>
      <c r="M28" s="3">
        <f>'Installment card_1000 (indiv)'!M22</f>
        <v>0</v>
      </c>
      <c r="N28" s="3">
        <f>'Installment card_1000 (indiv)'!N22</f>
        <v>0</v>
      </c>
      <c r="O28" s="3">
        <f>'Installment card_1000 (indiv)'!O22</f>
        <v>0</v>
      </c>
      <c r="P28" s="397">
        <f>'Installment card_1000 (indiv)'!P22</f>
        <v>0</v>
      </c>
      <c r="Q28" s="3">
        <f>'Installment card_1000 (indiv)'!Q22</f>
        <v>0</v>
      </c>
      <c r="R28" s="3">
        <f>'Installment card_1000 (indiv)'!R22</f>
        <v>0</v>
      </c>
      <c r="S28" s="3">
        <f>'Installment card_1000 (indiv)'!S22</f>
        <v>0</v>
      </c>
      <c r="T28" s="3">
        <f>'Installment card_1000 (indiv)'!T22</f>
        <v>0</v>
      </c>
      <c r="U28" s="3">
        <f>'Installment card_1000 (indiv)'!U22</f>
        <v>0</v>
      </c>
      <c r="V28" s="3">
        <f>'Installment card_1000 (indiv)'!V22</f>
        <v>0</v>
      </c>
      <c r="W28" s="3">
        <f>'Installment card_1000 (indiv)'!W22</f>
        <v>3130.598974308884</v>
      </c>
      <c r="X28" s="3">
        <f>'Installment card_1000 (indiv)'!X22</f>
        <v>6363.7500756573163</v>
      </c>
      <c r="Y28" s="3">
        <f>'Installment card_1000 (indiv)'!Y22</f>
        <v>9695.1946316735521</v>
      </c>
      <c r="Z28" s="3">
        <f>'Installment card_1000 (indiv)'!Z22</f>
        <v>13120.569116527566</v>
      </c>
      <c r="AA28" s="3">
        <f>'Installment card_1000 (indiv)'!AA22</f>
        <v>16635.414926517289</v>
      </c>
      <c r="AB28" s="3">
        <f>'Installment card_1000 (indiv)'!AB22</f>
        <v>20081.464417665808</v>
      </c>
      <c r="AC28" s="397">
        <f>'Installment card_1000 (indiv)'!AC22</f>
        <v>20081.464417665808</v>
      </c>
      <c r="AD28" s="3">
        <f>'Installment card_1000 (indiv)'!AD22</f>
        <v>23124.296290095779</v>
      </c>
      <c r="AE28" s="3">
        <f>'Installment card_1000 (indiv)'!AE22</f>
        <v>26532.199754199977</v>
      </c>
      <c r="AF28" s="3">
        <f>'Installment card_1000 (indiv)'!AF22</f>
        <v>30086.165599437045</v>
      </c>
      <c r="AG28" s="3">
        <f>'Installment card_1000 (indiv)'!AG22</f>
        <v>33780.668017816446</v>
      </c>
      <c r="AH28" s="3">
        <f>'Installment card_1000 (indiv)'!AH22</f>
        <v>37610.044994895805</v>
      </c>
      <c r="AI28" s="3">
        <f>'Installment card_1000 (indiv)'!AI22</f>
        <v>41568.511472596896</v>
      </c>
      <c r="AJ28" s="3">
        <f>'Installment card_1000 (indiv)'!AJ22</f>
        <v>45650.172641932702</v>
      </c>
      <c r="AK28" s="3">
        <f>'Installment card_1000 (indiv)'!AK22</f>
        <v>49849.037324013545</v>
      </c>
      <c r="AL28" s="3">
        <f>'Installment card_1000 (indiv)'!AL22</f>
        <v>54159.031397953411</v>
      </c>
      <c r="AM28" s="3">
        <f>'Installment card_1000 (indiv)'!AM22</f>
        <v>58574.0112347127</v>
      </c>
      <c r="AN28" s="3">
        <f>'Installment card_1000 (indiv)'!AN22</f>
        <v>63087.777096486709</v>
      </c>
      <c r="AO28" s="3">
        <f>'Installment card_1000 (indiv)'!AO22</f>
        <v>67461.003287203916</v>
      </c>
      <c r="AP28" s="397">
        <f>'Installment card_1000 (indiv)'!AP22</f>
        <v>67461.003287203916</v>
      </c>
      <c r="AQ28" s="3">
        <f>'Installment card_1000 (indiv)'!AQ22</f>
        <v>69384.555736105365</v>
      </c>
      <c r="AR28" s="3">
        <f>'Installment card_1000 (indiv)'!AR22</f>
        <v>72177.303559832726</v>
      </c>
      <c r="AS28" s="3">
        <f>'Installment card_1000 (indiv)'!AS22</f>
        <v>75108.334521830373</v>
      </c>
      <c r="AT28" s="3">
        <f>'Installment card_1000 (indiv)'!AT22</f>
        <v>78172.021069940049</v>
      </c>
      <c r="AU28" s="3">
        <f>'Installment card_1000 (indiv)'!AU22</f>
        <v>81362.646405891413</v>
      </c>
      <c r="AV28" s="3">
        <f>'Installment card_1000 (indiv)'!AV22</f>
        <v>84674.417659197745</v>
      </c>
      <c r="AW28" s="3">
        <f>'Installment card_1000 (indiv)'!AW22</f>
        <v>88101.478994341291</v>
      </c>
      <c r="AX28" s="3">
        <f>'Installment card_1000 (indiv)'!AX22</f>
        <v>91637.924613227398</v>
      </c>
      <c r="AY28" s="3">
        <f>'Installment card_1000 (indiv)'!AY22</f>
        <v>95277.81161599484</v>
      </c>
      <c r="AZ28" s="3">
        <f>'Installment card_1000 (indiv)'!AZ22</f>
        <v>99015.172684503559</v>
      </c>
      <c r="BA28" s="3">
        <f>'Installment card_1000 (indiv)'!BA22</f>
        <v>102844.02855417294</v>
      </c>
      <c r="BB28" s="3">
        <f>'Installment card_1000 (indiv)'!BB22</f>
        <v>106498.64684536714</v>
      </c>
      <c r="BC28" s="397">
        <f>'Installment card_1000 (indiv)'!BC22</f>
        <v>106498.64684536714</v>
      </c>
      <c r="BD28" s="3">
        <f>'Installment card_1000 (indiv)'!BD22</f>
        <v>107135.45161944353</v>
      </c>
      <c r="BE28" s="3">
        <f>'Installment card_1000 (indiv)'!BE22</f>
        <v>109090.1067304428</v>
      </c>
      <c r="BF28" s="3">
        <f>'Installment card_1000 (indiv)'!BF22</f>
        <v>111199.05712706748</v>
      </c>
      <c r="BG28" s="3">
        <f>'Installment card_1000 (indiv)'!BG22</f>
        <v>113456.25932913751</v>
      </c>
      <c r="BH28" s="3">
        <f>'Installment card_1000 (indiv)'!BH22</f>
        <v>115855.6015875092</v>
      </c>
      <c r="BI28" s="3">
        <f>'Installment card_1000 (indiv)'!BI22</f>
        <v>118390.91784843223</v>
      </c>
      <c r="BJ28" s="3">
        <f>'Installment card_1000 (indiv)'!BJ22</f>
        <v>121056.00149757674</v>
      </c>
      <c r="BK28" s="3">
        <f>'Installment card_1000 (indiv)'!BK22</f>
        <v>123844.61884811755</v>
      </c>
      <c r="BL28" s="3">
        <f>'Installment card_1000 (indiv)'!BL22</f>
        <v>126750.52233906501</v>
      </c>
      <c r="BM28" s="3">
        <f>'Installment card_1000 (indiv)'!BM22</f>
        <v>129767.46341192655</v>
      </c>
      <c r="BN28" s="3">
        <f>'Installment card_1000 (indiv)'!BN22</f>
        <v>132889.20503575384</v>
      </c>
      <c r="BO28" s="3">
        <f>'Installment card_1000 (indiv)'!BO22</f>
        <v>135815.89250506184</v>
      </c>
      <c r="BP28" s="397">
        <f>'Installment card_1000 (indiv)'!BP22</f>
        <v>135815.89250506184</v>
      </c>
      <c r="CE28" s="404" t="s">
        <v>963</v>
      </c>
      <c r="CF28" s="13" t="s">
        <v>394</v>
      </c>
    </row>
    <row r="29" spans="1:84">
      <c r="A29" s="4" t="s">
        <v>654</v>
      </c>
      <c r="P29" s="349"/>
      <c r="AC29" s="349"/>
      <c r="AP29" s="349"/>
      <c r="BC29" s="349"/>
      <c r="BP29" s="349"/>
      <c r="CE29" s="4" t="s">
        <v>969</v>
      </c>
      <c r="CF29" s="13"/>
    </row>
    <row r="30" spans="1:84" s="405" customFormat="1">
      <c r="A30" s="409" t="s">
        <v>653</v>
      </c>
      <c r="B30" s="408" t="s">
        <v>231</v>
      </c>
      <c r="C30" s="408"/>
      <c r="D30" s="407"/>
      <c r="E30" s="407"/>
      <c r="F30" s="407"/>
      <c r="G30" s="407"/>
      <c r="H30" s="407"/>
      <c r="I30" s="407"/>
      <c r="J30" s="407">
        <f t="shared" ref="J30:AI30" si="30">J26/J25</f>
        <v>1</v>
      </c>
      <c r="K30" s="407">
        <f t="shared" si="30"/>
        <v>1</v>
      </c>
      <c r="L30" s="407">
        <f t="shared" si="30"/>
        <v>0.95355482740687059</v>
      </c>
      <c r="M30" s="407">
        <f t="shared" si="30"/>
        <v>0.92974524580899243</v>
      </c>
      <c r="N30" s="407">
        <f t="shared" si="30"/>
        <v>0.91501623486015404</v>
      </c>
      <c r="O30" s="407">
        <f t="shared" si="30"/>
        <v>0.90542852187369005</v>
      </c>
      <c r="P30" s="406">
        <f t="shared" si="30"/>
        <v>0.90542852187369005</v>
      </c>
      <c r="Q30" s="407">
        <f t="shared" si="30"/>
        <v>0.81809426671640595</v>
      </c>
      <c r="R30" s="407">
        <f t="shared" si="30"/>
        <v>0.76820335804999118</v>
      </c>
      <c r="S30" s="407">
        <f t="shared" si="30"/>
        <v>0.73615123031057572</v>
      </c>
      <c r="T30" s="407">
        <f t="shared" si="30"/>
        <v>0.71389839739336536</v>
      </c>
      <c r="U30" s="407">
        <f t="shared" si="30"/>
        <v>0.69759894784152843</v>
      </c>
      <c r="V30" s="407">
        <f t="shared" si="30"/>
        <v>0.68518234754452301</v>
      </c>
      <c r="W30" s="407">
        <f t="shared" si="30"/>
        <v>0.65914399712505878</v>
      </c>
      <c r="X30" s="407">
        <f t="shared" si="30"/>
        <v>0.63821374924054897</v>
      </c>
      <c r="Y30" s="407">
        <f t="shared" si="30"/>
        <v>0.62106310754206973</v>
      </c>
      <c r="Z30" s="407">
        <f t="shared" si="30"/>
        <v>0.60678436991680096</v>
      </c>
      <c r="AA30" s="407">
        <f t="shared" si="30"/>
        <v>0.5947365749343182</v>
      </c>
      <c r="AB30" s="407">
        <f t="shared" si="30"/>
        <v>0.58483123284458172</v>
      </c>
      <c r="AC30" s="406">
        <f t="shared" si="30"/>
        <v>0.58483123284458172</v>
      </c>
      <c r="AD30" s="407">
        <f t="shared" si="30"/>
        <v>0.57924004233412407</v>
      </c>
      <c r="AE30" s="407">
        <f t="shared" si="30"/>
        <v>0.57197557085699191</v>
      </c>
      <c r="AF30" s="407">
        <f t="shared" si="30"/>
        <v>0.56541631117201374</v>
      </c>
      <c r="AG30" s="407">
        <f t="shared" si="30"/>
        <v>0.55948955416664325</v>
      </c>
      <c r="AH30" s="407">
        <f t="shared" si="30"/>
        <v>0.55412877398539395</v>
      </c>
      <c r="AI30" s="407">
        <f t="shared" si="30"/>
        <v>0.54927378444859709</v>
      </c>
      <c r="AJ30" s="407">
        <f t="shared" ref="AJ30:BP30" si="31">AJ26/AJ25</f>
        <v>0.54487056302889347</v>
      </c>
      <c r="AK30" s="407">
        <f t="shared" si="31"/>
        <v>0.54087088474187561</v>
      </c>
      <c r="AL30" s="407">
        <f t="shared" si="31"/>
        <v>0.53723185978121257</v>
      </c>
      <c r="AM30" s="407">
        <f t="shared" si="31"/>
        <v>0.53391543498596361</v>
      </c>
      <c r="AN30" s="407">
        <f t="shared" si="31"/>
        <v>0.53088789624302812</v>
      </c>
      <c r="AO30" s="407">
        <f t="shared" si="31"/>
        <v>0.5282237366643675</v>
      </c>
      <c r="AP30" s="406">
        <f t="shared" si="31"/>
        <v>0.5282237366643675</v>
      </c>
      <c r="AQ30" s="407">
        <f t="shared" si="31"/>
        <v>0.52947681160228122</v>
      </c>
      <c r="AR30" s="407">
        <f t="shared" si="31"/>
        <v>0.52779644375331292</v>
      </c>
      <c r="AS30" s="407">
        <f t="shared" si="31"/>
        <v>0.52615683474487396</v>
      </c>
      <c r="AT30" s="407">
        <f t="shared" si="31"/>
        <v>0.524564208741783</v>
      </c>
      <c r="AU30" s="407">
        <f t="shared" si="31"/>
        <v>0.52302336347220357</v>
      </c>
      <c r="AV30" s="407">
        <f t="shared" si="31"/>
        <v>0.52153782161303641</v>
      </c>
      <c r="AW30" s="407">
        <f t="shared" si="31"/>
        <v>0.5201099869713709</v>
      </c>
      <c r="AX30" s="407">
        <f t="shared" si="31"/>
        <v>0.51874129847902806</v>
      </c>
      <c r="AY30" s="407">
        <f t="shared" si="31"/>
        <v>0.51743237696544708</v>
      </c>
      <c r="AZ30" s="407">
        <f t="shared" si="31"/>
        <v>0.51618316135111708</v>
      </c>
      <c r="BA30" s="407">
        <f t="shared" si="31"/>
        <v>0.51499303227674076</v>
      </c>
      <c r="BB30" s="407">
        <f t="shared" si="31"/>
        <v>0.51390424803007495</v>
      </c>
      <c r="BC30" s="406">
        <f t="shared" si="31"/>
        <v>0.51390424803007495</v>
      </c>
      <c r="BD30" s="407">
        <f t="shared" si="31"/>
        <v>0.51628867759789643</v>
      </c>
      <c r="BE30" s="407">
        <f t="shared" si="31"/>
        <v>0.51555258589528252</v>
      </c>
      <c r="BF30" s="407">
        <f t="shared" si="31"/>
        <v>0.51481715288153562</v>
      </c>
      <c r="BG30" s="407">
        <f t="shared" si="31"/>
        <v>0.51408628651709265</v>
      </c>
      <c r="BH30" s="407">
        <f t="shared" si="31"/>
        <v>0.51336348965482137</v>
      </c>
      <c r="BI30" s="407">
        <f t="shared" si="31"/>
        <v>0.51265184941498021</v>
      </c>
      <c r="BJ30" s="407">
        <f t="shared" si="31"/>
        <v>0.51195403797662598</v>
      </c>
      <c r="BK30" s="407">
        <f t="shared" si="31"/>
        <v>0.5112723228894962</v>
      </c>
      <c r="BL30" s="407">
        <f t="shared" si="31"/>
        <v>0.51060858496573969</v>
      </c>
      <c r="BM30" s="407">
        <f t="shared" si="31"/>
        <v>0.50996434187762385</v>
      </c>
      <c r="BN30" s="407">
        <f t="shared" si="31"/>
        <v>0.50934077573506975</v>
      </c>
      <c r="BO30" s="407">
        <f t="shared" si="31"/>
        <v>0.50876189222322921</v>
      </c>
      <c r="BP30" s="406">
        <f t="shared" si="31"/>
        <v>0.50876189222322921</v>
      </c>
      <c r="CE30" s="409" t="s">
        <v>961</v>
      </c>
      <c r="CF30" s="408" t="s">
        <v>231</v>
      </c>
    </row>
    <row r="31" spans="1:84" s="405" customFormat="1">
      <c r="A31" s="409" t="s">
        <v>652</v>
      </c>
      <c r="B31" s="408" t="s">
        <v>231</v>
      </c>
      <c r="C31" s="408"/>
      <c r="D31" s="407"/>
      <c r="E31" s="407"/>
      <c r="F31" s="407"/>
      <c r="G31" s="407"/>
      <c r="H31" s="407"/>
      <c r="I31" s="407"/>
      <c r="J31" s="407">
        <f t="shared" ref="J31:AI31" si="32">J27/J25</f>
        <v>0</v>
      </c>
      <c r="K31" s="407">
        <f t="shared" si="32"/>
        <v>0</v>
      </c>
      <c r="L31" s="407">
        <f t="shared" si="32"/>
        <v>4.64451725931294E-2</v>
      </c>
      <c r="M31" s="407">
        <f t="shared" si="32"/>
        <v>7.0254754191007601E-2</v>
      </c>
      <c r="N31" s="407">
        <f t="shared" si="32"/>
        <v>8.4983765139845971E-2</v>
      </c>
      <c r="O31" s="407">
        <f t="shared" si="32"/>
        <v>9.4571478126309977E-2</v>
      </c>
      <c r="P31" s="406">
        <f t="shared" si="32"/>
        <v>9.4571478126309977E-2</v>
      </c>
      <c r="Q31" s="407">
        <f t="shared" si="32"/>
        <v>0.181905733283594</v>
      </c>
      <c r="R31" s="407">
        <f t="shared" si="32"/>
        <v>0.23179664195000882</v>
      </c>
      <c r="S31" s="407">
        <f t="shared" si="32"/>
        <v>0.26384876968942417</v>
      </c>
      <c r="T31" s="407">
        <f t="shared" si="32"/>
        <v>0.28610160260663464</v>
      </c>
      <c r="U31" s="407">
        <f t="shared" si="32"/>
        <v>0.30240105215847157</v>
      </c>
      <c r="V31" s="407">
        <f t="shared" si="32"/>
        <v>0.31481765245547705</v>
      </c>
      <c r="W31" s="407">
        <f t="shared" si="32"/>
        <v>0.3245645491612319</v>
      </c>
      <c r="X31" s="407">
        <f t="shared" si="32"/>
        <v>0.33239933749727268</v>
      </c>
      <c r="Y31" s="407">
        <f t="shared" si="32"/>
        <v>0.33881931151173761</v>
      </c>
      <c r="Z31" s="407">
        <f t="shared" si="32"/>
        <v>0.34416424997673484</v>
      </c>
      <c r="AA31" s="407">
        <f t="shared" si="32"/>
        <v>0.34867408302432262</v>
      </c>
      <c r="AB31" s="407">
        <f t="shared" si="32"/>
        <v>0.35238193489007125</v>
      </c>
      <c r="AC31" s="406">
        <f t="shared" si="32"/>
        <v>0.35238193489007125</v>
      </c>
      <c r="AD31" s="407">
        <f t="shared" si="32"/>
        <v>0.35361631798797416</v>
      </c>
      <c r="AE31" s="407">
        <f t="shared" si="32"/>
        <v>0.35634516176648234</v>
      </c>
      <c r="AF31" s="407">
        <f t="shared" si="32"/>
        <v>0.35880909806787986</v>
      </c>
      <c r="AG31" s="407">
        <f t="shared" si="32"/>
        <v>0.36103543952048883</v>
      </c>
      <c r="AH31" s="407">
        <f t="shared" si="32"/>
        <v>0.36304917605887332</v>
      </c>
      <c r="AI31" s="407">
        <f t="shared" si="32"/>
        <v>0.36487291616631484</v>
      </c>
      <c r="AJ31" s="407">
        <f t="shared" ref="AJ31:BP31" si="33">AJ27/AJ25</f>
        <v>0.3665269529967129</v>
      </c>
      <c r="AK31" s="407">
        <f t="shared" si="33"/>
        <v>0.36802940190079636</v>
      </c>
      <c r="AL31" s="407">
        <f t="shared" si="33"/>
        <v>0.36939637410999304</v>
      </c>
      <c r="AM31" s="407">
        <f t="shared" si="33"/>
        <v>0.37064216400646305</v>
      </c>
      <c r="AN31" s="407">
        <f t="shared" si="33"/>
        <v>0.37177943604185598</v>
      </c>
      <c r="AO31" s="407">
        <f t="shared" si="33"/>
        <v>0.37278020744195939</v>
      </c>
      <c r="AP31" s="406">
        <f t="shared" si="33"/>
        <v>0.37278020744195939</v>
      </c>
      <c r="AQ31" s="407">
        <f t="shared" si="33"/>
        <v>0.3715241607155369</v>
      </c>
      <c r="AR31" s="407">
        <f t="shared" si="33"/>
        <v>0.37215762452822843</v>
      </c>
      <c r="AS31" s="407">
        <f t="shared" si="33"/>
        <v>0.37277572310375562</v>
      </c>
      <c r="AT31" s="407">
        <f t="shared" si="33"/>
        <v>0.3733761100611287</v>
      </c>
      <c r="AU31" s="407">
        <f t="shared" si="33"/>
        <v>0.37395697675637929</v>
      </c>
      <c r="AV31" s="407">
        <f t="shared" si="33"/>
        <v>0.37451699521340853</v>
      </c>
      <c r="AW31" s="407">
        <f t="shared" si="33"/>
        <v>0.37505525924682104</v>
      </c>
      <c r="AX31" s="407">
        <f t="shared" si="33"/>
        <v>0.37557122640917706</v>
      </c>
      <c r="AY31" s="407">
        <f t="shared" si="33"/>
        <v>0.3760646626606598</v>
      </c>
      <c r="AZ31" s="407">
        <f t="shared" si="33"/>
        <v>0.37653559102697731</v>
      </c>
      <c r="BA31" s="407">
        <f t="shared" si="33"/>
        <v>0.37698424499373373</v>
      </c>
      <c r="BB31" s="407">
        <f t="shared" si="33"/>
        <v>0.37739469406327208</v>
      </c>
      <c r="BC31" s="406">
        <f t="shared" si="33"/>
        <v>0.37739469406327208</v>
      </c>
      <c r="BD31" s="407">
        <f t="shared" si="33"/>
        <v>0.37573645564576885</v>
      </c>
      <c r="BE31" s="407">
        <f t="shared" si="33"/>
        <v>0.37601494824342446</v>
      </c>
      <c r="BF31" s="407">
        <f t="shared" si="33"/>
        <v>0.37629319163303571</v>
      </c>
      <c r="BG31" s="407">
        <f t="shared" si="33"/>
        <v>0.3765697072786407</v>
      </c>
      <c r="BH31" s="407">
        <f t="shared" si="33"/>
        <v>0.37684316991248978</v>
      </c>
      <c r="BI31" s="407">
        <f t="shared" si="33"/>
        <v>0.37711241155491804</v>
      </c>
      <c r="BJ31" s="407">
        <f t="shared" si="33"/>
        <v>0.37737642121492498</v>
      </c>
      <c r="BK31" s="407">
        <f t="shared" si="33"/>
        <v>0.37763434098878135</v>
      </c>
      <c r="BL31" s="407">
        <f t="shared" si="33"/>
        <v>0.37788545929088024</v>
      </c>
      <c r="BM31" s="407">
        <f t="shared" si="33"/>
        <v>0.37812920192579091</v>
      </c>
      <c r="BN31" s="407">
        <f t="shared" si="33"/>
        <v>0.37836512165458736</v>
      </c>
      <c r="BO31" s="407">
        <f t="shared" si="33"/>
        <v>0.37858413617734304</v>
      </c>
      <c r="BP31" s="406">
        <f t="shared" si="33"/>
        <v>0.37858413617734304</v>
      </c>
      <c r="CE31" s="409" t="s">
        <v>962</v>
      </c>
      <c r="CF31" s="408" t="s">
        <v>231</v>
      </c>
    </row>
    <row r="32" spans="1:84" s="405" customFormat="1">
      <c r="A32" s="409" t="s">
        <v>651</v>
      </c>
      <c r="B32" s="408" t="s">
        <v>231</v>
      </c>
      <c r="C32" s="408"/>
      <c r="D32" s="407"/>
      <c r="E32" s="407"/>
      <c r="F32" s="407"/>
      <c r="G32" s="407"/>
      <c r="H32" s="407"/>
      <c r="I32" s="407"/>
      <c r="J32" s="407">
        <f t="shared" ref="J32:AI32" si="34">J28/J25</f>
        <v>0</v>
      </c>
      <c r="K32" s="407">
        <f t="shared" si="34"/>
        <v>0</v>
      </c>
      <c r="L32" s="407">
        <f t="shared" si="34"/>
        <v>0</v>
      </c>
      <c r="M32" s="407">
        <f t="shared" si="34"/>
        <v>0</v>
      </c>
      <c r="N32" s="407">
        <f t="shared" si="34"/>
        <v>0</v>
      </c>
      <c r="O32" s="407">
        <f t="shared" si="34"/>
        <v>0</v>
      </c>
      <c r="P32" s="406">
        <f t="shared" si="34"/>
        <v>0</v>
      </c>
      <c r="Q32" s="407">
        <f t="shared" si="34"/>
        <v>0</v>
      </c>
      <c r="R32" s="407">
        <f t="shared" si="34"/>
        <v>0</v>
      </c>
      <c r="S32" s="407">
        <f t="shared" si="34"/>
        <v>0</v>
      </c>
      <c r="T32" s="407">
        <f t="shared" si="34"/>
        <v>0</v>
      </c>
      <c r="U32" s="407">
        <f t="shared" si="34"/>
        <v>0</v>
      </c>
      <c r="V32" s="407">
        <f t="shared" si="34"/>
        <v>0</v>
      </c>
      <c r="W32" s="407">
        <f t="shared" si="34"/>
        <v>1.6291453713709346E-2</v>
      </c>
      <c r="X32" s="407">
        <f t="shared" si="34"/>
        <v>2.9386913262178203E-2</v>
      </c>
      <c r="Y32" s="407">
        <f t="shared" si="34"/>
        <v>4.0117580946192728E-2</v>
      </c>
      <c r="Z32" s="407">
        <f t="shared" si="34"/>
        <v>4.9051380106464273E-2</v>
      </c>
      <c r="AA32" s="407">
        <f t="shared" si="34"/>
        <v>5.6589342041359209E-2</v>
      </c>
      <c r="AB32" s="407">
        <f t="shared" si="34"/>
        <v>6.2786832265347009E-2</v>
      </c>
      <c r="AC32" s="406">
        <f t="shared" si="34"/>
        <v>6.2786832265347009E-2</v>
      </c>
      <c r="AD32" s="407">
        <f t="shared" si="34"/>
        <v>6.7143639677901809E-2</v>
      </c>
      <c r="AE32" s="407">
        <f t="shared" si="34"/>
        <v>7.1679267376525677E-2</v>
      </c>
      <c r="AF32" s="407">
        <f t="shared" si="34"/>
        <v>7.577459076010637E-2</v>
      </c>
      <c r="AG32" s="407">
        <f t="shared" si="34"/>
        <v>7.9475006312867802E-2</v>
      </c>
      <c r="AH32" s="407">
        <f t="shared" si="34"/>
        <v>8.2822049955732724E-2</v>
      </c>
      <c r="AI32" s="407">
        <f t="shared" si="34"/>
        <v>8.5853299385088053E-2</v>
      </c>
      <c r="AJ32" s="407">
        <f t="shared" ref="AJ32:BP32" si="35">AJ28/AJ25</f>
        <v>8.8602483974393742E-2</v>
      </c>
      <c r="AK32" s="407">
        <f t="shared" si="35"/>
        <v>9.1099713357327985E-2</v>
      </c>
      <c r="AL32" s="407">
        <f t="shared" si="35"/>
        <v>9.3371766108794385E-2</v>
      </c>
      <c r="AM32" s="407">
        <f t="shared" si="35"/>
        <v>9.5442401007573466E-2</v>
      </c>
      <c r="AN32" s="407">
        <f t="shared" si="35"/>
        <v>9.7332667715115909E-2</v>
      </c>
      <c r="AO32" s="407">
        <f t="shared" si="35"/>
        <v>9.8996055893673038E-2</v>
      </c>
      <c r="AP32" s="406">
        <f t="shared" si="35"/>
        <v>9.8996055893673038E-2</v>
      </c>
      <c r="AQ32" s="407">
        <f t="shared" si="35"/>
        <v>9.8999027682181814E-2</v>
      </c>
      <c r="AR32" s="407">
        <f t="shared" si="35"/>
        <v>0.10004593171845863</v>
      </c>
      <c r="AS32" s="407">
        <f t="shared" si="35"/>
        <v>0.10106744215137041</v>
      </c>
      <c r="AT32" s="407">
        <f t="shared" si="35"/>
        <v>0.1020596811970883</v>
      </c>
      <c r="AU32" s="407">
        <f t="shared" si="35"/>
        <v>0.10301965977141722</v>
      </c>
      <c r="AV32" s="407">
        <f t="shared" si="35"/>
        <v>0.10394518317355507</v>
      </c>
      <c r="AW32" s="407">
        <f t="shared" si="35"/>
        <v>0.10483475378180805</v>
      </c>
      <c r="AX32" s="407">
        <f t="shared" si="35"/>
        <v>0.10568747511179485</v>
      </c>
      <c r="AY32" s="407">
        <f t="shared" si="35"/>
        <v>0.10650296037389315</v>
      </c>
      <c r="AZ32" s="407">
        <f t="shared" si="35"/>
        <v>0.10728124762190556</v>
      </c>
      <c r="BA32" s="407">
        <f t="shared" si="35"/>
        <v>0.10802272272952555</v>
      </c>
      <c r="BB32" s="407">
        <f t="shared" si="35"/>
        <v>0.10870105790665295</v>
      </c>
      <c r="BC32" s="406">
        <f t="shared" si="35"/>
        <v>0.10870105790665295</v>
      </c>
      <c r="BD32" s="407">
        <f t="shared" si="35"/>
        <v>0.10797486675633458</v>
      </c>
      <c r="BE32" s="407">
        <f t="shared" si="35"/>
        <v>0.10843246586129308</v>
      </c>
      <c r="BF32" s="407">
        <f t="shared" si="35"/>
        <v>0.10888965548542874</v>
      </c>
      <c r="BG32" s="407">
        <f t="shared" si="35"/>
        <v>0.10934400620426662</v>
      </c>
      <c r="BH32" s="407">
        <f t="shared" si="35"/>
        <v>0.10979334043268892</v>
      </c>
      <c r="BI32" s="407">
        <f t="shared" si="35"/>
        <v>0.11023573903010177</v>
      </c>
      <c r="BJ32" s="407">
        <f t="shared" si="35"/>
        <v>0.11066954080844904</v>
      </c>
      <c r="BK32" s="407">
        <f t="shared" si="35"/>
        <v>0.11109333612172241</v>
      </c>
      <c r="BL32" s="407">
        <f t="shared" si="35"/>
        <v>0.11150595574338013</v>
      </c>
      <c r="BM32" s="407">
        <f t="shared" si="35"/>
        <v>0.11190645619658522</v>
      </c>
      <c r="BN32" s="407">
        <f t="shared" si="35"/>
        <v>0.11229410261034294</v>
      </c>
      <c r="BO32" s="407">
        <f t="shared" si="35"/>
        <v>0.11265397159942782</v>
      </c>
      <c r="BP32" s="406">
        <f t="shared" si="35"/>
        <v>0.11265397159942782</v>
      </c>
      <c r="CE32" s="409" t="s">
        <v>963</v>
      </c>
      <c r="CF32" s="408" t="s">
        <v>231</v>
      </c>
    </row>
    <row r="33" spans="1:84" s="17" customFormat="1" ht="15.6">
      <c r="A33" s="17" t="s">
        <v>650</v>
      </c>
      <c r="B33" s="12" t="s">
        <v>502</v>
      </c>
      <c r="C33" s="13"/>
      <c r="D33" s="60">
        <f t="shared" ref="D33:O33" si="36">SUM(D34:D36)</f>
        <v>0</v>
      </c>
      <c r="E33" s="60">
        <f t="shared" si="36"/>
        <v>0</v>
      </c>
      <c r="F33" s="60">
        <f t="shared" si="36"/>
        <v>0</v>
      </c>
      <c r="G33" s="60">
        <f t="shared" si="36"/>
        <v>0</v>
      </c>
      <c r="H33" s="60">
        <f t="shared" si="36"/>
        <v>0</v>
      </c>
      <c r="I33" s="60">
        <f t="shared" si="36"/>
        <v>0</v>
      </c>
      <c r="J33" s="60">
        <f t="shared" si="36"/>
        <v>102.50790476693754</v>
      </c>
      <c r="K33" s="60">
        <f t="shared" si="36"/>
        <v>208.98880978827344</v>
      </c>
      <c r="L33" s="60">
        <f t="shared" si="36"/>
        <v>371.75277590956881</v>
      </c>
      <c r="M33" s="60">
        <f t="shared" si="36"/>
        <v>492.77628644436135</v>
      </c>
      <c r="N33" s="60">
        <f t="shared" si="36"/>
        <v>617.54621677411762</v>
      </c>
      <c r="O33" s="60">
        <f t="shared" si="36"/>
        <v>737.81951103722417</v>
      </c>
      <c r="P33" s="372">
        <f t="shared" ref="P33:P40" si="37">SUM(D33:O33)</f>
        <v>2531.3915047204828</v>
      </c>
      <c r="Q33" s="60">
        <f t="shared" ref="Q33:AB33" si="38">SUM(Q34:Q36)</f>
        <v>1409.2259476353597</v>
      </c>
      <c r="R33" s="60">
        <f t="shared" si="38"/>
        <v>1734.910718274597</v>
      </c>
      <c r="S33" s="60">
        <f t="shared" si="38"/>
        <v>2095.8838452532659</v>
      </c>
      <c r="T33" s="60">
        <f t="shared" si="38"/>
        <v>2471.1468804219867</v>
      </c>
      <c r="U33" s="60">
        <f t="shared" si="38"/>
        <v>2860.2012001075209</v>
      </c>
      <c r="V33" s="60">
        <f t="shared" si="38"/>
        <v>3262.5317650506663</v>
      </c>
      <c r="W33" s="60">
        <f t="shared" si="38"/>
        <v>4551.8447092043061</v>
      </c>
      <c r="X33" s="60">
        <f t="shared" si="38"/>
        <v>5077.8281182281771</v>
      </c>
      <c r="Y33" s="60">
        <f t="shared" si="38"/>
        <v>5616.5780694992845</v>
      </c>
      <c r="Z33" s="60">
        <f t="shared" si="38"/>
        <v>6167.4020120161967</v>
      </c>
      <c r="AA33" s="60">
        <f t="shared" si="38"/>
        <v>6729.5974257877315</v>
      </c>
      <c r="AB33" s="60">
        <f t="shared" si="38"/>
        <v>7212.549414686885</v>
      </c>
      <c r="AC33" s="372">
        <f t="shared" ref="AC33:AC40" si="39">SUM(Q33:AB33)</f>
        <v>49189.700106165983</v>
      </c>
      <c r="AD33" s="60">
        <f t="shared" ref="AD33:AO33" si="40">SUM(AD34:AD36)</f>
        <v>8677.640357789156</v>
      </c>
      <c r="AE33" s="60">
        <f t="shared" si="40"/>
        <v>8400.7966707347368</v>
      </c>
      <c r="AF33" s="60">
        <f t="shared" si="40"/>
        <v>9010.2254103304622</v>
      </c>
      <c r="AG33" s="60">
        <f t="shared" si="40"/>
        <v>9639.3098667781505</v>
      </c>
      <c r="AH33" s="60">
        <f t="shared" si="40"/>
        <v>10287.115055096983</v>
      </c>
      <c r="AI33" s="60">
        <f t="shared" si="40"/>
        <v>10952.692222634974</v>
      </c>
      <c r="AJ33" s="60">
        <f t="shared" si="40"/>
        <v>11635.080969835617</v>
      </c>
      <c r="AK33" s="60">
        <f t="shared" si="40"/>
        <v>12333.311367510771</v>
      </c>
      <c r="AL33" s="60">
        <f t="shared" si="40"/>
        <v>13046.406064287443</v>
      </c>
      <c r="AM33" s="60">
        <f t="shared" si="40"/>
        <v>13773.382378028211</v>
      </c>
      <c r="AN33" s="60">
        <f t="shared" si="40"/>
        <v>14513.25436518017</v>
      </c>
      <c r="AO33" s="60">
        <f t="shared" si="40"/>
        <v>15119.621036375431</v>
      </c>
      <c r="AP33" s="372">
        <f t="shared" ref="AP33:AP40" si="41">SUM(AD33:AO33)</f>
        <v>137388.83576458209</v>
      </c>
      <c r="AQ33" s="60">
        <f t="shared" ref="AQ33:BB33" si="42">SUM(AQ34:AQ36)</f>
        <v>17468.652483793787</v>
      </c>
      <c r="AR33" s="60">
        <f t="shared" si="42"/>
        <v>15532.462178878861</v>
      </c>
      <c r="AS33" s="60">
        <f t="shared" si="42"/>
        <v>16050.363989916917</v>
      </c>
      <c r="AT33" s="60">
        <f t="shared" si="42"/>
        <v>16587.570448191556</v>
      </c>
      <c r="AU33" s="60">
        <f t="shared" si="42"/>
        <v>17143.126808149886</v>
      </c>
      <c r="AV33" s="60">
        <f t="shared" si="42"/>
        <v>17716.071243009967</v>
      </c>
      <c r="AW33" s="60">
        <f t="shared" si="42"/>
        <v>18305.436932246939</v>
      </c>
      <c r="AX33" s="60">
        <f t="shared" si="42"/>
        <v>18910.254116638869</v>
      </c>
      <c r="AY33" s="60">
        <f t="shared" si="42"/>
        <v>19529.552115370388</v>
      </c>
      <c r="AZ33" s="60">
        <f t="shared" si="42"/>
        <v>20162.361299944012</v>
      </c>
      <c r="BA33" s="60">
        <f t="shared" si="42"/>
        <v>20807.715019917119</v>
      </c>
      <c r="BB33" s="60">
        <f t="shared" si="42"/>
        <v>21291.565717987243</v>
      </c>
      <c r="BC33" s="372">
        <f t="shared" ref="BC33:BC40" si="43">SUM(AQ33:BB33)</f>
        <v>219505.13235404555</v>
      </c>
      <c r="BD33" s="60">
        <f t="shared" ref="BD33:BO33" si="44">SUM(BD34:BD36)</f>
        <v>25025.515503204682</v>
      </c>
      <c r="BE33" s="60">
        <f t="shared" si="44"/>
        <v>21430.696775552784</v>
      </c>
      <c r="BF33" s="60">
        <f t="shared" si="44"/>
        <v>21836.875487809895</v>
      </c>
      <c r="BG33" s="60">
        <f t="shared" si="44"/>
        <v>22265.737152748181</v>
      </c>
      <c r="BH33" s="60">
        <f t="shared" si="44"/>
        <v>22716.224848929043</v>
      </c>
      <c r="BI33" s="60">
        <f t="shared" si="44"/>
        <v>23187.278273767653</v>
      </c>
      <c r="BJ33" s="60">
        <f t="shared" si="44"/>
        <v>23677.835971012624</v>
      </c>
      <c r="BK33" s="60">
        <f t="shared" si="44"/>
        <v>24186.837499518319</v>
      </c>
      <c r="BL33" s="60">
        <f t="shared" si="44"/>
        <v>24713.225538384864</v>
      </c>
      <c r="BM33" s="60">
        <f t="shared" si="44"/>
        <v>25255.947923901902</v>
      </c>
      <c r="BN33" s="60">
        <f t="shared" si="44"/>
        <v>25813.959614100731</v>
      </c>
      <c r="BO33" s="60">
        <f t="shared" si="44"/>
        <v>26176.973715853394</v>
      </c>
      <c r="BP33" s="372">
        <f t="shared" ref="BP33:BP40" si="45">SUM(BD33:BO33)</f>
        <v>286287.10830478405</v>
      </c>
      <c r="CE33" s="17" t="s">
        <v>973</v>
      </c>
      <c r="CF33" s="12" t="s">
        <v>965</v>
      </c>
    </row>
    <row r="34" spans="1:84" outlineLevel="1">
      <c r="A34" s="404" t="s">
        <v>647</v>
      </c>
      <c r="B34" s="12" t="s">
        <v>502</v>
      </c>
      <c r="D34" s="3">
        <f>'Micro_30 (indiv)'!D26</f>
        <v>0</v>
      </c>
      <c r="E34" s="3">
        <f>'Micro_30 (indiv)'!E26</f>
        <v>0</v>
      </c>
      <c r="F34" s="3">
        <f>'Micro_30 (indiv)'!F26</f>
        <v>0</v>
      </c>
      <c r="G34" s="3">
        <f>'Micro_30 (indiv)'!G26</f>
        <v>0</v>
      </c>
      <c r="H34" s="3">
        <f>'Micro_30 (indiv)'!H26</f>
        <v>0</v>
      </c>
      <c r="I34" s="3">
        <f>'Micro_30 (indiv)'!I26</f>
        <v>0</v>
      </c>
      <c r="J34" s="3">
        <f>'Micro_30 (indiv)'!J26</f>
        <v>102.50790476693754</v>
      </c>
      <c r="K34" s="3">
        <f>'Micro_30 (indiv)'!K26</f>
        <v>208.98880978827344</v>
      </c>
      <c r="L34" s="3">
        <f>'Micro_30 (indiv)'!L26</f>
        <v>319.32034215796881</v>
      </c>
      <c r="M34" s="3">
        <f>'Micro_30 (indiv)'!M26</f>
        <v>433.37484252058641</v>
      </c>
      <c r="N34" s="3">
        <f>'Micro_30 (indiv)'!N26</f>
        <v>551.01964153579877</v>
      </c>
      <c r="O34" s="3">
        <f>'Micro_30 (indiv)'!O26</f>
        <v>667.08383412184855</v>
      </c>
      <c r="P34" s="397">
        <f t="shared" si="37"/>
        <v>2282.2953748914138</v>
      </c>
      <c r="Q34" s="3">
        <f>'Micro_30 (indiv)'!Q26</f>
        <v>943.54048807307561</v>
      </c>
      <c r="R34" s="3">
        <f>'Micro_30 (indiv)'!R26</f>
        <v>1234.0138661119227</v>
      </c>
      <c r="S34" s="3">
        <f>'Micro_30 (indiv)'!S26</f>
        <v>1538.1153777917375</v>
      </c>
      <c r="T34" s="3">
        <f>'Micro_30 (indiv)'!T26</f>
        <v>1855.4387105985331</v>
      </c>
      <c r="U34" s="3">
        <f>'Micro_30 (indiv)'!U26</f>
        <v>2185.5607666304873</v>
      </c>
      <c r="V34" s="3">
        <f>'Micro_30 (indiv)'!V26</f>
        <v>2528.0426346841532</v>
      </c>
      <c r="W34" s="3">
        <f>'Micro_30 (indiv)'!W26</f>
        <v>2882.4305945832821</v>
      </c>
      <c r="X34" s="3">
        <f>'Micro_30 (indiv)'!X26</f>
        <v>3248.257150495444</v>
      </c>
      <c r="Y34" s="3">
        <f>'Micro_30 (indiv)'!Y26</f>
        <v>3625.0420899045962</v>
      </c>
      <c r="Z34" s="3">
        <f>'Micro_30 (indiv)'!Z26</f>
        <v>4012.2935648446091</v>
      </c>
      <c r="AA34" s="3">
        <f>'Micro_30 (indiv)'!AA26</f>
        <v>4409.5091919497054</v>
      </c>
      <c r="AB34" s="3">
        <f>'Micro_30 (indiv)'!AB26</f>
        <v>4797.5340592431194</v>
      </c>
      <c r="AC34" s="397">
        <f t="shared" si="39"/>
        <v>33259.778494910664</v>
      </c>
      <c r="AD34" s="3">
        <f>'Micro_30 (indiv)'!AD26</f>
        <v>5166.0059838191346</v>
      </c>
      <c r="AE34" s="3">
        <f>'Micro_30 (indiv)'!AE26</f>
        <v>5552.2748889497661</v>
      </c>
      <c r="AF34" s="3">
        <f>'Micro_30 (indiv)'!AF26</f>
        <v>5955.7231449826722</v>
      </c>
      <c r="AG34" s="3">
        <f>'Micro_30 (indiv)'!AG26</f>
        <v>6375.7153824246407</v>
      </c>
      <c r="AH34" s="3">
        <f>'Micro_30 (indiv)'!AH26</f>
        <v>6811.5999932984996</v>
      </c>
      <c r="AI34" s="3">
        <f>'Micro_30 (indiv)'!AI26</f>
        <v>7262.7106535786152</v>
      </c>
      <c r="AJ34" s="3">
        <f>'Micro_30 (indiv)'!AJ26</f>
        <v>7728.367861863615</v>
      </c>
      <c r="AK34" s="3">
        <f>'Micro_30 (indiv)'!AK26</f>
        <v>8207.8804894511341</v>
      </c>
      <c r="AL34" s="3">
        <f>'Micro_30 (indiv)'!AL26</f>
        <v>8700.5473370047494</v>
      </c>
      <c r="AM34" s="3">
        <f>'Micro_30 (indiv)'!AM26</f>
        <v>9205.6586930474641</v>
      </c>
      <c r="AN34" s="3">
        <f>'Micro_30 (indiv)'!AN26</f>
        <v>9722.4978895789191</v>
      </c>
      <c r="AO34" s="3">
        <f>'Micro_30 (indiv)'!AO26</f>
        <v>10221.771364254235</v>
      </c>
      <c r="AP34" s="397">
        <f t="shared" si="41"/>
        <v>90910.753682253446</v>
      </c>
      <c r="AQ34" s="3">
        <f>'Micro_30 (indiv)'!AQ26</f>
        <v>10512.914726625153</v>
      </c>
      <c r="AR34" s="3">
        <f>'Micro_30 (indiv)'!AR26</f>
        <v>10821.624975658442</v>
      </c>
      <c r="AS34" s="3">
        <f>'Micro_30 (indiv)'!AS26</f>
        <v>11147.259630258479</v>
      </c>
      <c r="AT34" s="3">
        <f>'Micro_30 (indiv)'!AT26</f>
        <v>11489.163029862117</v>
      </c>
      <c r="AU34" s="3">
        <f>'Micro_30 (indiv)'!AU26</f>
        <v>11846.667896169676</v>
      </c>
      <c r="AV34" s="3">
        <f>'Micro_30 (indiv)'!AV26</f>
        <v>12219.096894247421</v>
      </c>
      <c r="AW34" s="3">
        <f>'Micro_30 (indiv)'!AW26</f>
        <v>12605.764188330098</v>
      </c>
      <c r="AX34" s="3">
        <f>'Micro_30 (indiv)'!AX26</f>
        <v>13005.976987759521</v>
      </c>
      <c r="AY34" s="3">
        <f>'Micro_30 (indiv)'!AY26</f>
        <v>13419.037078618629</v>
      </c>
      <c r="AZ34" s="3">
        <f>'Micro_30 (indiv)'!AZ26</f>
        <v>13844.242336759396</v>
      </c>
      <c r="BA34" s="3">
        <f>'Micro_30 (indiv)'!BA26</f>
        <v>14280.888218076205</v>
      </c>
      <c r="BB34" s="3">
        <f>'Micro_30 (indiv)'!BB26</f>
        <v>14696.082388198496</v>
      </c>
      <c r="BC34" s="397">
        <f t="shared" si="43"/>
        <v>149888.71835056363</v>
      </c>
      <c r="BD34" s="3">
        <f>'Micro_30 (indiv)'!BD26</f>
        <v>14883.387426800162</v>
      </c>
      <c r="BE34" s="3">
        <f>'Micro_30 (indiv)'!BE26</f>
        <v>15090.974718308671</v>
      </c>
      <c r="BF34" s="3">
        <f>'Micro_30 (indiv)'!BF26</f>
        <v>15318.129619109841</v>
      </c>
      <c r="BG34" s="3">
        <f>'Micro_30 (indiv)'!BG26</f>
        <v>15564.126000265906</v>
      </c>
      <c r="BH34" s="3">
        <f>'Micro_30 (indiv)'!BH26</f>
        <v>15828.227986906488</v>
      </c>
      <c r="BI34" s="3">
        <f>'Micro_30 (indiv)'!BI26</f>
        <v>16109.691678499594</v>
      </c>
      <c r="BJ34" s="3">
        <f>'Micro_30 (indiv)'!BJ26</f>
        <v>16407.766845319929</v>
      </c>
      <c r="BK34" s="3">
        <f>'Micro_30 (indiv)'!BK26</f>
        <v>16721.698596631915</v>
      </c>
      <c r="BL34" s="3">
        <f>'Micro_30 (indiv)'!BL26</f>
        <v>17050.729016318477</v>
      </c>
      <c r="BM34" s="3">
        <f>'Micro_30 (indiv)'!BM26</f>
        <v>17394.098761911246</v>
      </c>
      <c r="BN34" s="3">
        <f>'Micro_30 (indiv)'!BN26</f>
        <v>17751.048623213363</v>
      </c>
      <c r="BO34" s="3">
        <f>'Micro_30 (indiv)'!BO26</f>
        <v>18084.035197799229</v>
      </c>
      <c r="BP34" s="397">
        <f t="shared" si="45"/>
        <v>196203.91447108483</v>
      </c>
      <c r="CE34" s="404" t="s">
        <v>970</v>
      </c>
      <c r="CF34" s="12" t="s">
        <v>965</v>
      </c>
    </row>
    <row r="35" spans="1:84" outlineLevel="1">
      <c r="A35" s="404" t="s">
        <v>646</v>
      </c>
      <c r="B35" s="12" t="s">
        <v>502</v>
      </c>
      <c r="D35" s="3">
        <f>'Installment card_150 (indiv)'!D52</f>
        <v>0</v>
      </c>
      <c r="E35" s="3">
        <f>'Installment card_150 (indiv)'!E52</f>
        <v>0</v>
      </c>
      <c r="F35" s="3">
        <f>'Installment card_150 (indiv)'!F52</f>
        <v>0</v>
      </c>
      <c r="G35" s="3">
        <f>'Installment card_150 (indiv)'!G52</f>
        <v>0</v>
      </c>
      <c r="H35" s="3">
        <f>'Installment card_150 (indiv)'!H52</f>
        <v>0</v>
      </c>
      <c r="I35" s="3">
        <f>'Installment card_150 (indiv)'!I52</f>
        <v>0</v>
      </c>
      <c r="J35" s="3">
        <f>'Installment card_150 (indiv)'!J52</f>
        <v>0</v>
      </c>
      <c r="K35" s="3">
        <f>'Installment card_150 (indiv)'!K52</f>
        <v>0</v>
      </c>
      <c r="L35" s="3">
        <f>'Installment card_150 (indiv)'!L52</f>
        <v>52.432433751600001</v>
      </c>
      <c r="M35" s="3">
        <f>'Installment card_150 (indiv)'!M52</f>
        <v>59.401443923774927</v>
      </c>
      <c r="N35" s="3">
        <f>'Installment card_150 (indiv)'!N52</f>
        <v>66.526575238318813</v>
      </c>
      <c r="O35" s="3">
        <f>'Installment card_150 (indiv)'!O52</f>
        <v>70.735676915375592</v>
      </c>
      <c r="P35" s="397">
        <f t="shared" si="37"/>
        <v>249.09612982906933</v>
      </c>
      <c r="Q35" s="3">
        <f>'Installment card_150 (indiv)'!Q52</f>
        <v>465.68545956228411</v>
      </c>
      <c r="R35" s="3">
        <f>'Installment card_150 (indiv)'!R52</f>
        <v>500.89685216267435</v>
      </c>
      <c r="S35" s="3">
        <f>'Installment card_150 (indiv)'!S52</f>
        <v>557.76846746152853</v>
      </c>
      <c r="T35" s="3">
        <f>'Installment card_150 (indiv)'!T52</f>
        <v>615.70816982345377</v>
      </c>
      <c r="U35" s="3">
        <f>'Installment card_150 (indiv)'!U52</f>
        <v>674.64043347703375</v>
      </c>
      <c r="V35" s="3">
        <f>'Installment card_150 (indiv)'!V52</f>
        <v>734.489130366513</v>
      </c>
      <c r="W35" s="3">
        <f>'Installment card_150 (indiv)'!W52</f>
        <v>795.17769892306478</v>
      </c>
      <c r="X35" s="3">
        <f>'Installment card_150 (indiv)'!X52</f>
        <v>856.62931189385984</v>
      </c>
      <c r="Y35" s="3">
        <f>'Installment card_150 (indiv)'!Y52</f>
        <v>918.7670427104805</v>
      </c>
      <c r="Z35" s="3">
        <f>'Installment card_150 (indiv)'!Z52</f>
        <v>981.51402988978452</v>
      </c>
      <c r="AA35" s="3">
        <f>'Installment card_150 (indiv)'!AA52</f>
        <v>1044.7936389738247</v>
      </c>
      <c r="AB35" s="3">
        <f>'Installment card_150 (indiv)'!AB52</f>
        <v>1080.1970025403866</v>
      </c>
      <c r="AC35" s="397">
        <f t="shared" si="39"/>
        <v>9226.2672377848885</v>
      </c>
      <c r="AD35" s="3">
        <f>'Installment card_150 (indiv)'!AD52</f>
        <v>1816.4167596420004</v>
      </c>
      <c r="AE35" s="3">
        <f>'Installment card_150 (indiv)'!AE52</f>
        <v>1288.8730952708211</v>
      </c>
      <c r="AF35" s="3">
        <f>'Installment card_150 (indiv)'!AF52</f>
        <v>1370.4909468649357</v>
      </c>
      <c r="AG35" s="3">
        <f>'Installment card_150 (indiv)'!AG52</f>
        <v>1453.3674254549028</v>
      </c>
      <c r="AH35" s="3">
        <f>'Installment card_150 (indiv)'!AH52</f>
        <v>1537.3897374282203</v>
      </c>
      <c r="AI35" s="3">
        <f>'Installment card_150 (indiv)'!AI52</f>
        <v>1622.4454345822478</v>
      </c>
      <c r="AJ35" s="3">
        <f>'Installment card_150 (indiv)'!AJ52</f>
        <v>1708.4226464932813</v>
      </c>
      <c r="AK35" s="3">
        <f>'Installment card_150 (indiv)'!AK52</f>
        <v>1795.2103070271</v>
      </c>
      <c r="AL35" s="3">
        <f>'Installment card_150 (indiv)'!AL52</f>
        <v>1882.6983743813107</v>
      </c>
      <c r="AM35" s="3">
        <f>'Installment card_150 (indiv)'!AM52</f>
        <v>1970.7780440846861</v>
      </c>
      <c r="AN35" s="3">
        <f>'Installment card_150 (indiv)'!AN52</f>
        <v>2059.3419544151607</v>
      </c>
      <c r="AO35" s="3">
        <f>'Installment card_150 (indiv)'!AO52</f>
        <v>2100.5211299386451</v>
      </c>
      <c r="AP35" s="397">
        <f t="shared" si="41"/>
        <v>20605.955855583314</v>
      </c>
      <c r="AQ35" s="3">
        <f>'Installment card_150 (indiv)'!AQ52</f>
        <v>3517.3046938666948</v>
      </c>
      <c r="AR35" s="3">
        <f>'Installment card_150 (indiv)'!AR52</f>
        <v>2079.4567907537244</v>
      </c>
      <c r="AS35" s="3">
        <f>'Installment card_150 (indiv)'!AS52</f>
        <v>2157.4658559111303</v>
      </c>
      <c r="AT35" s="3">
        <f>'Installment card_150 (indiv)'!AT52</f>
        <v>2236.7710030115427</v>
      </c>
      <c r="AU35" s="3">
        <f>'Installment card_150 (indiv)'!AU52</f>
        <v>2317.2538776450288</v>
      </c>
      <c r="AV35" s="3">
        <f>'Installment card_150 (indiv)'!AV52</f>
        <v>2398.7972762300483</v>
      </c>
      <c r="AW35" s="3">
        <f>'Installment card_150 (indiv)'!AW52</f>
        <v>2481.2853669507458</v>
      </c>
      <c r="AX35" s="3">
        <f>'Installment card_150 (indiv)'!AX52</f>
        <v>2564.6039015400538</v>
      </c>
      <c r="AY35" s="3">
        <f>'Installment card_150 (indiv)'!AY52</f>
        <v>2648.6404174614127</v>
      </c>
      <c r="AZ35" s="3">
        <f>'Installment card_150 (indiv)'!AZ52</f>
        <v>2733.2844300879096</v>
      </c>
      <c r="BA35" s="3">
        <f>'Installment card_150 (indiv)'!BA52</f>
        <v>2818.427614524845</v>
      </c>
      <c r="BB35" s="3">
        <f>'Installment card_150 (indiv)'!BB52</f>
        <v>2844.7762009272533</v>
      </c>
      <c r="BC35" s="397">
        <f t="shared" si="43"/>
        <v>30798.067428910388</v>
      </c>
      <c r="BD35" s="3">
        <f>'Installment card_150 (indiv)'!BD52</f>
        <v>5174.0500497489084</v>
      </c>
      <c r="BE35" s="3">
        <f>'Installment card_150 (indiv)'!BE52</f>
        <v>2810.0103150234163</v>
      </c>
      <c r="BF35" s="3">
        <f>'Installment card_150 (indiv)'!BF52</f>
        <v>2884.6914859804906</v>
      </c>
      <c r="BG35" s="3">
        <f>'Installment card_150 (indiv)'!BG52</f>
        <v>2961.0761012573607</v>
      </c>
      <c r="BH35" s="3">
        <f>'Installment card_150 (indiv)'!BH52</f>
        <v>3039.026860942623</v>
      </c>
      <c r="BI35" s="3">
        <f>'Installment card_150 (indiv)'!BI52</f>
        <v>3118.4083534981169</v>
      </c>
      <c r="BJ35" s="3">
        <f>'Installment card_150 (indiv)'!BJ52</f>
        <v>3199.0872861678531</v>
      </c>
      <c r="BK35" s="3">
        <f>'Installment card_150 (indiv)'!BK52</f>
        <v>3280.9327025250072</v>
      </c>
      <c r="BL35" s="3">
        <f>'Installment card_150 (indiv)'!BL52</f>
        <v>3363.816186861045</v>
      </c>
      <c r="BM35" s="3">
        <f>'Installment card_150 (indiv)'!BM52</f>
        <v>3447.6120551790073</v>
      </c>
      <c r="BN35" s="3">
        <f>'Installment card_150 (indiv)'!BN52</f>
        <v>3532.1975326100701</v>
      </c>
      <c r="BO35" s="3">
        <f>'Installment card_150 (indiv)'!BO52</f>
        <v>3543.0436349495662</v>
      </c>
      <c r="BP35" s="397">
        <f t="shared" si="45"/>
        <v>40353.952564743464</v>
      </c>
      <c r="CE35" s="404" t="s">
        <v>971</v>
      </c>
      <c r="CF35" s="12" t="s">
        <v>965</v>
      </c>
    </row>
    <row r="36" spans="1:84" outlineLevel="1">
      <c r="A36" s="404" t="s">
        <v>645</v>
      </c>
      <c r="B36" s="12" t="s">
        <v>502</v>
      </c>
      <c r="D36" s="3">
        <f>'Installment card_1000 (indiv)'!D52</f>
        <v>0</v>
      </c>
      <c r="E36" s="3">
        <f>'Installment card_1000 (indiv)'!E52</f>
        <v>0</v>
      </c>
      <c r="F36" s="3">
        <f>'Installment card_1000 (indiv)'!F52</f>
        <v>0</v>
      </c>
      <c r="G36" s="3">
        <f>'Installment card_1000 (indiv)'!G52</f>
        <v>0</v>
      </c>
      <c r="H36" s="3">
        <f>'Installment card_1000 (indiv)'!H52</f>
        <v>0</v>
      </c>
      <c r="I36" s="3">
        <f>'Installment card_1000 (indiv)'!I52</f>
        <v>0</v>
      </c>
      <c r="J36" s="3">
        <f>'Installment card_1000 (indiv)'!J52</f>
        <v>0</v>
      </c>
      <c r="K36" s="3">
        <f>'Installment card_1000 (indiv)'!K52</f>
        <v>0</v>
      </c>
      <c r="L36" s="3">
        <f>'Installment card_1000 (indiv)'!L52</f>
        <v>0</v>
      </c>
      <c r="M36" s="3">
        <f>'Installment card_1000 (indiv)'!M52</f>
        <v>0</v>
      </c>
      <c r="N36" s="3">
        <f>'Installment card_1000 (indiv)'!N52</f>
        <v>0</v>
      </c>
      <c r="O36" s="3">
        <f>'Installment card_1000 (indiv)'!O52</f>
        <v>0</v>
      </c>
      <c r="P36" s="397">
        <f t="shared" si="37"/>
        <v>0</v>
      </c>
      <c r="Q36" s="3">
        <f>'Installment card_1000 (indiv)'!Q52</f>
        <v>0</v>
      </c>
      <c r="R36" s="3">
        <f>'Installment card_1000 (indiv)'!R52</f>
        <v>0</v>
      </c>
      <c r="S36" s="3">
        <f>'Installment card_1000 (indiv)'!S52</f>
        <v>0</v>
      </c>
      <c r="T36" s="3">
        <f>'Installment card_1000 (indiv)'!T52</f>
        <v>0</v>
      </c>
      <c r="U36" s="3">
        <f>'Installment card_1000 (indiv)'!U52</f>
        <v>0</v>
      </c>
      <c r="V36" s="3">
        <f>'Installment card_1000 (indiv)'!V52</f>
        <v>0</v>
      </c>
      <c r="W36" s="3">
        <f>'Installment card_1000 (indiv)'!W52</f>
        <v>874.23641569795961</v>
      </c>
      <c r="X36" s="3">
        <f>'Installment card_1000 (indiv)'!X52</f>
        <v>972.94165583887252</v>
      </c>
      <c r="Y36" s="3">
        <f>'Installment card_1000 (indiv)'!Y52</f>
        <v>1072.7689368842075</v>
      </c>
      <c r="Z36" s="3">
        <f>'Installment card_1000 (indiv)'!Z52</f>
        <v>1173.5944172818035</v>
      </c>
      <c r="AA36" s="3">
        <f>'Installment card_1000 (indiv)'!AA52</f>
        <v>1275.2945948642005</v>
      </c>
      <c r="AB36" s="3">
        <f>'Installment card_1000 (indiv)'!AB52</f>
        <v>1334.8183529033784</v>
      </c>
      <c r="AC36" s="397">
        <f t="shared" si="39"/>
        <v>6703.6543734704219</v>
      </c>
      <c r="AD36" s="3">
        <f>'Installment card_1000 (indiv)'!AD52</f>
        <v>1695.2176143280212</v>
      </c>
      <c r="AE36" s="3">
        <f>'Installment card_1000 (indiv)'!AE52</f>
        <v>1559.6486865141503</v>
      </c>
      <c r="AF36" s="3">
        <f>'Installment card_1000 (indiv)'!AF52</f>
        <v>1684.0113184828544</v>
      </c>
      <c r="AG36" s="3">
        <f>'Installment card_1000 (indiv)'!AG52</f>
        <v>1810.2270588986069</v>
      </c>
      <c r="AH36" s="3">
        <f>'Installment card_1000 (indiv)'!AH52</f>
        <v>1938.1253243702627</v>
      </c>
      <c r="AI36" s="3">
        <f>'Installment card_1000 (indiv)'!AI52</f>
        <v>2067.5361344741113</v>
      </c>
      <c r="AJ36" s="3">
        <f>'Installment card_1000 (indiv)'!AJ52</f>
        <v>2198.2904614787194</v>
      </c>
      <c r="AK36" s="3">
        <f>'Installment card_1000 (indiv)'!AK52</f>
        <v>2330.2205710325352</v>
      </c>
      <c r="AL36" s="3">
        <f>'Installment card_1000 (indiv)'!AL52</f>
        <v>2463.1603529013837</v>
      </c>
      <c r="AM36" s="3">
        <f>'Installment card_1000 (indiv)'!AM52</f>
        <v>2596.9456408960614</v>
      </c>
      <c r="AN36" s="3">
        <f>'Installment card_1000 (indiv)'!AN52</f>
        <v>2731.41452118609</v>
      </c>
      <c r="AO36" s="3">
        <f>'Installment card_1000 (indiv)'!AO52</f>
        <v>2797.3285421825512</v>
      </c>
      <c r="AP36" s="397">
        <f t="shared" si="41"/>
        <v>25872.126226745349</v>
      </c>
      <c r="AQ36" s="3">
        <f>'Installment card_1000 (indiv)'!AQ52</f>
        <v>3438.433063301939</v>
      </c>
      <c r="AR36" s="3">
        <f>'Installment card_1000 (indiv)'!AR52</f>
        <v>2631.3804124666958</v>
      </c>
      <c r="AS36" s="3">
        <f>'Installment card_1000 (indiv)'!AS52</f>
        <v>2745.6385037473087</v>
      </c>
      <c r="AT36" s="3">
        <f>'Installment card_1000 (indiv)'!AT52</f>
        <v>2861.6364153178956</v>
      </c>
      <c r="AU36" s="3">
        <f>'Installment card_1000 (indiv)'!AU52</f>
        <v>2979.2050343351821</v>
      </c>
      <c r="AV36" s="3">
        <f>'Installment card_1000 (indiv)'!AV52</f>
        <v>3098.177072532495</v>
      </c>
      <c r="AW36" s="3">
        <f>'Installment card_1000 (indiv)'!AW52</f>
        <v>3218.3873769660959</v>
      </c>
      <c r="AX36" s="3">
        <f>'Installment card_1000 (indiv)'!AX52</f>
        <v>3339.6732273392959</v>
      </c>
      <c r="AY36" s="3">
        <f>'Installment card_1000 (indiv)'!AY52</f>
        <v>3461.8746192903473</v>
      </c>
      <c r="AZ36" s="3">
        <f>'Installment card_1000 (indiv)'!AZ52</f>
        <v>3584.8345330967059</v>
      </c>
      <c r="BA36" s="3">
        <f>'Installment card_1000 (indiv)'!BA52</f>
        <v>3708.3991873160717</v>
      </c>
      <c r="BB36" s="3">
        <f>'Installment card_1000 (indiv)'!BB52</f>
        <v>3750.7071288614934</v>
      </c>
      <c r="BC36" s="397">
        <f t="shared" si="43"/>
        <v>38818.346574571522</v>
      </c>
      <c r="BD36" s="3">
        <f>'Installment card_1000 (indiv)'!BD52</f>
        <v>4968.0780266556085</v>
      </c>
      <c r="BE36" s="3">
        <f>'Installment card_1000 (indiv)'!BE52</f>
        <v>3529.7117422206979</v>
      </c>
      <c r="BF36" s="3">
        <f>'Installment card_1000 (indiv)'!BF52</f>
        <v>3634.0543827195643</v>
      </c>
      <c r="BG36" s="3">
        <f>'Installment card_1000 (indiv)'!BG52</f>
        <v>3740.5350512249115</v>
      </c>
      <c r="BH36" s="3">
        <f>'Installment card_1000 (indiv)'!BH52</f>
        <v>3848.9700010799324</v>
      </c>
      <c r="BI36" s="3">
        <f>'Installment card_1000 (indiv)'!BI52</f>
        <v>3959.1782417699437</v>
      </c>
      <c r="BJ36" s="3">
        <f>'Installment card_1000 (indiv)'!BJ52</f>
        <v>4070.9818395248412</v>
      </c>
      <c r="BK36" s="3">
        <f>'Installment card_1000 (indiv)'!BK52</f>
        <v>4184.2062003613955</v>
      </c>
      <c r="BL36" s="3">
        <f>'Installment card_1000 (indiv)'!BL52</f>
        <v>4298.680335205343</v>
      </c>
      <c r="BM36" s="3">
        <f>'Installment card_1000 (indiv)'!BM52</f>
        <v>4414.2371068116481</v>
      </c>
      <c r="BN36" s="3">
        <f>'Installment card_1000 (indiv)'!BN52</f>
        <v>4530.7134582772997</v>
      </c>
      <c r="BO36" s="3">
        <f>'Installment card_1000 (indiv)'!BO52</f>
        <v>4549.8948831046</v>
      </c>
      <c r="BP36" s="397">
        <f t="shared" si="45"/>
        <v>49729.241268955782</v>
      </c>
      <c r="CE36" s="404" t="s">
        <v>972</v>
      </c>
      <c r="CF36" s="12" t="s">
        <v>965</v>
      </c>
    </row>
    <row r="37" spans="1:84" s="17" customFormat="1" ht="15.6">
      <c r="A37" s="17" t="s">
        <v>649</v>
      </c>
      <c r="B37" s="12" t="s">
        <v>502</v>
      </c>
      <c r="C37" s="13"/>
      <c r="D37" s="60">
        <f t="shared" ref="D37:O37" si="46">SUM(D38:D40)</f>
        <v>0</v>
      </c>
      <c r="E37" s="60">
        <f t="shared" si="46"/>
        <v>0</v>
      </c>
      <c r="F37" s="60">
        <f t="shared" si="46"/>
        <v>0</v>
      </c>
      <c r="G37" s="60">
        <f t="shared" si="46"/>
        <v>0</v>
      </c>
      <c r="H37" s="60">
        <f t="shared" si="46"/>
        <v>0</v>
      </c>
      <c r="I37" s="60">
        <f t="shared" si="46"/>
        <v>0</v>
      </c>
      <c r="J37" s="60">
        <f t="shared" si="46"/>
        <v>-96.101160719003943</v>
      </c>
      <c r="K37" s="60">
        <f t="shared" si="46"/>
        <v>-202.33375322443996</v>
      </c>
      <c r="L37" s="60">
        <f t="shared" si="46"/>
        <v>-312.42462138486286</v>
      </c>
      <c r="M37" s="60">
        <f t="shared" si="46"/>
        <v>-430.44066683392754</v>
      </c>
      <c r="N37" s="60">
        <f t="shared" si="46"/>
        <v>-552.28050502299504</v>
      </c>
      <c r="O37" s="60">
        <f t="shared" si="46"/>
        <v>-673.08284093825137</v>
      </c>
      <c r="P37" s="372">
        <f t="shared" si="37"/>
        <v>-2266.6635481234807</v>
      </c>
      <c r="Q37" s="60">
        <f t="shared" ref="Q37:AB37" si="47">SUM(Q38:Q40)</f>
        <v>-944.12335082635525</v>
      </c>
      <c r="R37" s="60">
        <f t="shared" si="47"/>
        <v>-1269.5899831244542</v>
      </c>
      <c r="S37" s="60">
        <f t="shared" si="47"/>
        <v>-1608.6644224209599</v>
      </c>
      <c r="T37" s="60">
        <f t="shared" si="47"/>
        <v>-1962.6802294879651</v>
      </c>
      <c r="U37" s="60">
        <f t="shared" si="47"/>
        <v>-2331.1657655475319</v>
      </c>
      <c r="V37" s="60">
        <f t="shared" si="47"/>
        <v>-2713.631416960091</v>
      </c>
      <c r="W37" s="60">
        <f t="shared" si="47"/>
        <v>-3109.5707164550513</v>
      </c>
      <c r="X37" s="60">
        <f t="shared" si="47"/>
        <v>-3588.5285108045464</v>
      </c>
      <c r="Y37" s="60">
        <f t="shared" si="47"/>
        <v>-4082.2124031554472</v>
      </c>
      <c r="Z37" s="60">
        <f t="shared" si="47"/>
        <v>-4589.977846037159</v>
      </c>
      <c r="AA37" s="60">
        <f t="shared" si="47"/>
        <v>-5111.165827835458</v>
      </c>
      <c r="AB37" s="60">
        <f t="shared" si="47"/>
        <v>-5627.6264256964923</v>
      </c>
      <c r="AC37" s="372">
        <f t="shared" si="39"/>
        <v>-36938.936898351516</v>
      </c>
      <c r="AD37" s="60">
        <f t="shared" ref="AD37:AO37" si="48">SUM(AD38:AD40)</f>
        <v>-6122.5694434029292</v>
      </c>
      <c r="AE37" s="60">
        <f t="shared" si="48"/>
        <v>-6710.9077975538839</v>
      </c>
      <c r="AF37" s="60">
        <f t="shared" si="48"/>
        <v>-7247.0245924989904</v>
      </c>
      <c r="AG37" s="60">
        <f t="shared" si="48"/>
        <v>-7805.5500163666793</v>
      </c>
      <c r="AH37" s="60">
        <f t="shared" si="48"/>
        <v>-8385.6177584120433</v>
      </c>
      <c r="AI37" s="60">
        <f t="shared" si="48"/>
        <v>-8986.3411699442186</v>
      </c>
      <c r="AJ37" s="60">
        <f t="shared" si="48"/>
        <v>-9606.8153185318133</v>
      </c>
      <c r="AK37" s="60">
        <f t="shared" si="48"/>
        <v>-10246.119059523731</v>
      </c>
      <c r="AL37" s="60">
        <f t="shared" si="48"/>
        <v>-10903.317118432096</v>
      </c>
      <c r="AM37" s="60">
        <f t="shared" si="48"/>
        <v>-11577.46217777522</v>
      </c>
      <c r="AN37" s="60">
        <f t="shared" si="48"/>
        <v>-12267.596962054558</v>
      </c>
      <c r="AO37" s="60">
        <f t="shared" si="48"/>
        <v>-12945.970546571425</v>
      </c>
      <c r="AP37" s="372">
        <f t="shared" si="41"/>
        <v>-112805.29196106759</v>
      </c>
      <c r="AQ37" s="60">
        <f t="shared" ref="AQ37:BB37" si="49">SUM(AQ38:AQ40)</f>
        <v>-13422.470259367075</v>
      </c>
      <c r="AR37" s="60">
        <f t="shared" si="49"/>
        <v>-14053.895352966842</v>
      </c>
      <c r="AS37" s="60">
        <f t="shared" si="49"/>
        <v>-14496.043674863195</v>
      </c>
      <c r="AT37" s="60">
        <f t="shared" si="49"/>
        <v>-14960.528157349425</v>
      </c>
      <c r="AU37" s="60">
        <f t="shared" si="49"/>
        <v>-15446.444023325961</v>
      </c>
      <c r="AV37" s="60">
        <f t="shared" si="49"/>
        <v>-15952.87227711571</v>
      </c>
      <c r="AW37" s="60">
        <f t="shared" si="49"/>
        <v>-16478.881824050721</v>
      </c>
      <c r="AX37" s="60">
        <f t="shared" si="49"/>
        <v>-17023.531578308375</v>
      </c>
      <c r="AY37" s="60">
        <f t="shared" si="49"/>
        <v>-17585.872552906898</v>
      </c>
      <c r="AZ37" s="60">
        <f t="shared" si="49"/>
        <v>-18164.949925952984</v>
      </c>
      <c r="BA37" s="60">
        <f t="shared" si="49"/>
        <v>-18759.805077437682</v>
      </c>
      <c r="BB37" s="60">
        <f t="shared" si="49"/>
        <v>-19339.302434368848</v>
      </c>
      <c r="BC37" s="372">
        <f t="shared" si="43"/>
        <v>-195684.59713801375</v>
      </c>
      <c r="BD37" s="60">
        <f t="shared" ref="BD37:BO37" si="50">SUM(BD38:BD40)</f>
        <v>-19696.266499552359</v>
      </c>
      <c r="BE37" s="60">
        <f t="shared" si="50"/>
        <v>-20330.75055705554</v>
      </c>
      <c r="BF37" s="60">
        <f t="shared" si="50"/>
        <v>-20644.693397959963</v>
      </c>
      <c r="BG37" s="60">
        <f t="shared" si="50"/>
        <v>-20984.863388354908</v>
      </c>
      <c r="BH37" s="60">
        <f t="shared" si="50"/>
        <v>-21350.246267294984</v>
      </c>
      <c r="BI37" s="60">
        <f t="shared" si="50"/>
        <v>-21739.816131131276</v>
      </c>
      <c r="BJ37" s="60">
        <f t="shared" si="50"/>
        <v>-22152.537785663651</v>
      </c>
      <c r="BK37" s="60">
        <f t="shared" si="50"/>
        <v>-22587.369060816687</v>
      </c>
      <c r="BL37" s="60">
        <f t="shared" si="50"/>
        <v>-23043.263081863148</v>
      </c>
      <c r="BM37" s="60">
        <f t="shared" si="50"/>
        <v>-23519.170491524514</v>
      </c>
      <c r="BN37" s="60">
        <f t="shared" si="50"/>
        <v>-24014.041617599833</v>
      </c>
      <c r="BO37" s="60">
        <f t="shared" si="50"/>
        <v>-24492.341856903662</v>
      </c>
      <c r="BP37" s="372">
        <f t="shared" si="45"/>
        <v>-264555.36013572052</v>
      </c>
      <c r="CE37" s="17" t="s">
        <v>974</v>
      </c>
      <c r="CF37" s="12" t="s">
        <v>965</v>
      </c>
    </row>
    <row r="38" spans="1:84" outlineLevel="1">
      <c r="A38" s="404" t="s">
        <v>647</v>
      </c>
      <c r="B38" s="12" t="s">
        <v>502</v>
      </c>
      <c r="D38" s="3">
        <f>'Micro_30 (indiv)'!D27</f>
        <v>0</v>
      </c>
      <c r="E38" s="3">
        <f>'Micro_30 (indiv)'!E27</f>
        <v>0</v>
      </c>
      <c r="F38" s="3">
        <f>'Micro_30 (indiv)'!F27</f>
        <v>0</v>
      </c>
      <c r="G38" s="3">
        <f>'Micro_30 (indiv)'!G27</f>
        <v>0</v>
      </c>
      <c r="H38" s="3">
        <f>'Micro_30 (indiv)'!H27</f>
        <v>0</v>
      </c>
      <c r="I38" s="3">
        <f>'Micro_30 (indiv)'!I27</f>
        <v>0</v>
      </c>
      <c r="J38" s="3">
        <f>'Micro_30 (indiv)'!J27</f>
        <v>-96.101160719003943</v>
      </c>
      <c r="K38" s="3">
        <f>'Micro_30 (indiv)'!K27</f>
        <v>-202.33375322443996</v>
      </c>
      <c r="L38" s="3">
        <f>'Micro_30 (indiv)'!L27</f>
        <v>-312.42462138486286</v>
      </c>
      <c r="M38" s="3">
        <f>'Micro_30 (indiv)'!M27</f>
        <v>-426.24643624792282</v>
      </c>
      <c r="N38" s="3">
        <f>'Micro_30 (indiv)'!N27</f>
        <v>-543.66684159734803</v>
      </c>
      <c r="O38" s="3">
        <f>'Micro_30 (indiv)'!O27</f>
        <v>-659.82982208522048</v>
      </c>
      <c r="P38" s="397">
        <f t="shared" si="37"/>
        <v>-2240.6026352587978</v>
      </c>
      <c r="Q38" s="3">
        <f>'Micro_30 (indiv)'!Q27</f>
        <v>-926.26194720112392</v>
      </c>
      <c r="R38" s="3">
        <f>'Micro_30 (indiv)'!R27</f>
        <v>-1215.8592799844946</v>
      </c>
      <c r="S38" s="3">
        <f>'Micro_30 (indiv)'!S27</f>
        <v>-1519.109033311749</v>
      </c>
      <c r="T38" s="3">
        <f>'Micro_30 (indiv)'!T27</f>
        <v>-1835.6060022981085</v>
      </c>
      <c r="U38" s="3">
        <f>'Micro_30 (indiv)'!U27</f>
        <v>-2164.92813812849</v>
      </c>
      <c r="V38" s="3">
        <f>'Micro_30 (indiv)'!V27</f>
        <v>-2506.6375179307993</v>
      </c>
      <c r="W38" s="3">
        <f>'Micro_30 (indiv)'!W27</f>
        <v>-2860.2813470895867</v>
      </c>
      <c r="X38" s="3">
        <f>'Micro_30 (indiv)'!X27</f>
        <v>-3225.3929907509337</v>
      </c>
      <c r="Y38" s="3">
        <f>'Micro_30 (indiv)'!Y27</f>
        <v>-3601.4930311915241</v>
      </c>
      <c r="Z38" s="3">
        <f>'Micro_30 (indiv)'!Z27</f>
        <v>-3988.0903476608582</v>
      </c>
      <c r="AA38" s="3">
        <f>'Micro_30 (indiv)'!AA27</f>
        <v>-4384.6832152556372</v>
      </c>
      <c r="AB38" s="3">
        <f>'Micro_30 (indiv)'!AB27</f>
        <v>-4773.2825050372812</v>
      </c>
      <c r="AC38" s="397">
        <f t="shared" si="39"/>
        <v>-33001.625355840588</v>
      </c>
      <c r="AD38" s="3">
        <f>'Micro_30 (indiv)'!AD27</f>
        <v>-5142.9764885331333</v>
      </c>
      <c r="AE38" s="3">
        <f>'Micro_30 (indiv)'!AE27</f>
        <v>-5528.1330823791013</v>
      </c>
      <c r="AF38" s="3">
        <f>'Micro_30 (indiv)'!AF27</f>
        <v>-5930.5076289806157</v>
      </c>
      <c r="AG38" s="3">
        <f>'Micro_30 (indiv)'!AG27</f>
        <v>-6349.4658675845176</v>
      </c>
      <c r="AH38" s="3">
        <f>'Micro_30 (indiv)'!AH27</f>
        <v>-6784.357205118883</v>
      </c>
      <c r="AI38" s="3">
        <f>'Micro_30 (indiv)'!AI27</f>
        <v>-7234.5162373111079</v>
      </c>
      <c r="AJ38" s="3">
        <f>'Micro_30 (indiv)'!AJ27</f>
        <v>-7699.2642863458022</v>
      </c>
      <c r="AK38" s="3">
        <f>'Micro_30 (indiv)'!AK27</f>
        <v>-8177.9109502269139</v>
      </c>
      <c r="AL38" s="3">
        <f>'Micro_30 (indiv)'!AL27</f>
        <v>-8669.7556590326476</v>
      </c>
      <c r="AM38" s="3">
        <f>'Micro_30 (indiv)'!AM27</f>
        <v>-9174.0892332947951</v>
      </c>
      <c r="AN38" s="3">
        <f>'Micro_30 (indiv)'!AN27</f>
        <v>-9690.1954397957034</v>
      </c>
      <c r="AO38" s="3">
        <f>'Micro_30 (indiv)'!AO27</f>
        <v>-10190.566772087028</v>
      </c>
      <c r="AP38" s="397">
        <f t="shared" si="41"/>
        <v>-90571.73885069025</v>
      </c>
      <c r="AQ38" s="3">
        <f>'Micro_30 (indiv)'!AQ27</f>
        <v>-10494.71826647697</v>
      </c>
      <c r="AR38" s="3">
        <f>'Micro_30 (indiv)'!AR27</f>
        <v>-10802.330585093861</v>
      </c>
      <c r="AS38" s="3">
        <f>'Micro_30 (indiv)'!AS27</f>
        <v>-11126.907464345977</v>
      </c>
      <c r="AT38" s="3">
        <f>'Micro_30 (indiv)'!AT27</f>
        <v>-11467.794067386889</v>
      </c>
      <c r="AU38" s="3">
        <f>'Micro_30 (indiv)'!AU27</f>
        <v>-11824.323842025453</v>
      </c>
      <c r="AV38" s="3">
        <f>'Micro_30 (indiv)'!AV27</f>
        <v>-12195.820081867561</v>
      </c>
      <c r="AW38" s="3">
        <f>'Micro_30 (indiv)'!AW27</f>
        <v>-12581.597482449932</v>
      </c>
      <c r="AX38" s="3">
        <f>'Micro_30 (indiv)'!AX27</f>
        <v>-12980.963687795182</v>
      </c>
      <c r="AY38" s="3">
        <f>'Micro_30 (indiv)'!AY27</f>
        <v>-13393.220822939935</v>
      </c>
      <c r="AZ38" s="3">
        <f>'Micro_30 (indiv)'!AZ27</f>
        <v>-13817.667008125598</v>
      </c>
      <c r="BA38" s="3">
        <f>'Micro_30 (indiv)'!BA27</f>
        <v>-14253.597850493905</v>
      </c>
      <c r="BB38" s="3">
        <f>'Micro_30 (indiv)'!BB27</f>
        <v>-14670.132752565853</v>
      </c>
      <c r="BC38" s="397">
        <f t="shared" si="43"/>
        <v>-149609.07391156713</v>
      </c>
      <c r="BD38" s="3">
        <f>'Micro_30 (indiv)'!BD27</f>
        <v>-14871.680861887558</v>
      </c>
      <c r="BE38" s="3">
        <f>'Micro_30 (indiv)'!BE27</f>
        <v>-15078.000512589389</v>
      </c>
      <c r="BF38" s="3">
        <f>'Micro_30 (indiv)'!BF27</f>
        <v>-15303.932437809768</v>
      </c>
      <c r="BG38" s="3">
        <f>'Micro_30 (indiv)'!BG27</f>
        <v>-15548.751226443652</v>
      </c>
      <c r="BH38" s="3">
        <f>'Micro_30 (indiv)'!BH27</f>
        <v>-15811.721612741452</v>
      </c>
      <c r="BI38" s="3">
        <f>'Micro_30 (indiv)'!BI27</f>
        <v>-16092.100197775024</v>
      </c>
      <c r="BJ38" s="3">
        <f>'Micro_30 (indiv)'!BJ27</f>
        <v>-16389.13714739366</v>
      </c>
      <c r="BK38" s="3">
        <f>'Micro_30 (indiv)'!BK27</f>
        <v>-16702.077862174916</v>
      </c>
      <c r="BL38" s="3">
        <f>'Micro_30 (indiv)'!BL27</f>
        <v>-17030.164615088066</v>
      </c>
      <c r="BM38" s="3">
        <f>'Micro_30 (indiv)'!BM27</f>
        <v>-17372.638152811698</v>
      </c>
      <c r="BN38" s="3">
        <f>'Micro_30 (indiv)'!BN27</f>
        <v>-17728.739256881981</v>
      </c>
      <c r="BO38" s="3">
        <f>'Micro_30 (indiv)'!BO27</f>
        <v>-18063.223536887614</v>
      </c>
      <c r="BP38" s="397">
        <f t="shared" si="45"/>
        <v>-195992.1674204848</v>
      </c>
      <c r="CE38" s="404" t="s">
        <v>970</v>
      </c>
      <c r="CF38" s="12" t="s">
        <v>965</v>
      </c>
    </row>
    <row r="39" spans="1:84" outlineLevel="1">
      <c r="A39" s="404" t="s">
        <v>646</v>
      </c>
      <c r="B39" s="12" t="s">
        <v>502</v>
      </c>
      <c r="D39" s="3">
        <f>'Installment card_150 (indiv)'!D59</f>
        <v>0</v>
      </c>
      <c r="E39" s="3">
        <f>'Installment card_150 (indiv)'!E59</f>
        <v>0</v>
      </c>
      <c r="F39" s="3">
        <f>'Installment card_150 (indiv)'!F59</f>
        <v>0</v>
      </c>
      <c r="G39" s="3">
        <f>'Installment card_150 (indiv)'!G59</f>
        <v>0</v>
      </c>
      <c r="H39" s="3">
        <f>'Installment card_150 (indiv)'!H59</f>
        <v>0</v>
      </c>
      <c r="I39" s="3">
        <f>'Installment card_150 (indiv)'!I59</f>
        <v>0</v>
      </c>
      <c r="J39" s="3">
        <f>'Installment card_150 (indiv)'!J59</f>
        <v>0</v>
      </c>
      <c r="K39" s="3">
        <f>'Installment card_150 (indiv)'!K59</f>
        <v>0</v>
      </c>
      <c r="L39" s="3">
        <f>'Installment card_150 (indiv)'!L59</f>
        <v>0</v>
      </c>
      <c r="M39" s="3">
        <f>'Installment card_150 (indiv)'!M59</f>
        <v>-4.1942305860047249</v>
      </c>
      <c r="N39" s="3">
        <f>'Installment card_150 (indiv)'!N59</f>
        <v>-8.6136634256470543</v>
      </c>
      <c r="O39" s="3">
        <f>'Installment card_150 (indiv)'!O59</f>
        <v>-13.253018853030827</v>
      </c>
      <c r="P39" s="397">
        <f t="shared" si="37"/>
        <v>-26.060912864682606</v>
      </c>
      <c r="Q39" s="3">
        <f>'Installment card_150 (indiv)'!Q59</f>
        <v>-17.861403625231304</v>
      </c>
      <c r="R39" s="3">
        <f>'Installment card_150 (indiv)'!R59</f>
        <v>-53.730703139959545</v>
      </c>
      <c r="S39" s="3">
        <f>'Installment card_150 (indiv)'!S59</f>
        <v>-89.555389109210779</v>
      </c>
      <c r="T39" s="3">
        <f>'Installment card_150 (indiv)'!T59</f>
        <v>-127.07422718985664</v>
      </c>
      <c r="U39" s="3">
        <f>'Installment card_150 (indiv)'!U59</f>
        <v>-166.23762741904204</v>
      </c>
      <c r="V39" s="3">
        <f>'Installment card_150 (indiv)'!V59</f>
        <v>-206.99389902929147</v>
      </c>
      <c r="W39" s="3">
        <f>'Installment card_150 (indiv)'!W59</f>
        <v>-249.28936936546455</v>
      </c>
      <c r="X39" s="3">
        <f>'Installment card_150 (indiv)'!X59</f>
        <v>-293.06850687853137</v>
      </c>
      <c r="Y39" s="3">
        <f>'Installment card_150 (indiv)'!Y59</f>
        <v>-338.27404779701573</v>
      </c>
      <c r="Z39" s="3">
        <f>'Installment card_150 (indiv)'!Z59</f>
        <v>-384.84712606702897</v>
      </c>
      <c r="AA39" s="3">
        <f>'Installment card_150 (indiv)'!AA59</f>
        <v>-432.72740614360151</v>
      </c>
      <c r="AB39" s="3">
        <f>'Installment card_150 (indiv)'!AB59</f>
        <v>-481.85321820954113</v>
      </c>
      <c r="AC39" s="397">
        <f t="shared" si="39"/>
        <v>-2841.5129239737753</v>
      </c>
      <c r="AD39" s="3">
        <f>'Installment card_150 (indiv)'!AD59</f>
        <v>-529.88965545543874</v>
      </c>
      <c r="AE39" s="3">
        <f>'Installment card_150 (indiv)'!AE59</f>
        <v>-633.12967628828721</v>
      </c>
      <c r="AF39" s="3">
        <f>'Installment card_150 (indiv)'!AF59</f>
        <v>-685.79794191021449</v>
      </c>
      <c r="AG39" s="3">
        <f>'Installment card_150 (indiv)'!AG59</f>
        <v>-740.8003469435796</v>
      </c>
      <c r="AH39" s="3">
        <f>'Installment card_150 (indiv)'!AH59</f>
        <v>-798.05138946859472</v>
      </c>
      <c r="AI39" s="3">
        <f>'Installment card_150 (indiv)'!AI59</f>
        <v>-857.46333892928192</v>
      </c>
      <c r="AJ39" s="3">
        <f>'Installment card_150 (indiv)'!AJ59</f>
        <v>-918.94644145802681</v>
      </c>
      <c r="AK39" s="3">
        <f>'Installment card_150 (indiv)'!AK59</f>
        <v>-982.40912751001463</v>
      </c>
      <c r="AL39" s="3">
        <f>'Installment card_150 (indiv)'!AL59</f>
        <v>-1047.7582211536283</v>
      </c>
      <c r="AM39" s="3">
        <f>'Installment card_150 (indiv)'!AM59</f>
        <v>-1114.8991503658503</v>
      </c>
      <c r="AN39" s="3">
        <f>'Installment card_150 (indiv)'!AN59</f>
        <v>-1183.7361576872422</v>
      </c>
      <c r="AO39" s="3">
        <f>'Installment card_150 (indiv)'!AO59</f>
        <v>-1254.1725105990811</v>
      </c>
      <c r="AP39" s="397">
        <f t="shared" si="41"/>
        <v>-10747.05395776924</v>
      </c>
      <c r="AQ39" s="3">
        <f>'Installment card_150 (indiv)'!AQ59</f>
        <v>-1322.2753217157426</v>
      </c>
      <c r="AR39" s="3">
        <f>'Installment card_150 (indiv)'!AR59</f>
        <v>-1498.7046541678042</v>
      </c>
      <c r="AS39" s="3">
        <f>'Installment card_150 (indiv)'!AS59</f>
        <v>-1545.5180104064596</v>
      </c>
      <c r="AT39" s="3">
        <f>'Installment card_150 (indiv)'!AT59</f>
        <v>-1594.8477127575402</v>
      </c>
      <c r="AU39" s="3">
        <f>'Installment card_150 (indiv)'!AU59</f>
        <v>-1646.5965748269296</v>
      </c>
      <c r="AV39" s="3">
        <f>'Installment card_150 (indiv)'!AV59</f>
        <v>-1700.6656654082462</v>
      </c>
      <c r="AW39" s="3">
        <f>'Installment card_150 (indiv)'!AW59</f>
        <v>-1756.9545402041331</v>
      </c>
      <c r="AX39" s="3">
        <f>'Installment card_150 (indiv)'!AX59</f>
        <v>-1815.3614728377622</v>
      </c>
      <c r="AY39" s="3">
        <f>'Installment card_150 (indiv)'!AY59</f>
        <v>-1875.7836844751673</v>
      </c>
      <c r="AZ39" s="3">
        <f>'Installment card_150 (indiv)'!AZ59</f>
        <v>-1938.1175713970929</v>
      </c>
      <c r="BA39" s="3">
        <f>'Installment card_150 (indiv)'!BA59</f>
        <v>-2002.2589298793453</v>
      </c>
      <c r="BB39" s="3">
        <f>'Installment card_150 (indiv)'!BB59</f>
        <v>-2068.103177763146</v>
      </c>
      <c r="BC39" s="397">
        <f t="shared" si="43"/>
        <v>-20765.187315839372</v>
      </c>
      <c r="BD39" s="3">
        <f>'Installment card_150 (indiv)'!BD59</f>
        <v>-2130.7863817123589</v>
      </c>
      <c r="BE39" s="3">
        <f>'Installment card_150 (indiv)'!BE59</f>
        <v>-2375.7568473042629</v>
      </c>
      <c r="BF39" s="3">
        <f>'Installment card_150 (indiv)'!BF59</f>
        <v>-2410.948991726591</v>
      </c>
      <c r="BG39" s="3">
        <f>'Installment card_150 (indiv)'!BG59</f>
        <v>-2449.3252931396137</v>
      </c>
      <c r="BH39" s="3">
        <f>'Installment card_150 (indiv)'!BH59</f>
        <v>-2490.7677059296079</v>
      </c>
      <c r="BI39" s="3">
        <f>'Installment card_150 (indiv)'!BI59</f>
        <v>-2535.156581937566</v>
      </c>
      <c r="BJ39" s="3">
        <f>'Installment card_150 (indiv)'!BJ59</f>
        <v>-2582.3709504781127</v>
      </c>
      <c r="BK39" s="3">
        <f>'Installment card_150 (indiv)'!BK59</f>
        <v>-2632.2887945553171</v>
      </c>
      <c r="BL39" s="3">
        <f>'Installment card_150 (indiv)'!BL59</f>
        <v>-2684.7873225432127</v>
      </c>
      <c r="BM39" s="3">
        <f>'Installment card_150 (indiv)'!BM59</f>
        <v>-2739.743234633288</v>
      </c>
      <c r="BN39" s="3">
        <f>'Installment card_150 (indiv)'!BN59</f>
        <v>-2797.0329833875976</v>
      </c>
      <c r="BO39" s="3">
        <f>'Installment card_150 (indiv)'!BO59</f>
        <v>-2856.5330277742387</v>
      </c>
      <c r="BP39" s="397">
        <f t="shared" si="45"/>
        <v>-30685.498115121769</v>
      </c>
      <c r="CE39" s="404" t="s">
        <v>971</v>
      </c>
      <c r="CF39" s="12" t="s">
        <v>965</v>
      </c>
    </row>
    <row r="40" spans="1:84" outlineLevel="1">
      <c r="A40" s="404" t="s">
        <v>645</v>
      </c>
      <c r="B40" s="12" t="s">
        <v>502</v>
      </c>
      <c r="D40" s="3">
        <f>'Installment card_1000 (indiv)'!D59</f>
        <v>0</v>
      </c>
      <c r="E40" s="3">
        <f>'Installment card_1000 (indiv)'!E59</f>
        <v>0</v>
      </c>
      <c r="F40" s="3">
        <f>'Installment card_1000 (indiv)'!F59</f>
        <v>0</v>
      </c>
      <c r="G40" s="3">
        <f>'Installment card_1000 (indiv)'!G59</f>
        <v>0</v>
      </c>
      <c r="H40" s="3">
        <f>'Installment card_1000 (indiv)'!H59</f>
        <v>0</v>
      </c>
      <c r="I40" s="3">
        <f>'Installment card_1000 (indiv)'!I59</f>
        <v>0</v>
      </c>
      <c r="J40" s="3">
        <f>'Installment card_1000 (indiv)'!J59</f>
        <v>0</v>
      </c>
      <c r="K40" s="3">
        <f>'Installment card_1000 (indiv)'!K59</f>
        <v>0</v>
      </c>
      <c r="L40" s="3">
        <f>'Installment card_1000 (indiv)'!L59</f>
        <v>0</v>
      </c>
      <c r="M40" s="3">
        <f>'Installment card_1000 (indiv)'!M59</f>
        <v>0</v>
      </c>
      <c r="N40" s="3">
        <f>'Installment card_1000 (indiv)'!N59</f>
        <v>0</v>
      </c>
      <c r="O40" s="3">
        <f>'Installment card_1000 (indiv)'!O59</f>
        <v>0</v>
      </c>
      <c r="P40" s="397">
        <f t="shared" si="37"/>
        <v>0</v>
      </c>
      <c r="Q40" s="3">
        <f>'Installment card_1000 (indiv)'!Q59</f>
        <v>0</v>
      </c>
      <c r="R40" s="3">
        <f>'Installment card_1000 (indiv)'!R59</f>
        <v>0</v>
      </c>
      <c r="S40" s="3">
        <f>'Installment card_1000 (indiv)'!S59</f>
        <v>0</v>
      </c>
      <c r="T40" s="3">
        <f>'Installment card_1000 (indiv)'!T59</f>
        <v>0</v>
      </c>
      <c r="U40" s="3">
        <f>'Installment card_1000 (indiv)'!U59</f>
        <v>0</v>
      </c>
      <c r="V40" s="3">
        <f>'Installment card_1000 (indiv)'!V59</f>
        <v>0</v>
      </c>
      <c r="W40" s="3">
        <f>'Installment card_1000 (indiv)'!W59</f>
        <v>0</v>
      </c>
      <c r="X40" s="3">
        <f>'Installment card_1000 (indiv)'!X59</f>
        <v>-70.067013175081399</v>
      </c>
      <c r="Y40" s="3">
        <f>'Installment card_1000 (indiv)'!Y59</f>
        <v>-142.44532416690745</v>
      </c>
      <c r="Z40" s="3">
        <f>'Installment card_1000 (indiv)'!Z59</f>
        <v>-217.0403723092725</v>
      </c>
      <c r="AA40" s="3">
        <f>'Installment card_1000 (indiv)'!AA59</f>
        <v>-293.75520643621883</v>
      </c>
      <c r="AB40" s="3">
        <f>'Installment card_1000 (indiv)'!AB59</f>
        <v>-372.49070244966936</v>
      </c>
      <c r="AC40" s="397">
        <f t="shared" si="39"/>
        <v>-1095.7986185371497</v>
      </c>
      <c r="AD40" s="3">
        <f>'Installment card_1000 (indiv)'!AD59</f>
        <v>-449.70329941435739</v>
      </c>
      <c r="AE40" s="3">
        <f>'Installment card_1000 (indiv)'!AE59</f>
        <v>-549.64503888649506</v>
      </c>
      <c r="AF40" s="3">
        <f>'Installment card_1000 (indiv)'!AF59</f>
        <v>-630.71902160816001</v>
      </c>
      <c r="AG40" s="3">
        <f>'Installment card_1000 (indiv)'!AG59</f>
        <v>-715.28380183858178</v>
      </c>
      <c r="AH40" s="3">
        <f>'Installment card_1000 (indiv)'!AH59</f>
        <v>-803.20916382456596</v>
      </c>
      <c r="AI40" s="3">
        <f>'Installment card_1000 (indiv)'!AI59</f>
        <v>-894.36159370382893</v>
      </c>
      <c r="AJ40" s="3">
        <f>'Installment card_1000 (indiv)'!AJ59</f>
        <v>-988.60459072798483</v>
      </c>
      <c r="AK40" s="3">
        <f>'Installment card_1000 (indiv)'!AK59</f>
        <v>-1085.7989817868013</v>
      </c>
      <c r="AL40" s="3">
        <f>'Installment card_1000 (indiv)'!AL59</f>
        <v>-1185.80323824582</v>
      </c>
      <c r="AM40" s="3">
        <f>'Installment card_1000 (indiv)'!AM59</f>
        <v>-1288.4737941145743</v>
      </c>
      <c r="AN40" s="3">
        <f>'Installment card_1000 (indiv)'!AN59</f>
        <v>-1393.6653645716133</v>
      </c>
      <c r="AO40" s="3">
        <f>'Installment card_1000 (indiv)'!AO59</f>
        <v>-1501.231263885317</v>
      </c>
      <c r="AP40" s="397">
        <f t="shared" si="41"/>
        <v>-11486.499152608098</v>
      </c>
      <c r="AQ40" s="3">
        <f>'Installment card_1000 (indiv)'!AQ59</f>
        <v>-1605.476671174363</v>
      </c>
      <c r="AR40" s="3">
        <f>'Installment card_1000 (indiv)'!AR59</f>
        <v>-1752.8601137051762</v>
      </c>
      <c r="AS40" s="3">
        <f>'Installment card_1000 (indiv)'!AS59</f>
        <v>-1823.6182001107563</v>
      </c>
      <c r="AT40" s="3">
        <f>'Installment card_1000 (indiv)'!AT59</f>
        <v>-1897.8863772049945</v>
      </c>
      <c r="AU40" s="3">
        <f>'Installment card_1000 (indiv)'!AU59</f>
        <v>-1975.5236064735775</v>
      </c>
      <c r="AV40" s="3">
        <f>'Installment card_1000 (indiv)'!AV59</f>
        <v>-2056.3865298399014</v>
      </c>
      <c r="AW40" s="3">
        <f>'Installment card_1000 (indiv)'!AW59</f>
        <v>-2140.3298013966546</v>
      </c>
      <c r="AX40" s="3">
        <f>'Installment card_1000 (indiv)'!AX59</f>
        <v>-2227.2064176754334</v>
      </c>
      <c r="AY40" s="3">
        <f>'Installment card_1000 (indiv)'!AY59</f>
        <v>-2316.868045491794</v>
      </c>
      <c r="AZ40" s="3">
        <f>'Installment card_1000 (indiv)'!AZ59</f>
        <v>-2409.1653464302908</v>
      </c>
      <c r="BA40" s="3">
        <f>'Installment card_1000 (indiv)'!BA59</f>
        <v>-2503.9482970644331</v>
      </c>
      <c r="BB40" s="3">
        <f>'Installment card_1000 (indiv)'!BB59</f>
        <v>-2601.0665040398476</v>
      </c>
      <c r="BC40" s="397">
        <f t="shared" si="43"/>
        <v>-25310.335910607228</v>
      </c>
      <c r="BD40" s="3">
        <f>'Installment card_1000 (indiv)'!BD59</f>
        <v>-2693.7992559524419</v>
      </c>
      <c r="BE40" s="3">
        <f>'Installment card_1000 (indiv)'!BE59</f>
        <v>-2876.9931971618907</v>
      </c>
      <c r="BF40" s="3">
        <f>'Installment card_1000 (indiv)'!BF59</f>
        <v>-2929.8119684236053</v>
      </c>
      <c r="BG40" s="3">
        <f>'Installment card_1000 (indiv)'!BG59</f>
        <v>-2986.7868687716423</v>
      </c>
      <c r="BH40" s="3">
        <f>'Installment card_1000 (indiv)'!BH59</f>
        <v>-3047.7569486239245</v>
      </c>
      <c r="BI40" s="3">
        <f>'Installment card_1000 (indiv)'!BI59</f>
        <v>-3112.5593514186871</v>
      </c>
      <c r="BJ40" s="3">
        <f>'Installment card_1000 (indiv)'!BJ59</f>
        <v>-3181.0296877918763</v>
      </c>
      <c r="BK40" s="3">
        <f>'Installment card_1000 (indiv)'!BK59</f>
        <v>-3253.0024040864546</v>
      </c>
      <c r="BL40" s="3">
        <f>'Installment card_1000 (indiv)'!BL59</f>
        <v>-3328.3111442318695</v>
      </c>
      <c r="BM40" s="3">
        <f>'Installment card_1000 (indiv)'!BM59</f>
        <v>-3406.7891040795312</v>
      </c>
      <c r="BN40" s="3">
        <f>'Installment card_1000 (indiv)'!BN59</f>
        <v>-3488.2693773302512</v>
      </c>
      <c r="BO40" s="3">
        <f>'Installment card_1000 (indiv)'!BO59</f>
        <v>-3572.5852922418089</v>
      </c>
      <c r="BP40" s="397">
        <f t="shared" si="45"/>
        <v>-37877.694600113988</v>
      </c>
      <c r="CE40" s="404" t="s">
        <v>972</v>
      </c>
      <c r="CF40" s="12" t="s">
        <v>965</v>
      </c>
    </row>
    <row r="41" spans="1:84" s="17" customFormat="1" ht="15.6">
      <c r="A41" s="17" t="s">
        <v>648</v>
      </c>
      <c r="B41" s="12" t="s">
        <v>502</v>
      </c>
      <c r="C41" s="13">
        <v>0</v>
      </c>
      <c r="D41" s="60">
        <f t="shared" ref="D41:AI41" si="51">SUM(D42:D44)</f>
        <v>0</v>
      </c>
      <c r="E41" s="60">
        <f t="shared" si="51"/>
        <v>0</v>
      </c>
      <c r="F41" s="60">
        <f t="shared" si="51"/>
        <v>0</v>
      </c>
      <c r="G41" s="60">
        <f t="shared" si="51"/>
        <v>0</v>
      </c>
      <c r="H41" s="60">
        <f t="shared" si="51"/>
        <v>0</v>
      </c>
      <c r="I41" s="60">
        <f t="shared" si="51"/>
        <v>0</v>
      </c>
      <c r="J41" s="60">
        <f t="shared" si="51"/>
        <v>6.4067440479335964</v>
      </c>
      <c r="K41" s="60">
        <f t="shared" si="51"/>
        <v>13.06180061176709</v>
      </c>
      <c r="L41" s="60">
        <f t="shared" si="51"/>
        <v>72.389955136473048</v>
      </c>
      <c r="M41" s="60">
        <f t="shared" si="51"/>
        <v>134.72557474690683</v>
      </c>
      <c r="N41" s="60">
        <f t="shared" si="51"/>
        <v>199.99128649802935</v>
      </c>
      <c r="O41" s="60">
        <f t="shared" si="51"/>
        <v>264.72795659700222</v>
      </c>
      <c r="P41" s="372">
        <f t="shared" si="51"/>
        <v>264.72795659700222</v>
      </c>
      <c r="Q41" s="60">
        <f t="shared" si="51"/>
        <v>729.83055340600663</v>
      </c>
      <c r="R41" s="60">
        <f t="shared" si="51"/>
        <v>1195.1512885561494</v>
      </c>
      <c r="S41" s="60">
        <f t="shared" si="51"/>
        <v>1682.3707113884557</v>
      </c>
      <c r="T41" s="60">
        <f t="shared" si="51"/>
        <v>2190.837362322477</v>
      </c>
      <c r="U41" s="60">
        <f t="shared" si="51"/>
        <v>2719.872796882466</v>
      </c>
      <c r="V41" s="60">
        <f t="shared" si="51"/>
        <v>3268.7731449730418</v>
      </c>
      <c r="W41" s="60">
        <f t="shared" si="51"/>
        <v>4711.0471377222966</v>
      </c>
      <c r="X41" s="60">
        <f t="shared" si="51"/>
        <v>6200.3467451459255</v>
      </c>
      <c r="Y41" s="60">
        <f t="shared" si="51"/>
        <v>7734.7124114897633</v>
      </c>
      <c r="Z41" s="60">
        <f t="shared" si="51"/>
        <v>9312.1365774688002</v>
      </c>
      <c r="AA41" s="60">
        <f t="shared" si="51"/>
        <v>10930.568175421075</v>
      </c>
      <c r="AB41" s="60">
        <f t="shared" si="51"/>
        <v>12515.491164411465</v>
      </c>
      <c r="AC41" s="372">
        <f t="shared" si="51"/>
        <v>12515.491164411465</v>
      </c>
      <c r="AD41" s="60">
        <f t="shared" si="51"/>
        <v>15070.562078797691</v>
      </c>
      <c r="AE41" s="60">
        <f t="shared" si="51"/>
        <v>16760.450951978546</v>
      </c>
      <c r="AF41" s="60">
        <f t="shared" si="51"/>
        <v>18523.651769810018</v>
      </c>
      <c r="AG41" s="60">
        <f t="shared" si="51"/>
        <v>20357.41162022149</v>
      </c>
      <c r="AH41" s="60">
        <f t="shared" si="51"/>
        <v>22258.908916906428</v>
      </c>
      <c r="AI41" s="60">
        <f t="shared" si="51"/>
        <v>24225.25996959718</v>
      </c>
      <c r="AJ41" s="60">
        <f t="shared" ref="AJ41:BO41" si="52">SUM(AJ42:AJ44)</f>
        <v>26253.525620900982</v>
      </c>
      <c r="AK41" s="60">
        <f t="shared" si="52"/>
        <v>28340.717928888022</v>
      </c>
      <c r="AL41" s="60">
        <f t="shared" si="52"/>
        <v>30483.806874743372</v>
      </c>
      <c r="AM41" s="60">
        <f t="shared" si="52"/>
        <v>32679.727074996361</v>
      </c>
      <c r="AN41" s="60">
        <f t="shared" si="52"/>
        <v>34925.384478121967</v>
      </c>
      <c r="AO41" s="60">
        <f t="shared" si="52"/>
        <v>37099.034967925974</v>
      </c>
      <c r="AP41" s="372">
        <f t="shared" si="52"/>
        <v>37099.034967925974</v>
      </c>
      <c r="AQ41" s="60">
        <f t="shared" si="52"/>
        <v>41145.217192352684</v>
      </c>
      <c r="AR41" s="60">
        <f t="shared" si="52"/>
        <v>42623.784018264705</v>
      </c>
      <c r="AS41" s="60">
        <f t="shared" si="52"/>
        <v>44178.104333318435</v>
      </c>
      <c r="AT41" s="60">
        <f t="shared" si="52"/>
        <v>45805.146624160559</v>
      </c>
      <c r="AU41" s="60">
        <f t="shared" si="52"/>
        <v>47501.829408984486</v>
      </c>
      <c r="AV41" s="60">
        <f t="shared" si="52"/>
        <v>49265.028374878733</v>
      </c>
      <c r="AW41" s="60">
        <f t="shared" si="52"/>
        <v>51091.583483074959</v>
      </c>
      <c r="AX41" s="60">
        <f t="shared" si="52"/>
        <v>52978.306021405457</v>
      </c>
      <c r="AY41" s="60">
        <f t="shared" si="52"/>
        <v>54921.985583868947</v>
      </c>
      <c r="AZ41" s="60">
        <f t="shared" si="52"/>
        <v>56919.396957859979</v>
      </c>
      <c r="BA41" s="60">
        <f t="shared" si="52"/>
        <v>58967.306900339412</v>
      </c>
      <c r="BB41" s="60">
        <f t="shared" si="52"/>
        <v>60919.570183957811</v>
      </c>
      <c r="BC41" s="372">
        <f t="shared" si="52"/>
        <v>60919.570183957811</v>
      </c>
      <c r="BD41" s="60">
        <f t="shared" si="52"/>
        <v>66248.819187610134</v>
      </c>
      <c r="BE41" s="60">
        <f t="shared" si="52"/>
        <v>67348.76540610737</v>
      </c>
      <c r="BF41" s="60">
        <f t="shared" si="52"/>
        <v>68540.947495957313</v>
      </c>
      <c r="BG41" s="60">
        <f t="shared" si="52"/>
        <v>69821.821260350567</v>
      </c>
      <c r="BH41" s="60">
        <f t="shared" si="52"/>
        <v>71187.799841984641</v>
      </c>
      <c r="BI41" s="60">
        <f t="shared" si="52"/>
        <v>72635.261984621015</v>
      </c>
      <c r="BJ41" s="60">
        <f t="shared" si="52"/>
        <v>74160.560169969991</v>
      </c>
      <c r="BK41" s="60">
        <f t="shared" si="52"/>
        <v>75760.028608671608</v>
      </c>
      <c r="BL41" s="60">
        <f t="shared" si="52"/>
        <v>77429.991065193331</v>
      </c>
      <c r="BM41" s="60">
        <f t="shared" si="52"/>
        <v>79166.768497570723</v>
      </c>
      <c r="BN41" s="60">
        <f t="shared" si="52"/>
        <v>80966.686494071619</v>
      </c>
      <c r="BO41" s="60">
        <f t="shared" si="52"/>
        <v>82651.318353021343</v>
      </c>
      <c r="BP41" s="372">
        <f t="shared" ref="BP41" si="53">SUM(BP42:BP44)</f>
        <v>82651.318353021343</v>
      </c>
      <c r="CE41" s="17" t="s">
        <v>975</v>
      </c>
      <c r="CF41" s="12" t="s">
        <v>965</v>
      </c>
    </row>
    <row r="42" spans="1:84" ht="15.6" outlineLevel="1">
      <c r="A42" s="616" t="s">
        <v>647</v>
      </c>
      <c r="B42" s="12" t="s">
        <v>502</v>
      </c>
      <c r="C42" s="13">
        <v>0</v>
      </c>
      <c r="D42" s="3">
        <f>'Micro_30 (indiv)'!D24</f>
        <v>0</v>
      </c>
      <c r="E42" s="3">
        <f>'Micro_30 (indiv)'!E24</f>
        <v>0</v>
      </c>
      <c r="F42" s="3">
        <f>'Micro_30 (indiv)'!F24</f>
        <v>0</v>
      </c>
      <c r="G42" s="3">
        <f>'Micro_30 (indiv)'!G24</f>
        <v>0</v>
      </c>
      <c r="H42" s="3">
        <f>'Micro_30 (indiv)'!H24</f>
        <v>0</v>
      </c>
      <c r="I42" s="3">
        <f>'Micro_30 (indiv)'!I24</f>
        <v>0</v>
      </c>
      <c r="J42" s="3">
        <f>'Micro_30 (indiv)'!J24</f>
        <v>6.4067440479335964</v>
      </c>
      <c r="K42" s="3">
        <f>'Micro_30 (indiv)'!K24</f>
        <v>13.06180061176709</v>
      </c>
      <c r="L42" s="3">
        <f>'Micro_30 (indiv)'!L24</f>
        <v>19.957521384873051</v>
      </c>
      <c r="M42" s="3">
        <f>'Micro_30 (indiv)'!M24</f>
        <v>27.085927657536651</v>
      </c>
      <c r="N42" s="3">
        <f>'Micro_30 (indiv)'!N24</f>
        <v>34.438727595987423</v>
      </c>
      <c r="O42" s="3">
        <f>'Micro_30 (indiv)'!O24</f>
        <v>41.692739632615535</v>
      </c>
      <c r="P42" s="397">
        <f>O42</f>
        <v>41.692739632615535</v>
      </c>
      <c r="Q42" s="3">
        <f>'Micro_30 (indiv)'!Q24</f>
        <v>58.971280504567225</v>
      </c>
      <c r="R42" s="3">
        <f>'Micro_30 (indiv)'!R24</f>
        <v>77.125866631995166</v>
      </c>
      <c r="S42" s="3">
        <f>'Micro_30 (indiv)'!S24</f>
        <v>96.132211111983594</v>
      </c>
      <c r="T42" s="3">
        <f>'Micro_30 (indiv)'!T24</f>
        <v>115.96491941240832</v>
      </c>
      <c r="U42" s="3">
        <f>'Micro_30 (indiv)'!U24</f>
        <v>136.59754791440545</v>
      </c>
      <c r="V42" s="3">
        <f>'Micro_30 (indiv)'!V24</f>
        <v>158.00266466775957</v>
      </c>
      <c r="W42" s="3">
        <f>'Micro_30 (indiv)'!W24</f>
        <v>180.15191216145513</v>
      </c>
      <c r="X42" s="3">
        <f>'Micro_30 (indiv)'!X24</f>
        <v>203.01607190596525</v>
      </c>
      <c r="Y42" s="3">
        <f>'Micro_30 (indiv)'!Y24</f>
        <v>226.56513061903726</v>
      </c>
      <c r="Z42" s="3">
        <f>'Micro_30 (indiv)'!Z24</f>
        <v>250.76834780278807</v>
      </c>
      <c r="AA42" s="3">
        <f>'Micro_30 (indiv)'!AA24</f>
        <v>275.59432449685659</v>
      </c>
      <c r="AB42" s="3">
        <f>'Micro_30 (indiv)'!AB24</f>
        <v>299.84587870269496</v>
      </c>
      <c r="AC42" s="397">
        <f>AB42</f>
        <v>299.84587870269496</v>
      </c>
      <c r="AD42" s="3">
        <f>'Micro_30 (indiv)'!AD24</f>
        <v>322.87537398869591</v>
      </c>
      <c r="AE42" s="3">
        <f>'Micro_30 (indiv)'!AE24</f>
        <v>347.01718055936038</v>
      </c>
      <c r="AF42" s="3">
        <f>'Micro_30 (indiv)'!AF24</f>
        <v>372.23269656141701</v>
      </c>
      <c r="AG42" s="3">
        <f>'Micro_30 (indiv)'!AG24</f>
        <v>398.48221140154004</v>
      </c>
      <c r="AH42" s="3">
        <f>'Micro_30 (indiv)'!AH24</f>
        <v>425.72499958115623</v>
      </c>
      <c r="AI42" s="3">
        <f>'Micro_30 (indiv)'!AI24</f>
        <v>453.91941584866345</v>
      </c>
      <c r="AJ42" s="3">
        <f>'Micro_30 (indiv)'!AJ24</f>
        <v>483.02299136647594</v>
      </c>
      <c r="AK42" s="3">
        <f>'Micro_30 (indiv)'!AK24</f>
        <v>512.99253059069588</v>
      </c>
      <c r="AL42" s="3">
        <f>'Micro_30 (indiv)'!AL24</f>
        <v>543.78420856279683</v>
      </c>
      <c r="AM42" s="3">
        <f>'Micro_30 (indiv)'!AM24</f>
        <v>575.35366831546651</v>
      </c>
      <c r="AN42" s="3">
        <f>'Micro_30 (indiv)'!AN24</f>
        <v>607.65611809868244</v>
      </c>
      <c r="AO42" s="3">
        <f>'Micro_30 (indiv)'!AO24</f>
        <v>638.86071026588968</v>
      </c>
      <c r="AP42" s="397">
        <f>AO42</f>
        <v>638.86071026588968</v>
      </c>
      <c r="AQ42" s="3">
        <f>'Micro_30 (indiv)'!AQ24</f>
        <v>657.05717041407206</v>
      </c>
      <c r="AR42" s="3">
        <f>'Micro_30 (indiv)'!AR24</f>
        <v>676.35156097865263</v>
      </c>
      <c r="AS42" s="3">
        <f>'Micro_30 (indiv)'!AS24</f>
        <v>696.70372689115493</v>
      </c>
      <c r="AT42" s="3">
        <f>'Micro_30 (indiv)'!AT24</f>
        <v>718.07268936638229</v>
      </c>
      <c r="AU42" s="3">
        <f>'Micro_30 (indiv)'!AU24</f>
        <v>740.41674351060476</v>
      </c>
      <c r="AV42" s="3">
        <f>'Micro_30 (indiv)'!AV24</f>
        <v>763.69355589046381</v>
      </c>
      <c r="AW42" s="3">
        <f>'Micro_30 (indiv)'!AW24</f>
        <v>787.86026177063115</v>
      </c>
      <c r="AX42" s="3">
        <f>'Micro_30 (indiv)'!AX24</f>
        <v>812.87356173497005</v>
      </c>
      <c r="AY42" s="3">
        <f>'Micro_30 (indiv)'!AY24</f>
        <v>838.68981741366429</v>
      </c>
      <c r="AZ42" s="3">
        <f>'Micro_30 (indiv)'!AZ24</f>
        <v>865.26514604746228</v>
      </c>
      <c r="BA42" s="3">
        <f>'Micro_30 (indiv)'!BA24</f>
        <v>892.5555136297628</v>
      </c>
      <c r="BB42" s="3">
        <f>'Micro_30 (indiv)'!BB24</f>
        <v>918.50514926240601</v>
      </c>
      <c r="BC42" s="397">
        <f>BB42</f>
        <v>918.50514926240601</v>
      </c>
      <c r="BD42" s="3">
        <f>'Micro_30 (indiv)'!BD24</f>
        <v>930.21171417501012</v>
      </c>
      <c r="BE42" s="3">
        <f>'Micro_30 (indiv)'!BE24</f>
        <v>943.18591989429194</v>
      </c>
      <c r="BF42" s="3">
        <f>'Micro_30 (indiv)'!BF24</f>
        <v>957.38310119436505</v>
      </c>
      <c r="BG42" s="3">
        <f>'Micro_30 (indiv)'!BG24</f>
        <v>972.7578750166191</v>
      </c>
      <c r="BH42" s="3">
        <f>'Micro_30 (indiv)'!BH24</f>
        <v>989.26424918165549</v>
      </c>
      <c r="BI42" s="3">
        <f>'Micro_30 (indiv)'!BI24</f>
        <v>1006.8557299062246</v>
      </c>
      <c r="BJ42" s="3">
        <f>'Micro_30 (indiv)'!BJ24</f>
        <v>1025.4854278324956</v>
      </c>
      <c r="BK42" s="3">
        <f>'Micro_30 (indiv)'!BK24</f>
        <v>1045.1061622894947</v>
      </c>
      <c r="BL42" s="3">
        <f>'Micro_30 (indiv)'!BL24</f>
        <v>1065.6705635199048</v>
      </c>
      <c r="BM42" s="3">
        <f>'Micro_30 (indiv)'!BM24</f>
        <v>1087.1311726194529</v>
      </c>
      <c r="BN42" s="3">
        <f>'Micro_30 (indiv)'!BN24</f>
        <v>1109.4405389508352</v>
      </c>
      <c r="BO42" s="3">
        <f>'Micro_30 (indiv)'!BO24</f>
        <v>1130.2521998624518</v>
      </c>
      <c r="BP42" s="397">
        <f>BO42</f>
        <v>1130.2521998624518</v>
      </c>
      <c r="BR42" s="60">
        <f>F42/500*1000</f>
        <v>0</v>
      </c>
      <c r="BS42" s="60">
        <f>I42/500*1000</f>
        <v>0</v>
      </c>
      <c r="BT42" s="60">
        <f>L42/500*1000</f>
        <v>39.915042769746101</v>
      </c>
      <c r="BU42" s="60">
        <f>O42/500*1000</f>
        <v>83.385479265231069</v>
      </c>
      <c r="BV42" s="60">
        <f>V42/500*1000</f>
        <v>316.00532933551915</v>
      </c>
      <c r="BW42" s="60">
        <f>AB42/500*1000</f>
        <v>599.69175740538992</v>
      </c>
      <c r="BX42" s="60">
        <f>AI42/500*1000</f>
        <v>907.8388316973269</v>
      </c>
      <c r="BY42" s="60">
        <f>AO42/500*1000</f>
        <v>1277.7214205317794</v>
      </c>
      <c r="BZ42" s="60">
        <f>AV42/500*1000</f>
        <v>1527.3871117809276</v>
      </c>
      <c r="CA42" s="60">
        <f>BB42/500*1000</f>
        <v>1837.010298524812</v>
      </c>
      <c r="CB42" s="60">
        <f>BI42/500*1000</f>
        <v>2013.7114598124492</v>
      </c>
      <c r="CC42" s="60">
        <f>BO42/500*1000</f>
        <v>2260.5043997249036</v>
      </c>
      <c r="CE42" s="616" t="s">
        <v>970</v>
      </c>
      <c r="CF42" s="12" t="s">
        <v>965</v>
      </c>
    </row>
    <row r="43" spans="1:84" ht="15.6" outlineLevel="1">
      <c r="A43" s="616" t="s">
        <v>646</v>
      </c>
      <c r="B43" s="12" t="s">
        <v>502</v>
      </c>
      <c r="C43" s="13">
        <v>0</v>
      </c>
      <c r="D43" s="3">
        <f>'Installment card_150 (indiv)'!D36</f>
        <v>0</v>
      </c>
      <c r="E43" s="3">
        <f>'Installment card_150 (indiv)'!E36</f>
        <v>0</v>
      </c>
      <c r="F43" s="3">
        <f>'Installment card_150 (indiv)'!F36</f>
        <v>0</v>
      </c>
      <c r="G43" s="3">
        <f>'Installment card_150 (indiv)'!G36</f>
        <v>0</v>
      </c>
      <c r="H43" s="3">
        <f>'Installment card_150 (indiv)'!H36</f>
        <v>0</v>
      </c>
      <c r="I43" s="3">
        <f>'Installment card_150 (indiv)'!I36</f>
        <v>0</v>
      </c>
      <c r="J43" s="3">
        <f>'Installment card_150 (indiv)'!J36</f>
        <v>0</v>
      </c>
      <c r="K43" s="3">
        <f>'Installment card_150 (indiv)'!K36</f>
        <v>0</v>
      </c>
      <c r="L43" s="3">
        <f>'Installment card_150 (indiv)'!L36</f>
        <v>52.432433751599994</v>
      </c>
      <c r="M43" s="3">
        <f>'Installment card_150 (indiv)'!M36</f>
        <v>107.63964708937019</v>
      </c>
      <c r="N43" s="3">
        <f>'Installment card_150 (indiv)'!N36</f>
        <v>165.55255890204194</v>
      </c>
      <c r="O43" s="3">
        <f>'Installment card_150 (indiv)'!O36</f>
        <v>223.03521696438671</v>
      </c>
      <c r="P43" s="397">
        <f>O43</f>
        <v>223.03521696438671</v>
      </c>
      <c r="Q43" s="3">
        <f>'Installment card_150 (indiv)'!Q36</f>
        <v>670.85927290143945</v>
      </c>
      <c r="R43" s="3">
        <f>'Installment card_150 (indiv)'!R36</f>
        <v>1118.0254219241542</v>
      </c>
      <c r="S43" s="3">
        <f>'Installment card_150 (indiv)'!S36</f>
        <v>1586.238500276472</v>
      </c>
      <c r="T43" s="3">
        <f>'Installment card_150 (indiv)'!T36</f>
        <v>2074.8724429100689</v>
      </c>
      <c r="U43" s="3">
        <f>'Installment card_150 (indiv)'!U36</f>
        <v>2583.2752489680606</v>
      </c>
      <c r="V43" s="3">
        <f>'Installment card_150 (indiv)'!V36</f>
        <v>3110.770480305282</v>
      </c>
      <c r="W43" s="3">
        <f>'Installment card_150 (indiv)'!W36</f>
        <v>3656.6588098628822</v>
      </c>
      <c r="X43" s="3">
        <f>'Installment card_150 (indiv)'!X36</f>
        <v>4220.2196148782105</v>
      </c>
      <c r="Y43" s="3">
        <f>'Installment card_150 (indiv)'!Y36</f>
        <v>4800.7126097916753</v>
      </c>
      <c r="Z43" s="3">
        <f>'Installment card_150 (indiv)'!Z36</f>
        <v>5397.3795136144308</v>
      </c>
      <c r="AA43" s="3">
        <f>'Installment card_150 (indiv)'!AA36</f>
        <v>6009.4457464446541</v>
      </c>
      <c r="AB43" s="3">
        <f>'Installment card_150 (indiv)'!AB36</f>
        <v>6607.7895307754989</v>
      </c>
      <c r="AC43" s="397">
        <f>AB43</f>
        <v>6607.7895307754989</v>
      </c>
      <c r="AD43" s="3">
        <f>'Installment card_150 (indiv)'!AD36</f>
        <v>7894.3166349620615</v>
      </c>
      <c r="AE43" s="3">
        <f>'Installment card_150 (indiv)'!AE36</f>
        <v>8550.060053944595</v>
      </c>
      <c r="AF43" s="3">
        <f>'Installment card_150 (indiv)'!AF36</f>
        <v>9234.7530588993159</v>
      </c>
      <c r="AG43" s="3">
        <f>'Installment card_150 (indiv)'!AG36</f>
        <v>9947.3201374106393</v>
      </c>
      <c r="AH43" s="3">
        <f>'Installment card_150 (indiv)'!AH36</f>
        <v>10686.658485370264</v>
      </c>
      <c r="AI43" s="3">
        <f>'Installment card_150 (indiv)'!AI36</f>
        <v>11451.64058102323</v>
      </c>
      <c r="AJ43" s="3">
        <f>'Installment card_150 (indiv)'!AJ36</f>
        <v>12241.116786058485</v>
      </c>
      <c r="AK43" s="3">
        <f>'Installment card_150 (indiv)'!AK36</f>
        <v>13053.917965575571</v>
      </c>
      <c r="AL43" s="3">
        <f>'Installment card_150 (indiv)'!AL36</f>
        <v>13888.858118803253</v>
      </c>
      <c r="AM43" s="3">
        <f>'Installment card_150 (indiv)'!AM36</f>
        <v>14744.737012522088</v>
      </c>
      <c r="AN43" s="3">
        <f>'Installment card_150 (indiv)'!AN36</f>
        <v>15620.342809250003</v>
      </c>
      <c r="AO43" s="3">
        <f>'Installment card_150 (indiv)'!AO36</f>
        <v>16466.691428589569</v>
      </c>
      <c r="AP43" s="397">
        <f>AO43</f>
        <v>16466.691428589569</v>
      </c>
      <c r="AQ43" s="3">
        <f>'Installment card_150 (indiv)'!AQ36</f>
        <v>18661.720800740521</v>
      </c>
      <c r="AR43" s="3">
        <f>'Installment card_150 (indiv)'!AR36</f>
        <v>19242.472937326442</v>
      </c>
      <c r="AS43" s="3">
        <f>'Installment card_150 (indiv)'!AS36</f>
        <v>19854.420782831112</v>
      </c>
      <c r="AT43" s="3">
        <f>'Installment card_150 (indiv)'!AT36</f>
        <v>20496.344073085114</v>
      </c>
      <c r="AU43" s="3">
        <f>'Installment card_150 (indiv)'!AU36</f>
        <v>21167.001375903212</v>
      </c>
      <c r="AV43" s="3">
        <f>'Installment card_150 (indiv)'!AV36</f>
        <v>21865.132986725013</v>
      </c>
      <c r="AW43" s="3">
        <f>'Installment card_150 (indiv)'!AW36</f>
        <v>22589.463813471626</v>
      </c>
      <c r="AX43" s="3">
        <f>'Installment card_150 (indiv)'!AX36</f>
        <v>23338.706242173917</v>
      </c>
      <c r="AY43" s="3">
        <f>'Installment card_150 (indiv)'!AY36</f>
        <v>24111.562975160163</v>
      </c>
      <c r="AZ43" s="3">
        <f>'Installment card_150 (indiv)'!AZ36</f>
        <v>24906.729833850983</v>
      </c>
      <c r="BA43" s="3">
        <f>'Installment card_150 (indiv)'!BA36</f>
        <v>25722.89851849648</v>
      </c>
      <c r="BB43" s="3">
        <f>'Installment card_150 (indiv)'!BB36</f>
        <v>26499.571541660589</v>
      </c>
      <c r="BC43" s="397">
        <f>BB43</f>
        <v>26499.571541660589</v>
      </c>
      <c r="BD43" s="3">
        <f>'Installment card_150 (indiv)'!BD36</f>
        <v>29542.835209697136</v>
      </c>
      <c r="BE43" s="3">
        <f>'Installment card_150 (indiv)'!BE36</f>
        <v>29977.08867741629</v>
      </c>
      <c r="BF43" s="3">
        <f>'Installment card_150 (indiv)'!BF36</f>
        <v>30450.83117167019</v>
      </c>
      <c r="BG43" s="3">
        <f>'Installment card_150 (indiv)'!BG36</f>
        <v>30962.581979787938</v>
      </c>
      <c r="BH43" s="3">
        <f>'Installment card_150 (indiv)'!BH36</f>
        <v>31510.84113480095</v>
      </c>
      <c r="BI43" s="3">
        <f>'Installment card_150 (indiv)'!BI36</f>
        <v>32094.092906361504</v>
      </c>
      <c r="BJ43" s="3">
        <f>'Installment card_150 (indiv)'!BJ36</f>
        <v>32710.809242051244</v>
      </c>
      <c r="BK43" s="3">
        <f>'Installment card_150 (indiv)'!BK36</f>
        <v>33359.453150020927</v>
      </c>
      <c r="BL43" s="3">
        <f>'Installment card_150 (indiv)'!BL36</f>
        <v>34038.482014338762</v>
      </c>
      <c r="BM43" s="3">
        <f>'Installment card_150 (indiv)'!BM36</f>
        <v>34746.350834884484</v>
      </c>
      <c r="BN43" s="3">
        <f>'Installment card_150 (indiv)'!BN36</f>
        <v>35481.515384106955</v>
      </c>
      <c r="BO43" s="3">
        <f>'Installment card_150 (indiv)'!BO36</f>
        <v>36168.02599128228</v>
      </c>
      <c r="BP43" s="397">
        <f>BO43</f>
        <v>36168.02599128228</v>
      </c>
      <c r="BR43" s="60">
        <f t="shared" ref="BR43:BR44" si="54">F43/500*1000</f>
        <v>0</v>
      </c>
      <c r="BS43" s="60">
        <f t="shared" ref="BS43:BS44" si="55">I43/500*1000</f>
        <v>0</v>
      </c>
      <c r="BT43" s="60">
        <f t="shared" ref="BT43:BT44" si="56">L43/500*1000</f>
        <v>104.86486750319999</v>
      </c>
      <c r="BU43" s="60">
        <f t="shared" ref="BU43:BU44" si="57">O43/500*1000</f>
        <v>446.07043392877341</v>
      </c>
      <c r="BV43" s="60">
        <f t="shared" ref="BV43:BV44" si="58">V43/500*1000</f>
        <v>6221.5409606105641</v>
      </c>
      <c r="BW43" s="60">
        <f t="shared" ref="BW43:BW44" si="59">AB43/500*1000</f>
        <v>13215.579061550998</v>
      </c>
      <c r="BX43" s="60">
        <f t="shared" ref="BX43:BX44" si="60">AI43/500*1000</f>
        <v>22903.28116204646</v>
      </c>
      <c r="BY43" s="60">
        <f t="shared" ref="BY43:BY44" si="61">AO43/500*1000</f>
        <v>32933.382857179138</v>
      </c>
      <c r="BZ43" s="60">
        <f t="shared" ref="BZ43:BZ44" si="62">AV43/500*1000</f>
        <v>43730.265973450027</v>
      </c>
      <c r="CA43" s="60">
        <f t="shared" ref="CA43:CA44" si="63">BB43/500*1000</f>
        <v>52999.143083321178</v>
      </c>
      <c r="CB43" s="60">
        <f t="shared" ref="CB43:CB44" si="64">BI43/500*1000</f>
        <v>64188.185812723008</v>
      </c>
      <c r="CC43" s="60">
        <f t="shared" ref="CC43:CC44" si="65">BO43/500*1000</f>
        <v>72336.051982564561</v>
      </c>
      <c r="CE43" s="616" t="s">
        <v>971</v>
      </c>
      <c r="CF43" s="12" t="s">
        <v>965</v>
      </c>
    </row>
    <row r="44" spans="1:84" ht="15.6" outlineLevel="1">
      <c r="A44" s="616" t="s">
        <v>645</v>
      </c>
      <c r="B44" s="12" t="s">
        <v>502</v>
      </c>
      <c r="C44" s="13">
        <v>0</v>
      </c>
      <c r="D44" s="3">
        <f>'Installment card_1000 (indiv)'!D36</f>
        <v>0</v>
      </c>
      <c r="E44" s="3">
        <f>'Installment card_1000 (indiv)'!E36</f>
        <v>0</v>
      </c>
      <c r="F44" s="3">
        <f>'Installment card_1000 (indiv)'!F36</f>
        <v>0</v>
      </c>
      <c r="G44" s="3">
        <f>'Installment card_1000 (indiv)'!G36</f>
        <v>0</v>
      </c>
      <c r="H44" s="3">
        <f>'Installment card_1000 (indiv)'!H36</f>
        <v>0</v>
      </c>
      <c r="I44" s="3">
        <f>'Installment card_1000 (indiv)'!I36</f>
        <v>0</v>
      </c>
      <c r="J44" s="3">
        <f>'Installment card_1000 (indiv)'!J36</f>
        <v>0</v>
      </c>
      <c r="K44" s="3">
        <f>'Installment card_1000 (indiv)'!K36</f>
        <v>0</v>
      </c>
      <c r="L44" s="3">
        <f>'Installment card_1000 (indiv)'!L36</f>
        <v>0</v>
      </c>
      <c r="M44" s="3">
        <f>'Installment card_1000 (indiv)'!M36</f>
        <v>0</v>
      </c>
      <c r="N44" s="3">
        <f>'Installment card_1000 (indiv)'!N36</f>
        <v>0</v>
      </c>
      <c r="O44" s="3">
        <f>'Installment card_1000 (indiv)'!O36</f>
        <v>0</v>
      </c>
      <c r="P44" s="397">
        <f>O44</f>
        <v>0</v>
      </c>
      <c r="Q44" s="3">
        <f>'Installment card_1000 (indiv)'!Q36</f>
        <v>0</v>
      </c>
      <c r="R44" s="3">
        <f>'Installment card_1000 (indiv)'!R36</f>
        <v>0</v>
      </c>
      <c r="S44" s="3">
        <f>'Installment card_1000 (indiv)'!S36</f>
        <v>0</v>
      </c>
      <c r="T44" s="3">
        <f>'Installment card_1000 (indiv)'!T36</f>
        <v>0</v>
      </c>
      <c r="U44" s="3">
        <f>'Installment card_1000 (indiv)'!U36</f>
        <v>0</v>
      </c>
      <c r="V44" s="3">
        <f>'Installment card_1000 (indiv)'!V36</f>
        <v>0</v>
      </c>
      <c r="W44" s="3">
        <f>'Installment card_1000 (indiv)'!W36</f>
        <v>874.23641569795961</v>
      </c>
      <c r="X44" s="3">
        <f>'Installment card_1000 (indiv)'!X36</f>
        <v>1777.1110583617506</v>
      </c>
      <c r="Y44" s="3">
        <f>'Installment card_1000 (indiv)'!Y36</f>
        <v>2707.4346710790505</v>
      </c>
      <c r="Z44" s="3">
        <f>'Installment card_1000 (indiv)'!Z36</f>
        <v>3663.9887160515814</v>
      </c>
      <c r="AA44" s="3">
        <f>'Installment card_1000 (indiv)'!AA36</f>
        <v>4645.5281044795629</v>
      </c>
      <c r="AB44" s="3">
        <f>'Installment card_1000 (indiv)'!AB36</f>
        <v>5607.8557549332718</v>
      </c>
      <c r="AC44" s="397">
        <f>AB44</f>
        <v>5607.8557549332718</v>
      </c>
      <c r="AD44" s="3">
        <f>'Installment card_1000 (indiv)'!AD36</f>
        <v>6853.3700698469356</v>
      </c>
      <c r="AE44" s="3">
        <f>'Installment card_1000 (indiv)'!AE36</f>
        <v>7863.3737174745911</v>
      </c>
      <c r="AF44" s="3">
        <f>'Installment card_1000 (indiv)'!AF36</f>
        <v>8916.6660143492845</v>
      </c>
      <c r="AG44" s="3">
        <f>'Installment card_1000 (indiv)'!AG36</f>
        <v>10011.60927140931</v>
      </c>
      <c r="AH44" s="3">
        <f>'Installment card_1000 (indiv)'!AH36</f>
        <v>11146.525431955008</v>
      </c>
      <c r="AI44" s="3">
        <f>'Installment card_1000 (indiv)'!AI36</f>
        <v>12319.69997272529</v>
      </c>
      <c r="AJ44" s="3">
        <f>'Installment card_1000 (indiv)'!AJ36</f>
        <v>13529.385843476022</v>
      </c>
      <c r="AK44" s="3">
        <f>'Installment card_1000 (indiv)'!AK36</f>
        <v>14773.807432721756</v>
      </c>
      <c r="AL44" s="3">
        <f>'Installment card_1000 (indiv)'!AL36</f>
        <v>16051.164547377321</v>
      </c>
      <c r="AM44" s="3">
        <f>'Installment card_1000 (indiv)'!AM36</f>
        <v>17359.636394158806</v>
      </c>
      <c r="AN44" s="3">
        <f>'Installment card_1000 (indiv)'!AN36</f>
        <v>18697.385550773281</v>
      </c>
      <c r="AO44" s="3">
        <f>'Installment card_1000 (indiv)'!AO36</f>
        <v>19993.482829070515</v>
      </c>
      <c r="AP44" s="397">
        <f>AO44</f>
        <v>19993.482829070515</v>
      </c>
      <c r="AQ44" s="3">
        <f>'Installment card_1000 (indiv)'!AQ36</f>
        <v>21826.439221198092</v>
      </c>
      <c r="AR44" s="3">
        <f>'Installment card_1000 (indiv)'!AR36</f>
        <v>22704.959519959611</v>
      </c>
      <c r="AS44" s="3">
        <f>'Installment card_1000 (indiv)'!AS36</f>
        <v>23626.979823596164</v>
      </c>
      <c r="AT44" s="3">
        <f>'Installment card_1000 (indiv)'!AT36</f>
        <v>24590.729861709064</v>
      </c>
      <c r="AU44" s="3">
        <f>'Installment card_1000 (indiv)'!AU36</f>
        <v>25594.411289570668</v>
      </c>
      <c r="AV44" s="3">
        <f>'Installment card_1000 (indiv)'!AV36</f>
        <v>26636.201832263261</v>
      </c>
      <c r="AW44" s="3">
        <f>'Installment card_1000 (indiv)'!AW36</f>
        <v>27714.259407832702</v>
      </c>
      <c r="AX44" s="3">
        <f>'Installment card_1000 (indiv)'!AX36</f>
        <v>28826.726217496565</v>
      </c>
      <c r="AY44" s="3">
        <f>'Installment card_1000 (indiv)'!AY36</f>
        <v>29971.732791295119</v>
      </c>
      <c r="AZ44" s="3">
        <f>'Installment card_1000 (indiv)'!AZ36</f>
        <v>31147.401977961534</v>
      </c>
      <c r="BA44" s="3">
        <f>'Installment card_1000 (indiv)'!BA36</f>
        <v>32351.852868213169</v>
      </c>
      <c r="BB44" s="3">
        <f>'Installment card_1000 (indiv)'!BB36</f>
        <v>33501.493493034817</v>
      </c>
      <c r="BC44" s="397">
        <f>BB44</f>
        <v>33501.493493034817</v>
      </c>
      <c r="BD44" s="3">
        <f>'Installment card_1000 (indiv)'!BD36</f>
        <v>35775.772263737985</v>
      </c>
      <c r="BE44" s="3">
        <f>'Installment card_1000 (indiv)'!BE36</f>
        <v>36428.490808796792</v>
      </c>
      <c r="BF44" s="3">
        <f>'Installment card_1000 (indiv)'!BF36</f>
        <v>37132.73322309275</v>
      </c>
      <c r="BG44" s="3">
        <f>'Installment card_1000 (indiv)'!BG36</f>
        <v>37886.481405546016</v>
      </c>
      <c r="BH44" s="3">
        <f>'Installment card_1000 (indiv)'!BH36</f>
        <v>38687.694458002028</v>
      </c>
      <c r="BI44" s="3">
        <f>'Installment card_1000 (indiv)'!BI36</f>
        <v>39534.313348353287</v>
      </c>
      <c r="BJ44" s="3">
        <f>'Installment card_1000 (indiv)'!BJ36</f>
        <v>40424.265500086251</v>
      </c>
      <c r="BK44" s="3">
        <f>'Installment card_1000 (indiv)'!BK36</f>
        <v>41355.469296361189</v>
      </c>
      <c r="BL44" s="3">
        <f>'Installment card_1000 (indiv)'!BL36</f>
        <v>42325.838487334666</v>
      </c>
      <c r="BM44" s="3">
        <f>'Installment card_1000 (indiv)'!BM36</f>
        <v>43333.286490066785</v>
      </c>
      <c r="BN44" s="3">
        <f>'Installment card_1000 (indiv)'!BN36</f>
        <v>44375.730571013824</v>
      </c>
      <c r="BO44" s="3">
        <f>'Installment card_1000 (indiv)'!BO36</f>
        <v>45353.040161876612</v>
      </c>
      <c r="BP44" s="397">
        <f>BO44</f>
        <v>45353.040161876612</v>
      </c>
      <c r="BR44" s="60">
        <f t="shared" si="54"/>
        <v>0</v>
      </c>
      <c r="BS44" s="60">
        <f t="shared" si="55"/>
        <v>0</v>
      </c>
      <c r="BT44" s="60">
        <f t="shared" si="56"/>
        <v>0</v>
      </c>
      <c r="BU44" s="60">
        <f t="shared" si="57"/>
        <v>0</v>
      </c>
      <c r="BV44" s="60">
        <f t="shared" si="58"/>
        <v>0</v>
      </c>
      <c r="BW44" s="60">
        <f t="shared" si="59"/>
        <v>11215.711509866544</v>
      </c>
      <c r="BX44" s="60">
        <f t="shared" si="60"/>
        <v>24639.399945450579</v>
      </c>
      <c r="BY44" s="60">
        <f t="shared" si="61"/>
        <v>39986.965658141031</v>
      </c>
      <c r="BZ44" s="60">
        <f t="shared" si="62"/>
        <v>53272.403664526522</v>
      </c>
      <c r="CA44" s="60">
        <f t="shared" si="63"/>
        <v>67002.986986069634</v>
      </c>
      <c r="CB44" s="60">
        <f t="shared" si="64"/>
        <v>79068.626696706575</v>
      </c>
      <c r="CC44" s="60">
        <f t="shared" si="65"/>
        <v>90706.080323753224</v>
      </c>
      <c r="CE44" s="616" t="s">
        <v>972</v>
      </c>
      <c r="CF44" s="12" t="s">
        <v>965</v>
      </c>
    </row>
    <row r="45" spans="1:84" s="399" customFormat="1" ht="15.6">
      <c r="A45" s="403" t="s">
        <v>644</v>
      </c>
      <c r="B45" s="12" t="s">
        <v>502</v>
      </c>
      <c r="C45" s="402"/>
      <c r="D45" s="401">
        <f t="shared" ref="D45:O45" si="66">SUM(D46:D49)</f>
        <v>0</v>
      </c>
      <c r="E45" s="401">
        <f t="shared" si="66"/>
        <v>0</v>
      </c>
      <c r="F45" s="401">
        <f t="shared" si="66"/>
        <v>0</v>
      </c>
      <c r="G45" s="401">
        <f t="shared" si="66"/>
        <v>0</v>
      </c>
      <c r="H45" s="401">
        <f t="shared" si="66"/>
        <v>0</v>
      </c>
      <c r="I45" s="401">
        <f t="shared" si="66"/>
        <v>0</v>
      </c>
      <c r="J45" s="401">
        <f t="shared" si="66"/>
        <v>-8.2769943344077852</v>
      </c>
      <c r="K45" s="401">
        <f t="shared" si="66"/>
        <v>-17.389884110365873</v>
      </c>
      <c r="L45" s="401">
        <f t="shared" si="66"/>
        <v>-27.997681107443327</v>
      </c>
      <c r="M45" s="401">
        <f t="shared" si="66"/>
        <v>-38.993439339121615</v>
      </c>
      <c r="N45" s="401">
        <f t="shared" si="66"/>
        <v>-49.970319093686371</v>
      </c>
      <c r="O45" s="401">
        <f t="shared" si="66"/>
        <v>-61.262449963435657</v>
      </c>
      <c r="P45" s="400">
        <f>SUM(D45:O45)</f>
        <v>-203.89076794846062</v>
      </c>
      <c r="Q45" s="401">
        <f t="shared" ref="Q45:AB45" si="67">SUM(Q46:Q49)</f>
        <v>-56.647494721952093</v>
      </c>
      <c r="R45" s="401">
        <f t="shared" si="67"/>
        <v>-74.751555569810932</v>
      </c>
      <c r="S45" s="401">
        <f t="shared" si="67"/>
        <v>-99.142648902598353</v>
      </c>
      <c r="T45" s="401">
        <f t="shared" si="67"/>
        <v>-120.78928663545244</v>
      </c>
      <c r="U45" s="401">
        <f t="shared" si="67"/>
        <v>-146.0004160982574</v>
      </c>
      <c r="V45" s="401">
        <f t="shared" si="67"/>
        <v>-168.54462652955763</v>
      </c>
      <c r="W45" s="401">
        <f t="shared" si="67"/>
        <v>-216.31007484871753</v>
      </c>
      <c r="X45" s="401">
        <f t="shared" si="67"/>
        <v>-260.20714343334498</v>
      </c>
      <c r="Y45" s="401">
        <f t="shared" si="67"/>
        <v>-300.59748980705831</v>
      </c>
      <c r="Z45" s="401">
        <f t="shared" si="67"/>
        <v>-350.82594335260234</v>
      </c>
      <c r="AA45" s="401">
        <f t="shared" si="67"/>
        <v>-391.06164752428242</v>
      </c>
      <c r="AB45" s="401">
        <f t="shared" si="67"/>
        <v>-442.31272366667497</v>
      </c>
      <c r="AC45" s="400">
        <f>SUM(Q45:AB45)</f>
        <v>-2627.1910510903094</v>
      </c>
      <c r="AD45" s="401">
        <f t="shared" ref="AD45:AO45" si="68">SUM(AD46:AD49)</f>
        <v>-347.69147454921796</v>
      </c>
      <c r="AE45" s="401">
        <f t="shared" si="68"/>
        <v>-339.63095879430227</v>
      </c>
      <c r="AF45" s="401">
        <f t="shared" si="68"/>
        <v>-397.62631084305588</v>
      </c>
      <c r="AG45" s="401">
        <f t="shared" si="68"/>
        <v>-421.81325515451357</v>
      </c>
      <c r="AH45" s="401">
        <f t="shared" si="68"/>
        <v>-466.58137851147194</v>
      </c>
      <c r="AI45" s="401">
        <f t="shared" si="68"/>
        <v>-490.49668839409145</v>
      </c>
      <c r="AJ45" s="401">
        <f t="shared" si="68"/>
        <v>-538.25453950913106</v>
      </c>
      <c r="AK45" s="401">
        <f t="shared" si="68"/>
        <v>-574.888935836683</v>
      </c>
      <c r="AL45" s="401">
        <f t="shared" si="68"/>
        <v>-597.64987276973216</v>
      </c>
      <c r="AM45" s="401">
        <f t="shared" si="68"/>
        <v>-649.31925344018464</v>
      </c>
      <c r="AN45" s="401">
        <f t="shared" si="68"/>
        <v>-670.85313505156194</v>
      </c>
      <c r="AO45" s="401">
        <f t="shared" si="68"/>
        <v>-721.92791895580206</v>
      </c>
      <c r="AP45" s="400">
        <f>SUM(AD45:AO45)</f>
        <v>-6216.7337218097473</v>
      </c>
      <c r="AQ45" s="401">
        <f t="shared" ref="AQ45:BB45" si="69">SUM(AQ46:AQ49)</f>
        <v>-543.6398505886084</v>
      </c>
      <c r="AR45" s="401">
        <f t="shared" si="69"/>
        <v>-461.63897000265825</v>
      </c>
      <c r="AS45" s="401">
        <f t="shared" si="69"/>
        <v>-522.57222976420212</v>
      </c>
      <c r="AT45" s="401">
        <f t="shared" si="69"/>
        <v>-518.90243847539705</v>
      </c>
      <c r="AU45" s="401">
        <f t="shared" si="69"/>
        <v>-549.16632514280343</v>
      </c>
      <c r="AV45" s="401">
        <f t="shared" si="69"/>
        <v>-545.21053771768356</v>
      </c>
      <c r="AW45" s="401">
        <f t="shared" si="69"/>
        <v>-576.66845535674383</v>
      </c>
      <c r="AX45" s="401">
        <f t="shared" si="69"/>
        <v>-590.58955160236758</v>
      </c>
      <c r="AY45" s="401">
        <f t="shared" si="69"/>
        <v>-585.65429340657101</v>
      </c>
      <c r="AZ45" s="401">
        <f t="shared" si="69"/>
        <v>-618.44627069482146</v>
      </c>
      <c r="BA45" s="401">
        <f t="shared" si="69"/>
        <v>-612.53642294418023</v>
      </c>
      <c r="BB45" s="401">
        <f t="shared" si="69"/>
        <v>-643.47772315810028</v>
      </c>
      <c r="BC45" s="400">
        <f>SUM(AQ45:BB45)</f>
        <v>-6768.5030688541374</v>
      </c>
      <c r="BD45" s="401">
        <f t="shared" ref="BD45:BO45" si="70">SUM(BD46:BD49)</f>
        <v>-465.22437787662994</v>
      </c>
      <c r="BE45" s="401">
        <f t="shared" si="70"/>
        <v>-342.08683204159018</v>
      </c>
      <c r="BF45" s="401">
        <f t="shared" si="70"/>
        <v>-393.87741388939219</v>
      </c>
      <c r="BG45" s="401">
        <f t="shared" si="70"/>
        <v>-374.06972543546323</v>
      </c>
      <c r="BH45" s="401">
        <f t="shared" si="70"/>
        <v>-390.13793566486885</v>
      </c>
      <c r="BI45" s="401">
        <f t="shared" si="70"/>
        <v>-370.39467320620912</v>
      </c>
      <c r="BJ45" s="401">
        <f t="shared" si="70"/>
        <v>-386.41321055232748</v>
      </c>
      <c r="BK45" s="401">
        <f t="shared" si="70"/>
        <v>-384.40836762380866</v>
      </c>
      <c r="BL45" s="401">
        <f t="shared" si="70"/>
        <v>-364.28435923510739</v>
      </c>
      <c r="BM45" s="401">
        <f t="shared" si="70"/>
        <v>-379.83789952881443</v>
      </c>
      <c r="BN45" s="401">
        <f t="shared" si="70"/>
        <v>-359.19285933369736</v>
      </c>
      <c r="BO45" s="401">
        <f t="shared" si="70"/>
        <v>-372.01107157221804</v>
      </c>
      <c r="BP45" s="400">
        <f>SUM(BD45:BO45)</f>
        <v>-4581.9387259601262</v>
      </c>
      <c r="CE45" s="403" t="s">
        <v>976</v>
      </c>
      <c r="CF45" s="12" t="s">
        <v>965</v>
      </c>
    </row>
    <row r="46" spans="1:84" s="3" customFormat="1" outlineLevel="1">
      <c r="A46" s="398" t="s">
        <v>641</v>
      </c>
      <c r="B46" s="12" t="s">
        <v>502</v>
      </c>
      <c r="C46" s="12"/>
      <c r="D46" s="3">
        <f>'Debit card (indiv)'!D79</f>
        <v>0</v>
      </c>
      <c r="E46" s="3">
        <f>'Debit card (indiv)'!E79</f>
        <v>0</v>
      </c>
      <c r="F46" s="3">
        <f>'Debit card (indiv)'!F79</f>
        <v>0</v>
      </c>
      <c r="G46" s="3">
        <f>'Debit card (indiv)'!G79</f>
        <v>0</v>
      </c>
      <c r="H46" s="3">
        <f>'Debit card (indiv)'!H79</f>
        <v>0</v>
      </c>
      <c r="I46" s="3">
        <f>'Debit card (indiv)'!I79</f>
        <v>0</v>
      </c>
      <c r="J46" s="3">
        <f>'Debit card (indiv)'!J79</f>
        <v>-7.611789998636378</v>
      </c>
      <c r="K46" s="3">
        <f>'Debit card (indiv)'!K79</f>
        <v>-15.368489120664485</v>
      </c>
      <c r="L46" s="3">
        <f>'Debit card (indiv)'!L79</f>
        <v>-23.43025710588855</v>
      </c>
      <c r="M46" s="3">
        <f>'Debit card (indiv)'!M79</f>
        <v>-31.712925805108618</v>
      </c>
      <c r="N46" s="3">
        <f>'Debit card (indiv)'!N79</f>
        <v>-40.328198909479283</v>
      </c>
      <c r="O46" s="3">
        <f>'Debit card (indiv)'!O79</f>
        <v>-48.72784502415373</v>
      </c>
      <c r="P46" s="397">
        <f>SUM(D46:O46)</f>
        <v>-167.17950596393106</v>
      </c>
      <c r="Q46" s="3">
        <f>'Debit card (indiv)'!Q79</f>
        <v>-32.640441081337812</v>
      </c>
      <c r="R46" s="3">
        <f>'Debit card (indiv)'!R79</f>
        <v>-41.902205003672648</v>
      </c>
      <c r="S46" s="3">
        <f>'Debit card (indiv)'!S79</f>
        <v>-51.377786795858171</v>
      </c>
      <c r="T46" s="3">
        <f>'Debit card (indiv)'!T79</f>
        <v>-62.13639999721579</v>
      </c>
      <c r="U46" s="3">
        <f>'Debit card (indiv)'!U79</f>
        <v>-72.733916987441205</v>
      </c>
      <c r="V46" s="3">
        <f>'Debit card (indiv)'!V79</f>
        <v>-84.430378902418539</v>
      </c>
      <c r="W46" s="3">
        <f>'Debit card (indiv)'!W79</f>
        <v>-95.710399605254679</v>
      </c>
      <c r="X46" s="3">
        <f>'Debit card (indiv)'!X79</f>
        <v>-107.76861204535805</v>
      </c>
      <c r="Y46" s="3">
        <f>'Debit card (indiv)'!Y79</f>
        <v>-120.77400061775319</v>
      </c>
      <c r="Z46" s="3">
        <f>'Debit card (indiv)'!Z79</f>
        <v>-132.94590252445579</v>
      </c>
      <c r="AA46" s="3">
        <f>'Debit card (indiv)'!AA79</f>
        <v>-146.75289300426704</v>
      </c>
      <c r="AB46" s="3">
        <f>'Debit card (indiv)'!AB79</f>
        <v>-158.76557153938148</v>
      </c>
      <c r="AC46" s="397">
        <f>SUM(Q46:AB46)</f>
        <v>-1107.9385081044143</v>
      </c>
      <c r="AD46" s="3">
        <f>'Debit card (indiv)'!AD79</f>
        <v>-29.391054770227186</v>
      </c>
      <c r="AE46" s="3">
        <f>'Debit card (indiv)'!AE79</f>
        <v>-24.21801434314898</v>
      </c>
      <c r="AF46" s="3">
        <f>'Debit card (indiv)'!AF79</f>
        <v>-20.637355984776264</v>
      </c>
      <c r="AG46" s="3">
        <f>'Debit card (indiv)'!AG79</f>
        <v>-23.926907218521592</v>
      </c>
      <c r="AH46" s="3">
        <f>'Debit card (indiv)'!AH79</f>
        <v>-23.481671842623371</v>
      </c>
      <c r="AI46" s="3">
        <f>'Debit card (indiv)'!AI79</f>
        <v>-27.130008250004039</v>
      </c>
      <c r="AJ46" s="3">
        <f>'Debit card (indiv)'!AJ79</f>
        <v>-26.504714568933537</v>
      </c>
      <c r="AK46" s="3">
        <f>'Debit card (indiv)'!AK79</f>
        <v>-28.077746118876235</v>
      </c>
      <c r="AL46" s="3">
        <f>'Debit card (indiv)'!AL79</f>
        <v>-32.281415701945662</v>
      </c>
      <c r="AM46" s="3">
        <f>'Debit card (indiv)'!AM79</f>
        <v>-31.335575339130287</v>
      </c>
      <c r="AN46" s="3">
        <f>'Debit card (indiv)'!AN79</f>
        <v>-35.918133523514143</v>
      </c>
      <c r="AO46" s="3">
        <f>'Debit card (indiv)'!AO79</f>
        <v>-34.501603550323125</v>
      </c>
      <c r="AP46" s="397">
        <f>SUM(AD46:AO46)</f>
        <v>-337.40420121202442</v>
      </c>
      <c r="AQ46" s="3">
        <f>'Debit card (indiv)'!AQ79</f>
        <v>167.75832596677958</v>
      </c>
      <c r="AR46" s="3">
        <f>'Debit card (indiv)'!AR79</f>
        <v>190.5927315002059</v>
      </c>
      <c r="AS46" s="3">
        <f>'Debit card (indiv)'!AS79</f>
        <v>211.90818748696131</v>
      </c>
      <c r="AT46" s="3">
        <f>'Debit card (indiv)'!AT79</f>
        <v>212.9928975026188</v>
      </c>
      <c r="AU46" s="3">
        <f>'Debit card (indiv)'!AU79</f>
        <v>225.11975965366412</v>
      </c>
      <c r="AV46" s="3">
        <f>'Debit card (indiv)'!AV79</f>
        <v>226.46220441428011</v>
      </c>
      <c r="AW46" s="3">
        <f>'Debit card (indiv)'!AW79</f>
        <v>239.49872239312083</v>
      </c>
      <c r="AX46" s="3">
        <f>'Debit card (indiv)'!AX79</f>
        <v>247.0930895735836</v>
      </c>
      <c r="AY46" s="3">
        <f>'Debit card (indiv)'!AY79</f>
        <v>248.67238222715196</v>
      </c>
      <c r="AZ46" s="3">
        <f>'Debit card (indiv)'!AZ79</f>
        <v>263.02470950279371</v>
      </c>
      <c r="BA46" s="3">
        <f>'Debit card (indiv)'!BA79</f>
        <v>264.66455839092646</v>
      </c>
      <c r="BB46" s="3">
        <f>'Debit card (indiv)'!BB79</f>
        <v>279.47465292422487</v>
      </c>
      <c r="BC46" s="397">
        <f>SUM(AQ46:BB46)</f>
        <v>2777.2622215363117</v>
      </c>
      <c r="BD46" s="3">
        <f>'Debit card (indiv)'!BD79</f>
        <v>465.83905514346066</v>
      </c>
      <c r="BE46" s="3">
        <f>'Debit card (indiv)'!BE79</f>
        <v>486.49448428921312</v>
      </c>
      <c r="BF46" s="3">
        <f>'Debit card (indiv)'!BF79</f>
        <v>520.52937548699333</v>
      </c>
      <c r="BG46" s="3">
        <f>'Debit card (indiv)'!BG79</f>
        <v>519.66162308577373</v>
      </c>
      <c r="BH46" s="3">
        <f>'Debit card (indiv)'!BH79</f>
        <v>537.5951011023958</v>
      </c>
      <c r="BI46" s="3">
        <f>'Debit card (indiv)'!BI79</f>
        <v>537.64019728819619</v>
      </c>
      <c r="BJ46" s="3">
        <f>'Debit card (indiv)'!BJ79</f>
        <v>557.0570277517545</v>
      </c>
      <c r="BK46" s="3">
        <f>'Debit card (indiv)'!BK79</f>
        <v>567.6226352359937</v>
      </c>
      <c r="BL46" s="3">
        <f>'Debit card (indiv)'!BL79</f>
        <v>568.77130841064491</v>
      </c>
      <c r="BM46" s="3">
        <f>'Debit card (indiv)'!BM79</f>
        <v>590.29404400198041</v>
      </c>
      <c r="BN46" s="3">
        <f>'Debit card (indiv)'!BN79</f>
        <v>592.00510525371612</v>
      </c>
      <c r="BO46" s="3">
        <f>'Debit card (indiv)'!BO79</f>
        <v>613.92702066208085</v>
      </c>
      <c r="BP46" s="397">
        <f>SUM(BD46:BO46)</f>
        <v>6557.4369777122047</v>
      </c>
      <c r="CE46" s="398" t="s">
        <v>977</v>
      </c>
      <c r="CF46" s="12" t="s">
        <v>965</v>
      </c>
    </row>
    <row r="47" spans="1:84" s="3" customFormat="1" outlineLevel="1">
      <c r="A47" s="398" t="s">
        <v>640</v>
      </c>
      <c r="B47" s="12" t="s">
        <v>502</v>
      </c>
      <c r="C47" s="12"/>
      <c r="D47" s="3">
        <f>'Micro_30 (indiv)'!D57</f>
        <v>0</v>
      </c>
      <c r="E47" s="3">
        <f>'Micro_30 (indiv)'!E57</f>
        <v>0</v>
      </c>
      <c r="F47" s="3">
        <f>'Micro_30 (indiv)'!F57</f>
        <v>0</v>
      </c>
      <c r="G47" s="3">
        <f>'Micro_30 (indiv)'!G57</f>
        <v>0</v>
      </c>
      <c r="H47" s="3">
        <f>'Micro_30 (indiv)'!H57</f>
        <v>0</v>
      </c>
      <c r="I47" s="3">
        <f>'Micro_30 (indiv)'!I57</f>
        <v>0</v>
      </c>
      <c r="J47" s="3">
        <f>'Micro_30 (indiv)'!J57</f>
        <v>-0.6652043357714067</v>
      </c>
      <c r="K47" s="3">
        <f>'Micro_30 (indiv)'!K57</f>
        <v>-2.0213949897013883</v>
      </c>
      <c r="L47" s="3">
        <f>'Micro_30 (indiv)'!L57</f>
        <v>-3.3177633814432252</v>
      </c>
      <c r="M47" s="3">
        <f>'Micro_30 (indiv)'!M57</f>
        <v>-4.8844633153006072</v>
      </c>
      <c r="N47" s="3">
        <f>'Micro_30 (indiv)'!N57</f>
        <v>-6.1819636477342339</v>
      </c>
      <c r="O47" s="3">
        <f>'Micro_30 (indiv)'!O57</f>
        <v>-7.9046363816328231</v>
      </c>
      <c r="P47" s="397">
        <f>SUM(D47:O47)</f>
        <v>-24.975426051583685</v>
      </c>
      <c r="Q47" s="3">
        <f>'Micro_30 (indiv)'!Q57</f>
        <v>-9.767857351256632</v>
      </c>
      <c r="R47" s="3">
        <f>'Micro_30 (indiv)'!R57</f>
        <v>-11.928075991503098</v>
      </c>
      <c r="S47" s="3">
        <f>'Micro_30 (indiv)'!S57</f>
        <v>-16.811967036979087</v>
      </c>
      <c r="T47" s="3">
        <f>'Micro_30 (indiv)'!T57</f>
        <v>-19.916792188283647</v>
      </c>
      <c r="U47" s="3">
        <f>'Micro_30 (indiv)'!U57</f>
        <v>-24.507208730266917</v>
      </c>
      <c r="V47" s="3">
        <f>'Micro_30 (indiv)'!V57</f>
        <v>-27.664170647270421</v>
      </c>
      <c r="W47" s="3">
        <f>'Micro_30 (indiv)'!W57</f>
        <v>-32.812574588626603</v>
      </c>
      <c r="X47" s="3">
        <f>'Micro_30 (indiv)'!X57</f>
        <v>-37.180416645774962</v>
      </c>
      <c r="Y47" s="3">
        <f>'Micro_30 (indiv)'!Y57</f>
        <v>-40.339440319299882</v>
      </c>
      <c r="Z47" s="3">
        <f>'Micro_30 (indiv)'!Z57</f>
        <v>-46.317694443849305</v>
      </c>
      <c r="AA47" s="3">
        <f>'Micro_30 (indiv)'!AA57</f>
        <v>-49.427618063206346</v>
      </c>
      <c r="AB47" s="3">
        <f>'Micro_30 (indiv)'!AB57</f>
        <v>-55.837406566630449</v>
      </c>
      <c r="AC47" s="397">
        <f>SUM(Q47:AB47)</f>
        <v>-372.5112225729473</v>
      </c>
      <c r="AD47" s="3">
        <f>'Micro_30 (indiv)'!AD57</f>
        <v>-56.188685999481827</v>
      </c>
      <c r="AE47" s="3">
        <f>'Micro_30 (indiv)'!AE57</f>
        <v>-54.590125455442404</v>
      </c>
      <c r="AF47" s="3">
        <f>'Micro_30 (indiv)'!AF57</f>
        <v>-64.885822176660255</v>
      </c>
      <c r="AG47" s="3">
        <f>'Micro_30 (indiv)'!AG57</f>
        <v>-67.279188369780059</v>
      </c>
      <c r="AH47" s="3">
        <f>'Micro_30 (indiv)'!AH57</f>
        <v>-74.339773971183291</v>
      </c>
      <c r="AI47" s="3">
        <f>'Micro_30 (indiv)'!AI57</f>
        <v>-76.77307509324983</v>
      </c>
      <c r="AJ47" s="3">
        <f>'Micro_30 (indiv)'!AJ57</f>
        <v>-84.491402014572287</v>
      </c>
      <c r="AK47" s="3">
        <f>'Micro_30 (indiv)'!AK57</f>
        <v>-89.809673571179303</v>
      </c>
      <c r="AL47" s="3">
        <f>'Micro_30 (indiv)'!AL57</f>
        <v>-92.205580040353084</v>
      </c>
      <c r="AM47" s="3">
        <f>'Micro_30 (indiv)'!AM57</f>
        <v>-100.89168491069476</v>
      </c>
      <c r="AN47" s="3">
        <f>'Micro_30 (indiv)'!AN57</f>
        <v>-103.19937254943288</v>
      </c>
      <c r="AO47" s="3">
        <f>'Micro_30 (indiv)'!AO57</f>
        <v>-112.35300138947662</v>
      </c>
      <c r="AP47" s="397">
        <f>SUM(AD47:AO47)</f>
        <v>-977.00738554150644</v>
      </c>
      <c r="AQ47" s="3">
        <f>'Micro_30 (indiv)'!AQ57</f>
        <v>-107.98908848797412</v>
      </c>
      <c r="AR47" s="3">
        <f>'Micro_30 (indiv)'!AR57</f>
        <v>-100.34966212990498</v>
      </c>
      <c r="AS47" s="3">
        <f>'Micro_30 (indiv)'!AS57</f>
        <v>-114.39266867065334</v>
      </c>
      <c r="AT47" s="3">
        <f>'Micro_30 (indiv)'!AT57</f>
        <v>-114.05423574898089</v>
      </c>
      <c r="AU47" s="3">
        <f>'Micro_30 (indiv)'!AU57</f>
        <v>-121.48459427130187</v>
      </c>
      <c r="AV47" s="3">
        <f>'Micro_30 (indiv)'!AV57</f>
        <v>-121.23025991919228</v>
      </c>
      <c r="AW47" s="3">
        <f>'Micro_30 (indiv)'!AW57</f>
        <v>-129.20892084901837</v>
      </c>
      <c r="AX47" s="3">
        <f>'Micro_30 (indiv)'!AX57</f>
        <v>-133.29032795430257</v>
      </c>
      <c r="AY47" s="3">
        <f>'Micro_30 (indiv)'!AY57</f>
        <v>-133.07245685931332</v>
      </c>
      <c r="AZ47" s="3">
        <f>'Micro_30 (indiv)'!AZ57</f>
        <v>-141.85522328517271</v>
      </c>
      <c r="BA47" s="3">
        <f>'Micro_30 (indiv)'!BA57</f>
        <v>-141.60389201115592</v>
      </c>
      <c r="BB47" s="3">
        <f>'Micro_30 (indiv)'!BB57</f>
        <v>-150.73978887305228</v>
      </c>
      <c r="BC47" s="397">
        <f>SUM(AQ47:BB47)</f>
        <v>-1509.2711190600226</v>
      </c>
      <c r="BD47" s="3">
        <f>'Micro_30 (indiv)'!BD57</f>
        <v>-141.29652239734901</v>
      </c>
      <c r="BE47" s="3">
        <f>'Micro_30 (indiv)'!BE57</f>
        <v>-129.31148554981095</v>
      </c>
      <c r="BF47" s="3">
        <f>'Micro_30 (indiv)'!BF57</f>
        <v>-145.22592856433351</v>
      </c>
      <c r="BG47" s="3">
        <f>'Micro_30 (indiv)'!BG57</f>
        <v>-142.71145094655873</v>
      </c>
      <c r="BH47" s="3">
        <f>'Micro_30 (indiv)'!BH57</f>
        <v>-149.88695556963901</v>
      </c>
      <c r="BI47" s="3">
        <f>'Micro_30 (indiv)'!BI57</f>
        <v>-147.5556498240133</v>
      </c>
      <c r="BJ47" s="3">
        <f>'Micro_30 (indiv)'!BJ57</f>
        <v>-155.22295595248559</v>
      </c>
      <c r="BK47" s="3">
        <f>'Micro_30 (indiv)'!BK57</f>
        <v>-158.12606871687319</v>
      </c>
      <c r="BL47" s="3">
        <f>'Micro_30 (indiv)'!BL57</f>
        <v>-155.9770027436723</v>
      </c>
      <c r="BM47" s="3">
        <f>'Micro_30 (indiv)'!BM57</f>
        <v>-164.36616680061709</v>
      </c>
      <c r="BN47" s="3">
        <f>'Micro_30 (indiv)'!BN57</f>
        <v>-162.27925769811657</v>
      </c>
      <c r="BO47" s="3">
        <f>'Micro_30 (indiv)'!BO57</f>
        <v>-170.96065566921013</v>
      </c>
      <c r="BP47" s="397">
        <f>SUM(BD47:BO47)</f>
        <v>-1822.9201004326796</v>
      </c>
      <c r="CE47" s="398" t="s">
        <v>978</v>
      </c>
      <c r="CF47" s="12" t="s">
        <v>965</v>
      </c>
    </row>
    <row r="48" spans="1:84" s="3" customFormat="1" outlineLevel="1">
      <c r="A48" s="398" t="s">
        <v>639</v>
      </c>
      <c r="B48" s="12" t="s">
        <v>502</v>
      </c>
      <c r="C48" s="12"/>
      <c r="D48" s="3">
        <f>'Installment card_150 (indiv)'!D117</f>
        <v>0</v>
      </c>
      <c r="E48" s="3">
        <f>'Installment card_150 (indiv)'!E117</f>
        <v>0</v>
      </c>
      <c r="F48" s="3">
        <f>'Installment card_150 (indiv)'!F117</f>
        <v>0</v>
      </c>
      <c r="G48" s="3">
        <f>'Installment card_150 (indiv)'!G117</f>
        <v>0</v>
      </c>
      <c r="H48" s="3">
        <f>'Installment card_150 (indiv)'!H117</f>
        <v>0</v>
      </c>
      <c r="I48" s="3">
        <f>'Installment card_150 (indiv)'!I117</f>
        <v>0</v>
      </c>
      <c r="J48" s="3">
        <f>'Installment card_150 (indiv)'!J117</f>
        <v>0</v>
      </c>
      <c r="K48" s="3">
        <f>'Installment card_150 (indiv)'!K117</f>
        <v>0</v>
      </c>
      <c r="L48" s="3">
        <f>'Installment card_150 (indiv)'!L117</f>
        <v>-1.2496606201115501</v>
      </c>
      <c r="M48" s="3">
        <f>'Installment card_150 (indiv)'!M117</f>
        <v>-2.3960502187123875</v>
      </c>
      <c r="N48" s="3">
        <f>'Installment card_150 (indiv)'!N117</f>
        <v>-3.460156536472855</v>
      </c>
      <c r="O48" s="3">
        <f>'Installment card_150 (indiv)'!O117</f>
        <v>-4.6299685576491054</v>
      </c>
      <c r="P48" s="397">
        <f>SUM(D48:O48)</f>
        <v>-11.735835932945898</v>
      </c>
      <c r="Q48" s="3">
        <f>'Installment card_150 (indiv)'!Q117</f>
        <v>-14.239196289357649</v>
      </c>
      <c r="R48" s="3">
        <f>'Installment card_150 (indiv)'!R117</f>
        <v>-20.921274574635184</v>
      </c>
      <c r="S48" s="3">
        <f>'Installment card_150 (indiv)'!S117</f>
        <v>-30.952895069761091</v>
      </c>
      <c r="T48" s="3">
        <f>'Installment card_150 (indiv)'!T117</f>
        <v>-38.736094449953001</v>
      </c>
      <c r="U48" s="3">
        <f>'Installment card_150 (indiv)'!U117</f>
        <v>-48.759290380549281</v>
      </c>
      <c r="V48" s="3">
        <f>'Installment card_150 (indiv)'!V117</f>
        <v>-56.450076979868676</v>
      </c>
      <c r="W48" s="3">
        <f>'Installment card_150 (indiv)'!W117</f>
        <v>-67.409048500633773</v>
      </c>
      <c r="X48" s="3">
        <f>'Installment card_150 (indiv)'!X117</f>
        <v>-77.000061782529968</v>
      </c>
      <c r="Y48" s="3">
        <f>'Installment card_150 (indiv)'!Y117</f>
        <v>-84.360601056879688</v>
      </c>
      <c r="Z48" s="3">
        <f>'Installment card_150 (indiv)'!Z117</f>
        <v>-96.614193125325613</v>
      </c>
      <c r="AA48" s="3">
        <f>'Installment card_150 (indiv)'!AA117</f>
        <v>-103.63427013529528</v>
      </c>
      <c r="AB48" s="3">
        <f>'Installment card_150 (indiv)'!AB117</f>
        <v>-116.04840818685669</v>
      </c>
      <c r="AC48" s="397">
        <f>SUM(Q48:AB48)</f>
        <v>-755.12541053164591</v>
      </c>
      <c r="AD48" s="3">
        <f>'Installment card_150 (indiv)'!AD117</f>
        <v>-132.82459824238069</v>
      </c>
      <c r="AE48" s="3">
        <f>'Installment card_150 (indiv)'!AE117</f>
        <v>-127.23054181925467</v>
      </c>
      <c r="AF48" s="3">
        <f>'Installment card_150 (indiv)'!AF117</f>
        <v>-148.5706408146865</v>
      </c>
      <c r="AG48" s="3">
        <f>'Installment card_150 (indiv)'!AG117</f>
        <v>-153.87041469207418</v>
      </c>
      <c r="AH48" s="3">
        <f>'Installment card_150 (indiv)'!AH117</f>
        <v>-168.29925742060362</v>
      </c>
      <c r="AI48" s="3">
        <f>'Installment card_150 (indiv)'!AI117</f>
        <v>-173.35214639539606</v>
      </c>
      <c r="AJ48" s="3">
        <f>'Installment card_150 (indiv)'!AJ117</f>
        <v>-188.61633246656288</v>
      </c>
      <c r="AK48" s="3">
        <f>'Installment card_150 (indiv)'!AK117</f>
        <v>-198.91989649767683</v>
      </c>
      <c r="AL48" s="3">
        <f>'Installment card_150 (indiv)'!AL117</f>
        <v>-203.35358823122516</v>
      </c>
      <c r="AM48" s="3">
        <f>'Installment card_150 (indiv)'!AM117</f>
        <v>-219.67018965279118</v>
      </c>
      <c r="AN48" s="3">
        <f>'Installment card_150 (indiv)'!AN117</f>
        <v>-223.54178773178387</v>
      </c>
      <c r="AO48" s="3">
        <f>'Installment card_150 (indiv)'!AO117</f>
        <v>-239.4648359173901</v>
      </c>
      <c r="AP48" s="397">
        <f>SUM(AD48:AO48)</f>
        <v>-2177.7142298818258</v>
      </c>
      <c r="AQ48" s="3">
        <f>'Installment card_150 (indiv)'!AQ117</f>
        <v>-258.40068412171178</v>
      </c>
      <c r="AR48" s="3">
        <f>'Installment card_150 (indiv)'!AR117</f>
        <v>-231.79460693634255</v>
      </c>
      <c r="AS48" s="3">
        <f>'Installment card_150 (indiv)'!AS117</f>
        <v>-258.6786507378759</v>
      </c>
      <c r="AT48" s="3">
        <f>'Installment card_150 (indiv)'!AT117</f>
        <v>-256.22631110394087</v>
      </c>
      <c r="AU48" s="3">
        <f>'Installment card_150 (indiv)'!AU117</f>
        <v>-269.06335887350787</v>
      </c>
      <c r="AV48" s="3">
        <f>'Installment card_150 (indiv)'!AV117</f>
        <v>-266.60133779303243</v>
      </c>
      <c r="AW48" s="3">
        <f>'Installment card_150 (indiv)'!AW117</f>
        <v>-279.91609828481353</v>
      </c>
      <c r="AX48" s="3">
        <f>'Installment card_150 (indiv)'!AX117</f>
        <v>-285.44461028304414</v>
      </c>
      <c r="AY48" s="3">
        <f>'Installment card_150 (indiv)'!AY117</f>
        <v>-282.73304987710583</v>
      </c>
      <c r="AZ48" s="3">
        <f>'Installment card_150 (indiv)'!AZ117</f>
        <v>-296.56552977545033</v>
      </c>
      <c r="BA48" s="3">
        <f>'Installment card_150 (indiv)'!BA117</f>
        <v>-293.54961245694597</v>
      </c>
      <c r="BB48" s="3">
        <f>'Installment card_150 (indiv)'!BB117</f>
        <v>-306.52174276947119</v>
      </c>
      <c r="BC48" s="397">
        <f>SUM(AQ48:BB48)</f>
        <v>-3285.4955930132419</v>
      </c>
      <c r="BD48" s="3">
        <f>'Installment card_150 (indiv)'!BD117</f>
        <v>-324.66331645012718</v>
      </c>
      <c r="BE48" s="3">
        <f>'Installment card_150 (indiv)'!BE117</f>
        <v>-280.56695360672734</v>
      </c>
      <c r="BF48" s="3">
        <f>'Installment card_150 (indiv)'!BF117</f>
        <v>-306.97638396479238</v>
      </c>
      <c r="BG48" s="3">
        <f>'Installment card_150 (indiv)'!BG117</f>
        <v>-298.58707778240887</v>
      </c>
      <c r="BH48" s="3">
        <f>'Installment card_150 (indiv)'!BH117</f>
        <v>-307.81173588719321</v>
      </c>
      <c r="BI48" s="3">
        <f>'Installment card_150 (indiv)'!BI117</f>
        <v>-299.77905558869071</v>
      </c>
      <c r="BJ48" s="3">
        <f>'Installment card_150 (indiv)'!BJ117</f>
        <v>-309.23887495190007</v>
      </c>
      <c r="BK48" s="3">
        <f>'Installment card_150 (indiv)'!BK117</f>
        <v>-310.09498088918622</v>
      </c>
      <c r="BL48" s="3">
        <f>'Installment card_150 (indiv)'!BL117</f>
        <v>-302.33852441233472</v>
      </c>
      <c r="BM48" s="3">
        <f>'Installment card_150 (indiv)'!BM117</f>
        <v>-311.94193625718538</v>
      </c>
      <c r="BN48" s="3">
        <f>'Installment card_150 (indiv)'!BN117</f>
        <v>-304.21928088876945</v>
      </c>
      <c r="BO48" s="3">
        <f>'Installment card_150 (indiv)'!BO117</f>
        <v>-312.57512830843933</v>
      </c>
      <c r="BP48" s="397">
        <f>SUM(BD48:BO48)</f>
        <v>-3668.7932489877549</v>
      </c>
      <c r="CE48" s="398" t="s">
        <v>979</v>
      </c>
      <c r="CF48" s="12" t="s">
        <v>965</v>
      </c>
    </row>
    <row r="49" spans="1:84" s="3" customFormat="1" outlineLevel="1">
      <c r="A49" s="398" t="s">
        <v>638</v>
      </c>
      <c r="B49" s="12" t="s">
        <v>502</v>
      </c>
      <c r="C49" s="12"/>
      <c r="D49" s="3">
        <f>'Installment card_1000 (indiv)'!D117</f>
        <v>0</v>
      </c>
      <c r="E49" s="3">
        <f>'Installment card_1000 (indiv)'!E117</f>
        <v>0</v>
      </c>
      <c r="F49" s="3">
        <f>'Installment card_1000 (indiv)'!F117</f>
        <v>0</v>
      </c>
      <c r="G49" s="3">
        <f>'Installment card_1000 (indiv)'!G117</f>
        <v>0</v>
      </c>
      <c r="H49" s="3">
        <f>'Installment card_1000 (indiv)'!H117</f>
        <v>0</v>
      </c>
      <c r="I49" s="3">
        <f>'Installment card_1000 (indiv)'!I117</f>
        <v>0</v>
      </c>
      <c r="J49" s="3">
        <f>'Installment card_1000 (indiv)'!J117</f>
        <v>0</v>
      </c>
      <c r="K49" s="3">
        <f>'Installment card_1000 (indiv)'!K117</f>
        <v>0</v>
      </c>
      <c r="L49" s="3">
        <f>'Installment card_1000 (indiv)'!L117</f>
        <v>0</v>
      </c>
      <c r="M49" s="3">
        <f>'Installment card_1000 (indiv)'!M117</f>
        <v>0</v>
      </c>
      <c r="N49" s="3">
        <f>'Installment card_1000 (indiv)'!N117</f>
        <v>0</v>
      </c>
      <c r="O49" s="3">
        <f>'Installment card_1000 (indiv)'!O117</f>
        <v>0</v>
      </c>
      <c r="P49" s="397">
        <f>SUM(D49:O49)</f>
        <v>0</v>
      </c>
      <c r="Q49" s="3">
        <f>'Installment card_1000 (indiv)'!Q117</f>
        <v>0</v>
      </c>
      <c r="R49" s="3">
        <f>'Installment card_1000 (indiv)'!R117</f>
        <v>0</v>
      </c>
      <c r="S49" s="3">
        <f>'Installment card_1000 (indiv)'!S117</f>
        <v>0</v>
      </c>
      <c r="T49" s="3">
        <f>'Installment card_1000 (indiv)'!T117</f>
        <v>0</v>
      </c>
      <c r="U49" s="3">
        <f>'Installment card_1000 (indiv)'!U117</f>
        <v>0</v>
      </c>
      <c r="V49" s="3">
        <f>'Installment card_1000 (indiv)'!V117</f>
        <v>0</v>
      </c>
      <c r="W49" s="3">
        <f>'Installment card_1000 (indiv)'!W117</f>
        <v>-20.378052154202461</v>
      </c>
      <c r="X49" s="3">
        <f>'Installment card_1000 (indiv)'!X117</f>
        <v>-38.25805295968199</v>
      </c>
      <c r="Y49" s="3">
        <f>'Installment card_1000 (indiv)'!Y117</f>
        <v>-55.123447813125573</v>
      </c>
      <c r="Z49" s="3">
        <f>'Installment card_1000 (indiv)'!Z117</f>
        <v>-74.948153258971672</v>
      </c>
      <c r="AA49" s="3">
        <f>'Installment card_1000 (indiv)'!AA117</f>
        <v>-91.246866321513721</v>
      </c>
      <c r="AB49" s="3">
        <f>'Installment card_1000 (indiv)'!AB117</f>
        <v>-111.66133737380636</v>
      </c>
      <c r="AC49" s="397">
        <f>SUM(Q49:AB49)</f>
        <v>-391.61590988130177</v>
      </c>
      <c r="AD49" s="3">
        <f>'Installment card_1000 (indiv)'!AD117</f>
        <v>-129.28713553712825</v>
      </c>
      <c r="AE49" s="3">
        <f>'Installment card_1000 (indiv)'!AE117</f>
        <v>-133.59227717645624</v>
      </c>
      <c r="AF49" s="3">
        <f>'Installment card_1000 (indiv)'!AF117</f>
        <v>-163.53249186693282</v>
      </c>
      <c r="AG49" s="3">
        <f>'Installment card_1000 (indiv)'!AG117</f>
        <v>-176.73674487413774</v>
      </c>
      <c r="AH49" s="3">
        <f>'Installment card_1000 (indiv)'!AH117</f>
        <v>-200.46067527706171</v>
      </c>
      <c r="AI49" s="3">
        <f>'Installment card_1000 (indiv)'!AI117</f>
        <v>-213.24145865544153</v>
      </c>
      <c r="AJ49" s="3">
        <f>'Installment card_1000 (indiv)'!AJ117</f>
        <v>-238.64209045906244</v>
      </c>
      <c r="AK49" s="3">
        <f>'Installment card_1000 (indiv)'!AK117</f>
        <v>-258.08161964895061</v>
      </c>
      <c r="AL49" s="3">
        <f>'Installment card_1000 (indiv)'!AL117</f>
        <v>-269.80928879620819</v>
      </c>
      <c r="AM49" s="3">
        <f>'Installment card_1000 (indiv)'!AM117</f>
        <v>-297.42180353756834</v>
      </c>
      <c r="AN49" s="3">
        <f>'Installment card_1000 (indiv)'!AN117</f>
        <v>-308.19384124683103</v>
      </c>
      <c r="AO49" s="3">
        <f>'Installment card_1000 (indiv)'!AO117</f>
        <v>-335.60847809861218</v>
      </c>
      <c r="AP49" s="397">
        <f>SUM(AD49:AO49)</f>
        <v>-2724.6079051743909</v>
      </c>
      <c r="AQ49" s="3">
        <f>'Installment card_1000 (indiv)'!AQ117</f>
        <v>-345.00840394570201</v>
      </c>
      <c r="AR49" s="3">
        <f>'Installment card_1000 (indiv)'!AR117</f>
        <v>-320.08743243661661</v>
      </c>
      <c r="AS49" s="3">
        <f>'Installment card_1000 (indiv)'!AS117</f>
        <v>-361.40909784263414</v>
      </c>
      <c r="AT49" s="3">
        <f>'Installment card_1000 (indiv)'!AT117</f>
        <v>-361.61478912509403</v>
      </c>
      <c r="AU49" s="3">
        <f>'Installment card_1000 (indiv)'!AU117</f>
        <v>-383.7381316516578</v>
      </c>
      <c r="AV49" s="3">
        <f>'Installment card_1000 (indiv)'!AV117</f>
        <v>-383.84114441973901</v>
      </c>
      <c r="AW49" s="3">
        <f>'Installment card_1000 (indiv)'!AW117</f>
        <v>-407.04215861603279</v>
      </c>
      <c r="AX49" s="3">
        <f>'Installment card_1000 (indiv)'!AX117</f>
        <v>-418.94770293860449</v>
      </c>
      <c r="AY49" s="3">
        <f>'Installment card_1000 (indiv)'!AY117</f>
        <v>-418.52116889730388</v>
      </c>
      <c r="AZ49" s="3">
        <f>'Installment card_1000 (indiv)'!AZ117</f>
        <v>-443.05022713699213</v>
      </c>
      <c r="BA49" s="3">
        <f>'Installment card_1000 (indiv)'!BA117</f>
        <v>-442.04747686700483</v>
      </c>
      <c r="BB49" s="3">
        <f>'Installment card_1000 (indiv)'!BB117</f>
        <v>-465.69084443980171</v>
      </c>
      <c r="BC49" s="397">
        <f>SUM(AQ49:BB49)</f>
        <v>-4750.9985783171824</v>
      </c>
      <c r="BD49" s="3">
        <f>'Installment card_1000 (indiv)'!BD117</f>
        <v>-465.10359417261441</v>
      </c>
      <c r="BE49" s="3">
        <f>'Installment card_1000 (indiv)'!BE117</f>
        <v>-418.70287717426498</v>
      </c>
      <c r="BF49" s="3">
        <f>'Installment card_1000 (indiv)'!BF117</f>
        <v>-462.20447684725963</v>
      </c>
      <c r="BG49" s="3">
        <f>'Installment card_1000 (indiv)'!BG117</f>
        <v>-452.43281979226936</v>
      </c>
      <c r="BH49" s="3">
        <f>'Installment card_1000 (indiv)'!BH117</f>
        <v>-470.03434531043246</v>
      </c>
      <c r="BI49" s="3">
        <f>'Installment card_1000 (indiv)'!BI117</f>
        <v>-460.7001650817013</v>
      </c>
      <c r="BJ49" s="3">
        <f>'Installment card_1000 (indiv)'!BJ117</f>
        <v>-479.00840739969635</v>
      </c>
      <c r="BK49" s="3">
        <f>'Installment card_1000 (indiv)'!BK117</f>
        <v>-483.80995325374295</v>
      </c>
      <c r="BL49" s="3">
        <f>'Installment card_1000 (indiv)'!BL117</f>
        <v>-474.74014048974527</v>
      </c>
      <c r="BM49" s="3">
        <f>'Installment card_1000 (indiv)'!BM117</f>
        <v>-493.8238404729924</v>
      </c>
      <c r="BN49" s="3">
        <f>'Installment card_1000 (indiv)'!BN117</f>
        <v>-484.69942600052747</v>
      </c>
      <c r="BO49" s="3">
        <f>'Installment card_1000 (indiv)'!BO117</f>
        <v>-502.40230825664941</v>
      </c>
      <c r="BP49" s="397">
        <f>SUM(BD49:BO49)</f>
        <v>-5647.6623542518964</v>
      </c>
      <c r="CE49" s="398" t="s">
        <v>980</v>
      </c>
      <c r="CF49" s="12" t="s">
        <v>965</v>
      </c>
    </row>
    <row r="50" spans="1:84" s="3" customFormat="1" outlineLevel="1">
      <c r="A50" s="398"/>
      <c r="B50" s="12"/>
      <c r="C50" s="12"/>
      <c r="P50" s="397"/>
      <c r="AC50" s="397"/>
      <c r="AP50" s="397"/>
      <c r="BC50" s="397"/>
      <c r="BP50" s="397"/>
      <c r="CE50" s="398"/>
      <c r="CF50" s="12"/>
    </row>
    <row r="51" spans="1:84" s="3" customFormat="1" ht="15.6" outlineLevel="1">
      <c r="A51" s="617" t="s">
        <v>513</v>
      </c>
      <c r="B51" s="12" t="s">
        <v>502</v>
      </c>
      <c r="C51" s="12"/>
      <c r="D51" s="3">
        <f>'Micro_30 (indiv)'!D37+'Installment card_150 (indiv)'!D97+'Installment card_1000 (indiv)'!D97+'Debit card (indiv)'!D59</f>
        <v>0</v>
      </c>
      <c r="E51" s="3">
        <f>'Micro_30 (indiv)'!E37+'Installment card_150 (indiv)'!E97+'Installment card_1000 (indiv)'!E97+'Debit card (indiv)'!E59</f>
        <v>0</v>
      </c>
      <c r="F51" s="3">
        <f>'Micro_30 (indiv)'!F37+'Installment card_150 (indiv)'!F97+'Installment card_1000 (indiv)'!F97+'Debit card (indiv)'!F59</f>
        <v>0</v>
      </c>
      <c r="G51" s="3">
        <f>'Micro_30 (indiv)'!G37+'Installment card_150 (indiv)'!G97+'Installment card_1000 (indiv)'!G97+'Debit card (indiv)'!G59</f>
        <v>0</v>
      </c>
      <c r="H51" s="3">
        <f>'Micro_30 (indiv)'!H37+'Installment card_150 (indiv)'!H97+'Installment card_1000 (indiv)'!H97+'Debit card (indiv)'!H59</f>
        <v>0</v>
      </c>
      <c r="I51" s="3">
        <f>'Micro_30 (indiv)'!I37+'Installment card_150 (indiv)'!I97+'Installment card_1000 (indiv)'!I97+'Debit card (indiv)'!I59</f>
        <v>0</v>
      </c>
      <c r="J51" s="3">
        <f>'Micro_30 (indiv)'!J37+'Installment card_150 (indiv)'!J97+'Installment card_1000 (indiv)'!J97+'Debit card (indiv)'!J59</f>
        <v>-0.6529613111866569</v>
      </c>
      <c r="K51" s="3">
        <f>'Micro_30 (indiv)'!K37+'Installment card_150 (indiv)'!K97+'Installment card_1000 (indiv)'!K97+'Debit card (indiv)'!K59</f>
        <v>-1.9841914009338779</v>
      </c>
      <c r="L51" s="3">
        <f>'Micro_30 (indiv)'!L37+'Installment card_150 (indiv)'!L97+'Installment card_1000 (indiv)'!L97+'Debit card (indiv)'!L59</f>
        <v>-3.5413167897986635</v>
      </c>
      <c r="M51" s="3">
        <f>'Micro_30 (indiv)'!M37+'Installment card_150 (indiv)'!M97+'Installment card_1000 (indiv)'!M97+'Debit card (indiv)'!M59</f>
        <v>-5.6753688814271133</v>
      </c>
      <c r="N51" s="3">
        <f>'Micro_30 (indiv)'!N37+'Installment card_150 (indiv)'!N97+'Installment card_1000 (indiv)'!N97+'Debit card (indiv)'!N59</f>
        <v>-7.4840003298845152</v>
      </c>
      <c r="O51" s="3">
        <f>'Micro_30 (indiv)'!O37+'Installment card_150 (indiv)'!O97+'Installment card_1000 (indiv)'!O97+'Debit card (indiv)'!O59</f>
        <v>-9.7808074048753042</v>
      </c>
      <c r="P51" s="397">
        <f>SUM(D51:O51)</f>
        <v>-29.118646118106131</v>
      </c>
      <c r="Q51" s="3">
        <f>'Micro_30 (indiv)'!Q37+'Installment card_150 (indiv)'!Q97+'Installment card_1000 (indiv)'!Q97+'Debit card (indiv)'!Q59</f>
        <v>-13.755284435291427</v>
      </c>
      <c r="R51" s="3">
        <f>'Micro_30 (indiv)'!R37+'Installment card_150 (indiv)'!R97+'Installment card_1000 (indiv)'!R97+'Debit card (indiv)'!R59</f>
        <v>-19.181441080191064</v>
      </c>
      <c r="S51" s="3">
        <f>'Micro_30 (indiv)'!S37+'Installment card_150 (indiv)'!S97+'Installment card_1000 (indiv)'!S97+'Debit card (indiv)'!S59</f>
        <v>-28.890742268370964</v>
      </c>
      <c r="T51" s="3">
        <f>'Micro_30 (indiv)'!T37+'Installment card_150 (indiv)'!T97+'Installment card_1000 (indiv)'!T97+'Debit card (indiv)'!T59</f>
        <v>-35.619141559709277</v>
      </c>
      <c r="U51" s="3">
        <f>'Micro_30 (indiv)'!U37+'Installment card_150 (indiv)'!U97+'Installment card_1000 (indiv)'!U97+'Debit card (indiv)'!U59</f>
        <v>-44.967143974758734</v>
      </c>
      <c r="V51" s="3">
        <f>'Micro_30 (indiv)'!V37+'Installment card_150 (indiv)'!V97+'Installment card_1000 (indiv)'!V97+'Debit card (indiv)'!V59</f>
        <v>-51.634931179517366</v>
      </c>
      <c r="W51" s="3">
        <f>'Micro_30 (indiv)'!W37+'Installment card_150 (indiv)'!W97+'Installment card_1000 (indiv)'!W97+'Debit card (indiv)'!W59</f>
        <v>-65.960504139955319</v>
      </c>
      <c r="X51" s="3">
        <f>'Micro_30 (indiv)'!X37+'Installment card_150 (indiv)'!X97+'Installment card_1000 (indiv)'!X97+'Debit card (indiv)'!X59</f>
        <v>-82.817539731790902</v>
      </c>
      <c r="Y51" s="3">
        <f>'Micro_30 (indiv)'!Y37+'Installment card_150 (indiv)'!Y97+'Installment card_1000 (indiv)'!Y97+'Debit card (indiv)'!Y59</f>
        <v>-96.727921838262603</v>
      </c>
      <c r="Z51" s="3">
        <f>'Micro_30 (indiv)'!Z37+'Installment card_150 (indiv)'!Z97+'Installment card_1000 (indiv)'!Z97+'Debit card (indiv)'!Z59</f>
        <v>-117.32935604818225</v>
      </c>
      <c r="AA51" s="3">
        <f>'Micro_30 (indiv)'!AA37+'Installment card_150 (indiv)'!AA97+'Installment card_1000 (indiv)'!AA97+'Debit card (indiv)'!AA59</f>
        <v>-130.56206900727099</v>
      </c>
      <c r="AB51" s="3">
        <f>'Micro_30 (indiv)'!AB37+'Installment card_150 (indiv)'!AB97+'Installment card_1000 (indiv)'!AB97+'Debit card (indiv)'!AB59</f>
        <v>-152.25624257726722</v>
      </c>
      <c r="AC51" s="397">
        <f>SUM(Q51:AB51)</f>
        <v>-839.70231784056807</v>
      </c>
      <c r="AD51" s="3">
        <f>'Micro_30 (indiv)'!AD37+'Installment card_150 (indiv)'!AD97+'Installment card_1000 (indiv)'!AD97+'Debit card (indiv)'!AD59</f>
        <v>-157.36679259026226</v>
      </c>
      <c r="AE51" s="3">
        <f>'Micro_30 (indiv)'!AE37+'Installment card_150 (indiv)'!AE97+'Installment card_1000 (indiv)'!AE97+'Debit card (indiv)'!AE59</f>
        <v>-159.10978479619789</v>
      </c>
      <c r="AF51" s="3">
        <f>'Micro_30 (indiv)'!AF37+'Installment card_150 (indiv)'!AF97+'Installment card_1000 (indiv)'!AF97+'Debit card (indiv)'!AF59</f>
        <v>-191.837819124558</v>
      </c>
      <c r="AG51" s="3">
        <f>'Micro_30 (indiv)'!AG37+'Installment card_150 (indiv)'!AG97+'Installment card_1000 (indiv)'!AG97+'Debit card (indiv)'!AG59</f>
        <v>-201.21671974753545</v>
      </c>
      <c r="AH51" s="3">
        <f>'Micro_30 (indiv)'!AH37+'Installment card_150 (indiv)'!AH97+'Installment card_1000 (indiv)'!AH97+'Debit card (indiv)'!AH59</f>
        <v>-224.3694407157497</v>
      </c>
      <c r="AI51" s="3">
        <f>'Micro_30 (indiv)'!AI37+'Installment card_150 (indiv)'!AI97+'Installment card_1000 (indiv)'!AI97+'Debit card (indiv)'!AI59</f>
        <v>-233.35012529704431</v>
      </c>
      <c r="AJ51" s="3">
        <f>'Micro_30 (indiv)'!AJ37+'Installment card_150 (indiv)'!AJ97+'Installment card_1000 (indiv)'!AJ97+'Debit card (indiv)'!AJ59</f>
        <v>-258.15560247257281</v>
      </c>
      <c r="AK51" s="3">
        <f>'Micro_30 (indiv)'!AK37+'Installment card_150 (indiv)'!AK97+'Installment card_1000 (indiv)'!AK97+'Debit card (indiv)'!AK59</f>
        <v>-275.40598101575796</v>
      </c>
      <c r="AL51" s="3">
        <f>'Micro_30 (indiv)'!AL37+'Installment card_150 (indiv)'!AL97+'Installment card_1000 (indiv)'!AL97+'Debit card (indiv)'!AL59</f>
        <v>-283.38903342241269</v>
      </c>
      <c r="AM51" s="3">
        <f>'Micro_30 (indiv)'!AM37+'Installment card_150 (indiv)'!AM97+'Installment card_1000 (indiv)'!AM97+'Debit card (indiv)'!AM59</f>
        <v>-310.40009648914503</v>
      </c>
      <c r="AN51" s="3">
        <f>'Micro_30 (indiv)'!AN37+'Installment card_150 (indiv)'!AN97+'Installment card_1000 (indiv)'!AN97+'Debit card (indiv)'!AN59</f>
        <v>-317.47497740013222</v>
      </c>
      <c r="AO51" s="3">
        <f>'Micro_30 (indiv)'!AO37+'Installment card_150 (indiv)'!AO97+'Installment card_1000 (indiv)'!AO97+'Debit card (indiv)'!AO59</f>
        <v>-345.22076701670704</v>
      </c>
      <c r="AP51" s="397">
        <f>SUM(AD51:AO51)</f>
        <v>-2957.2971400880756</v>
      </c>
      <c r="AQ51" s="3">
        <f>'Micro_30 (indiv)'!AQ37+'Installment card_150 (indiv)'!AQ97+'Installment card_1000 (indiv)'!AQ97+'Debit card (indiv)'!AQ59</f>
        <v>-325.03370427493991</v>
      </c>
      <c r="AR51" s="3">
        <f>'Micro_30 (indiv)'!AR37+'Installment card_150 (indiv)'!AR97+'Installment card_1000 (indiv)'!AR97+'Debit card (indiv)'!AR59</f>
        <v>-307.10993733617602</v>
      </c>
      <c r="AS51" s="3">
        <f>'Micro_30 (indiv)'!AS37+'Installment card_150 (indiv)'!AS97+'Installment card_1000 (indiv)'!AS97+'Debit card (indiv)'!AS59</f>
        <v>-347.85237576048314</v>
      </c>
      <c r="AT51" s="3">
        <f>'Micro_30 (indiv)'!AT37+'Installment card_150 (indiv)'!AT97+'Installment card_1000 (indiv)'!AT97+'Debit card (indiv)'!AT59</f>
        <v>-344.50737816638446</v>
      </c>
      <c r="AU51" s="3">
        <f>'Micro_30 (indiv)'!AU37+'Installment card_150 (indiv)'!AU97+'Installment card_1000 (indiv)'!AU97+'Debit card (indiv)'!AU59</f>
        <v>-364.38769279018521</v>
      </c>
      <c r="AV51" s="3">
        <f>'Micro_30 (indiv)'!AV37+'Installment card_150 (indiv)'!AV97+'Installment card_1000 (indiv)'!AV97+'Debit card (indiv)'!AV59</f>
        <v>-360.96840463944625</v>
      </c>
      <c r="AW51" s="3">
        <f>'Micro_30 (indiv)'!AW37+'Installment card_150 (indiv)'!AW97+'Installment card_1000 (indiv)'!AW97+'Debit card (indiv)'!AW59</f>
        <v>-381.78883799919271</v>
      </c>
      <c r="AX51" s="3">
        <f>'Micro_30 (indiv)'!AX37+'Installment card_150 (indiv)'!AX97+'Installment card_1000 (indiv)'!AX97+'Debit card (indiv)'!AX59</f>
        <v>-390.71192732392495</v>
      </c>
      <c r="AY51" s="3">
        <f>'Micro_30 (indiv)'!AY37+'Installment card_150 (indiv)'!AY97+'Installment card_1000 (indiv)'!AY97+'Debit card (indiv)'!AY59</f>
        <v>-386.83612516186076</v>
      </c>
      <c r="AZ51" s="3">
        <f>'Micro_30 (indiv)'!AZ37+'Installment card_150 (indiv)'!AZ97+'Installment card_1000 (indiv)'!AZ97+'Debit card (indiv)'!AZ59</f>
        <v>-408.80674922929063</v>
      </c>
      <c r="BA51" s="3">
        <f>'Micro_30 (indiv)'!BA37+'Installment card_150 (indiv)'!BA97+'Installment card_1000 (indiv)'!BA97+'Debit card (indiv)'!BA59</f>
        <v>-404.42220334705388</v>
      </c>
      <c r="BB51" s="3">
        <f>'Micro_30 (indiv)'!BB37+'Installment card_150 (indiv)'!BB97+'Installment card_1000 (indiv)'!BB97+'Debit card (indiv)'!BB59</f>
        <v>-426.48842781352641</v>
      </c>
      <c r="BC51" s="397">
        <f>SUM(AQ51:BB51)</f>
        <v>-4448.9137638424645</v>
      </c>
      <c r="BD51" s="3">
        <f>'Micro_30 (indiv)'!BD37+'Installment card_150 (indiv)'!BD97+'Installment card_1000 (indiv)'!BD97+'Debit card (indiv)'!BD59</f>
        <v>-374.98058983577772</v>
      </c>
      <c r="BE51" s="3">
        <f>'Micro_30 (indiv)'!BE37+'Installment card_150 (indiv)'!BE97+'Installment card_1000 (indiv)'!BE97+'Debit card (indiv)'!BE59</f>
        <v>-345.85070725995456</v>
      </c>
      <c r="BF51" s="3">
        <f>'Micro_30 (indiv)'!BF37+'Installment card_150 (indiv)'!BF97+'Installment card_1000 (indiv)'!BF97+'Debit card (indiv)'!BF59</f>
        <v>-383.12490976601828</v>
      </c>
      <c r="BG51" s="3">
        <f>'Micro_30 (indiv)'!BG37+'Installment card_150 (indiv)'!BG97+'Installment card_1000 (indiv)'!BG97+'Debit card (indiv)'!BG59</f>
        <v>-371.25937536443399</v>
      </c>
      <c r="BH51" s="3">
        <f>'Micro_30 (indiv)'!BH37+'Installment card_150 (indiv)'!BH97+'Installment card_1000 (indiv)'!BH97+'Debit card (indiv)'!BH59</f>
        <v>-384.39250157176468</v>
      </c>
      <c r="BI51" s="3">
        <f>'Micro_30 (indiv)'!BI37+'Installment card_150 (indiv)'!BI97+'Installment card_1000 (indiv)'!BI97+'Debit card (indiv)'!BI59</f>
        <v>-372.92557878893274</v>
      </c>
      <c r="BJ51" s="3">
        <f>'Micro_30 (indiv)'!BJ37+'Installment card_150 (indiv)'!BJ97+'Installment card_1000 (indiv)'!BJ97+'Debit card (indiv)'!BJ59</f>
        <v>-386.48567087038248</v>
      </c>
      <c r="BK51" s="3">
        <f>'Micro_30 (indiv)'!BK37+'Installment card_150 (indiv)'!BK97+'Installment card_1000 (indiv)'!BK97+'Debit card (indiv)'!BK59</f>
        <v>-387.7405806705649</v>
      </c>
      <c r="BL51" s="3">
        <f>'Micro_30 (indiv)'!BL37+'Installment card_150 (indiv)'!BL97+'Installment card_1000 (indiv)'!BL97+'Debit card (indiv)'!BL59</f>
        <v>-376.53168207491404</v>
      </c>
      <c r="BM51" s="3">
        <f>'Micro_30 (indiv)'!BM37+'Installment card_150 (indiv)'!BM97+'Installment card_1000 (indiv)'!BM97+'Debit card (indiv)'!BM59</f>
        <v>-390.47498149401258</v>
      </c>
      <c r="BN51" s="3">
        <f>'Micro_30 (indiv)'!BN37+'Installment card_150 (indiv)'!BN97+'Installment card_1000 (indiv)'!BN97+'Debit card (indiv)'!BN59</f>
        <v>-379.24011198599612</v>
      </c>
      <c r="BO51" s="3">
        <f>'Micro_30 (indiv)'!BO37+'Installment card_150 (indiv)'!BO97+'Installment card_1000 (indiv)'!BO97+'Debit card (indiv)'!BO59</f>
        <v>-392.8578021964928</v>
      </c>
      <c r="BP51" s="397">
        <f>SUM(BD51:BO51)</f>
        <v>-4545.8644918792452</v>
      </c>
      <c r="BR51" s="60">
        <f>(D51+E51+F51)/500*1000</f>
        <v>0</v>
      </c>
      <c r="BS51" s="60">
        <f>(G51+H51+I51)/500*1000</f>
        <v>0</v>
      </c>
      <c r="BT51" s="60">
        <f>(J51+K51+L51)/500*1000</f>
        <v>-12.356939003838397</v>
      </c>
      <c r="BU51" s="60">
        <f>(M51+N51+O51)/500*1000</f>
        <v>-45.880353232373864</v>
      </c>
      <c r="BV51" s="60">
        <f>(SUM(Q51:V51))/500*1000</f>
        <v>-388.09736899567764</v>
      </c>
      <c r="BW51" s="60">
        <f>SUM(W51:AB51)/500*1000</f>
        <v>-1291.3072666854587</v>
      </c>
      <c r="BX51" s="60">
        <f>SUM(AD51:AI51)/500*1000</f>
        <v>-2334.5013645426952</v>
      </c>
      <c r="BY51" s="60">
        <f>SUM(AJ51:AO51)/500*1000</f>
        <v>-3580.0929156334555</v>
      </c>
      <c r="BZ51" s="60">
        <f>SUM(AQ51:AV51)/500*1000</f>
        <v>-4099.7189859352302</v>
      </c>
      <c r="CA51" s="60">
        <f>SUM(AW51:BB51)/500*1000</f>
        <v>-4798.1085417496997</v>
      </c>
      <c r="CB51" s="60">
        <f>SUM(BD51:BI51)/500*1000</f>
        <v>-4465.0673251737644</v>
      </c>
      <c r="CC51" s="60">
        <f>SUM(BJ51:BO51)/500*1000</f>
        <v>-4626.661658584726</v>
      </c>
      <c r="CE51" s="617" t="s">
        <v>871</v>
      </c>
      <c r="CF51" s="12" t="s">
        <v>965</v>
      </c>
    </row>
    <row r="52" spans="1:84" s="3" customFormat="1" ht="15.6" outlineLevel="1">
      <c r="A52" s="617" t="s">
        <v>514</v>
      </c>
      <c r="B52" s="12" t="s">
        <v>502</v>
      </c>
      <c r="C52" s="12"/>
      <c r="D52" s="3">
        <f>'Micro_30 (indiv)'!D40+'Installment card_150 (indiv)'!D100+'Installment card_1000 (indiv)'!D100+'Debit card (indiv)'!D62</f>
        <v>0</v>
      </c>
      <c r="E52" s="3">
        <f>'Micro_30 (indiv)'!E40+'Installment card_150 (indiv)'!E100+'Installment card_1000 (indiv)'!E100+'Debit card (indiv)'!E62</f>
        <v>0</v>
      </c>
      <c r="F52" s="3">
        <f>'Micro_30 (indiv)'!F40+'Installment card_150 (indiv)'!F100+'Installment card_1000 (indiv)'!F100+'Debit card (indiv)'!F62</f>
        <v>0</v>
      </c>
      <c r="G52" s="3">
        <f>'Micro_30 (indiv)'!G40+'Installment card_150 (indiv)'!G100+'Installment card_1000 (indiv)'!G100+'Debit card (indiv)'!G62</f>
        <v>0</v>
      </c>
      <c r="H52" s="3">
        <f>'Micro_30 (indiv)'!H40+'Installment card_150 (indiv)'!H100+'Installment card_1000 (indiv)'!H100+'Debit card (indiv)'!H62</f>
        <v>0</v>
      </c>
      <c r="I52" s="3">
        <f>'Micro_30 (indiv)'!I40+'Installment card_150 (indiv)'!I100+'Installment card_1000 (indiv)'!I100+'Debit card (indiv)'!I62</f>
        <v>0</v>
      </c>
      <c r="J52" s="3">
        <f>'Micro_30 (indiv)'!J40+'Installment card_150 (indiv)'!J100+'Installment card_1000 (indiv)'!J100+'Debit card (indiv)'!J62</f>
        <v>0.15010855031613254</v>
      </c>
      <c r="K52" s="3">
        <f>'Micro_30 (indiv)'!K40+'Installment card_150 (indiv)'!K100+'Installment card_1000 (indiv)'!K100+'Debit card (indiv)'!K62</f>
        <v>0.45614355650357702</v>
      </c>
      <c r="L52" s="3">
        <f>'Micro_30 (indiv)'!L40+'Installment card_150 (indiv)'!L100+'Installment card_1000 (indiv)'!L100+'Debit card (indiv)'!L62</f>
        <v>0.74867920231285978</v>
      </c>
      <c r="M52" s="3">
        <f>'Micro_30 (indiv)'!M40+'Installment card_150 (indiv)'!M100+'Installment card_1000 (indiv)'!M100+'Debit card (indiv)'!M62</f>
        <v>1.1022172705501792</v>
      </c>
      <c r="N52" s="3">
        <f>'Micro_30 (indiv)'!N40+'Installment card_150 (indiv)'!N100+'Installment card_1000 (indiv)'!N100+'Debit card (indiv)'!N62</f>
        <v>1.3950083476114117</v>
      </c>
      <c r="O52" s="3">
        <f>'Micro_30 (indiv)'!O40+'Installment card_150 (indiv)'!O100+'Installment card_1000 (indiv)'!O100+'Debit card (indiv)'!O62</f>
        <v>1.7837428955526446</v>
      </c>
      <c r="P52" s="397">
        <f>SUM(D52:O52)</f>
        <v>5.6358998228468051</v>
      </c>
      <c r="Q52" s="3">
        <f>'Micro_30 (indiv)'!Q40+'Installment card_150 (indiv)'!Q100+'Installment card_1000 (indiv)'!Q100+'Debit card (indiv)'!Q62</f>
        <v>3.3877089152445015</v>
      </c>
      <c r="R52" s="3">
        <f>'Micro_30 (indiv)'!R40+'Installment card_150 (indiv)'!R100+'Installment card_1000 (indiv)'!R100+'Debit card (indiv)'!R62</f>
        <v>5.2173804599449882</v>
      </c>
      <c r="S52" s="3">
        <f>'Micro_30 (indiv)'!S40+'Installment card_150 (indiv)'!S100+'Installment card_1000 (indiv)'!S100+'Debit card (indiv)'!S62</f>
        <v>7.3536107897415173</v>
      </c>
      <c r="T52" s="3">
        <f>'Micro_30 (indiv)'!T40+'Installment card_150 (indiv)'!T100+'Installment card_1000 (indiv)'!T100+'Debit card (indiv)'!T62</f>
        <v>8.7116717282785849</v>
      </c>
      <c r="U52" s="3">
        <f>'Micro_30 (indiv)'!U40+'Installment card_150 (indiv)'!U100+'Installment card_1000 (indiv)'!U100+'Debit card (indiv)'!U62</f>
        <v>10.71953532557729</v>
      </c>
      <c r="V52" s="3">
        <f>'Micro_30 (indiv)'!V40+'Installment card_150 (indiv)'!V100+'Installment card_1000 (indiv)'!V100+'Debit card (indiv)'!V62</f>
        <v>12.100401060361145</v>
      </c>
      <c r="W52" s="3">
        <f>'Micro_30 (indiv)'!W40+'Installment card_150 (indiv)'!W100+'Installment card_1000 (indiv)'!W100+'Debit card (indiv)'!W62</f>
        <v>14.352330218313353</v>
      </c>
      <c r="X52" s="3">
        <f>'Micro_30 (indiv)'!X40+'Installment card_150 (indiv)'!X100+'Installment card_1000 (indiv)'!X100+'Debit card (indiv)'!X62</f>
        <v>16.262838989159977</v>
      </c>
      <c r="Y52" s="3">
        <f>'Micro_30 (indiv)'!Y40+'Installment card_150 (indiv)'!Y100+'Installment card_1000 (indiv)'!Y100+'Debit card (indiv)'!Y62</f>
        <v>17.644606543163942</v>
      </c>
      <c r="Z52" s="3">
        <f>'Micro_30 (indiv)'!Z40+'Installment card_150 (indiv)'!Z100+'Installment card_1000 (indiv)'!Z100+'Debit card (indiv)'!Z62</f>
        <v>20.259514955570797</v>
      </c>
      <c r="AA52" s="3">
        <f>'Micro_30 (indiv)'!AA40+'Installment card_150 (indiv)'!AA100+'Installment card_1000 (indiv)'!AA100+'Debit card (indiv)'!AA62</f>
        <v>21.619805981140473</v>
      </c>
      <c r="AB52" s="3">
        <f>'Micro_30 (indiv)'!AB40+'Installment card_150 (indiv)'!AB100+'Installment card_1000 (indiv)'!AB100+'Debit card (indiv)'!AB62</f>
        <v>24.423468978757807</v>
      </c>
      <c r="AC52" s="397">
        <f>SUM(Q52:AB52)</f>
        <v>162.05287394525436</v>
      </c>
      <c r="AD52" s="3">
        <f>'Micro_30 (indiv)'!AD40+'Installment card_150 (indiv)'!AD100+'Installment card_1000 (indiv)'!AD100+'Debit card (indiv)'!AD62</f>
        <v>35.957887723888106</v>
      </c>
      <c r="AE52" s="3">
        <f>'Micro_30 (indiv)'!AE40+'Installment card_150 (indiv)'!AE100+'Installment card_1000 (indiv)'!AE100+'Debit card (indiv)'!AE62</f>
        <v>46.017152547087818</v>
      </c>
      <c r="AF52" s="3">
        <f>'Micro_30 (indiv)'!AF40+'Installment card_150 (indiv)'!AF100+'Installment card_1000 (indiv)'!AF100+'Debit card (indiv)'!AF62</f>
        <v>54.701350654625536</v>
      </c>
      <c r="AG52" s="3">
        <f>'Micro_30 (indiv)'!AG40+'Installment card_150 (indiv)'!AG100+'Installment card_1000 (indiv)'!AG100+'Debit card (indiv)'!AG62</f>
        <v>56.724617226073647</v>
      </c>
      <c r="AH52" s="3">
        <f>'Micro_30 (indiv)'!AH40+'Installment card_150 (indiv)'!AH100+'Installment card_1000 (indiv)'!AH100+'Debit card (indiv)'!AH62</f>
        <v>62.683705752604006</v>
      </c>
      <c r="AI52" s="3">
        <f>'Micro_30 (indiv)'!AI40+'Installment card_150 (indiv)'!AI100+'Installment card_1000 (indiv)'!AI100+'Debit card (indiv)'!AI62</f>
        <v>64.741828975634746</v>
      </c>
      <c r="AJ52" s="3">
        <f>'Micro_30 (indiv)'!AJ40+'Installment card_150 (indiv)'!AJ100+'Installment card_1000 (indiv)'!AJ100+'Debit card (indiv)'!AJ62</f>
        <v>71.257593210068734</v>
      </c>
      <c r="AK52" s="3">
        <f>'Micro_30 (indiv)'!AK40+'Installment card_150 (indiv)'!AK100+'Installment card_1000 (indiv)'!AK100+'Debit card (indiv)'!AK62</f>
        <v>75.750300496582767</v>
      </c>
      <c r="AL52" s="3">
        <f>'Micro_30 (indiv)'!AL40+'Installment card_150 (indiv)'!AL100+'Installment card_1000 (indiv)'!AL100+'Debit card (indiv)'!AL62</f>
        <v>77.77876800169706</v>
      </c>
      <c r="AM52" s="3">
        <f>'Micro_30 (indiv)'!AM40+'Installment card_150 (indiv)'!AM100+'Installment card_1000 (indiv)'!AM100+'Debit card (indiv)'!AM62</f>
        <v>85.114165996181512</v>
      </c>
      <c r="AN52" s="3">
        <f>'Micro_30 (indiv)'!AN40+'Installment card_150 (indiv)'!AN100+'Installment card_1000 (indiv)'!AN100+'Debit card (indiv)'!AN62</f>
        <v>87.069520280081363</v>
      </c>
      <c r="AO52" s="3">
        <f>'Micro_30 (indiv)'!AO40+'Installment card_150 (indiv)'!AO100+'Installment card_1000 (indiv)'!AO100+'Debit card (indiv)'!AO62</f>
        <v>94.801759853220275</v>
      </c>
      <c r="AP52" s="397">
        <f>SUM(AD52:AO52)</f>
        <v>812.59865071774561</v>
      </c>
      <c r="AQ52" s="3">
        <f>'Micro_30 (indiv)'!AQ40+'Installment card_150 (indiv)'!AQ100+'Installment card_1000 (indiv)'!AQ100+'Debit card (indiv)'!AQ62</f>
        <v>120.23795394863592</v>
      </c>
      <c r="AR52" s="3">
        <f>'Micro_30 (indiv)'!AR40+'Installment card_150 (indiv)'!AR100+'Installment card_1000 (indiv)'!AR100+'Debit card (indiv)'!AR62</f>
        <v>141.67693050148438</v>
      </c>
      <c r="AS52" s="3">
        <f>'Micro_30 (indiv)'!AS40+'Installment card_150 (indiv)'!AS100+'Installment card_1000 (indiv)'!AS100+'Debit card (indiv)'!AS62</f>
        <v>161.52045597886334</v>
      </c>
      <c r="AT52" s="3">
        <f>'Micro_30 (indiv)'!AT40+'Installment card_150 (indiv)'!AT100+'Installment card_1000 (indiv)'!AT100+'Debit card (indiv)'!AT62</f>
        <v>161.0596976666663</v>
      </c>
      <c r="AU52" s="3">
        <f>'Micro_30 (indiv)'!AU40+'Installment card_150 (indiv)'!AU100+'Installment card_1000 (indiv)'!AU100+'Debit card (indiv)'!AU62</f>
        <v>171.5705698960769</v>
      </c>
      <c r="AV52" s="3">
        <f>'Micro_30 (indiv)'!AV40+'Installment card_150 (indiv)'!AV100+'Installment card_1000 (indiv)'!AV100+'Debit card (indiv)'!AV62</f>
        <v>171.22956482387181</v>
      </c>
      <c r="AW52" s="3">
        <f>'Micro_30 (indiv)'!AW40+'Installment card_150 (indiv)'!AW100+'Installment card_1000 (indiv)'!AW100+'Debit card (indiv)'!AW62</f>
        <v>182.51827316667294</v>
      </c>
      <c r="AX52" s="3">
        <f>'Micro_30 (indiv)'!AX40+'Installment card_150 (indiv)'!AX100+'Installment card_1000 (indiv)'!AX100+'Debit card (indiv)'!AX62</f>
        <v>188.30360245328285</v>
      </c>
      <c r="AY52" s="3">
        <f>'Micro_30 (indiv)'!AY40+'Installment card_150 (indiv)'!AY100+'Installment card_1000 (indiv)'!AY100+'Debit card (indiv)'!AY62</f>
        <v>188.01578501475089</v>
      </c>
      <c r="AZ52" s="3">
        <f>'Micro_30 (indiv)'!AZ40+'Installment card_150 (indiv)'!AZ100+'Installment card_1000 (indiv)'!AZ100+'Debit card (indiv)'!AZ62</f>
        <v>200.44610373459716</v>
      </c>
      <c r="BA52" s="3">
        <f>'Micro_30 (indiv)'!BA40+'Installment card_150 (indiv)'!BA100+'Installment card_1000 (indiv)'!BA100+'Debit card (indiv)'!BA62</f>
        <v>200.11223027646048</v>
      </c>
      <c r="BB52" s="3">
        <f>'Micro_30 (indiv)'!BB40+'Installment card_150 (indiv)'!BB100+'Installment card_1000 (indiv)'!BB100+'Debit card (indiv)'!BB62</f>
        <v>213.04556827391397</v>
      </c>
      <c r="BC52" s="397">
        <f>SUM(AQ52:BB52)</f>
        <v>2099.7367357352769</v>
      </c>
      <c r="BD52" s="3">
        <f>'Micro_30 (indiv)'!BD40+'Installment card_150 (indiv)'!BD100+'Installment card_1000 (indiv)'!BD100+'Debit card (indiv)'!BD62</f>
        <v>229.63328938185492</v>
      </c>
      <c r="BE52" s="3">
        <f>'Micro_30 (indiv)'!BE40+'Installment card_150 (indiv)'!BE100+'Installment card_1000 (indiv)'!BE100+'Debit card (indiv)'!BE62</f>
        <v>246.99421884503838</v>
      </c>
      <c r="BF52" s="3">
        <f>'Micro_30 (indiv)'!BF40+'Installment card_150 (indiv)'!BF100+'Installment card_1000 (indiv)'!BF100+'Debit card (indiv)'!BF62</f>
        <v>277.42406397691929</v>
      </c>
      <c r="BG52" s="3">
        <f>'Micro_30 (indiv)'!BG40+'Installment card_150 (indiv)'!BG100+'Installment card_1000 (indiv)'!BG100+'Debit card (indiv)'!BG62</f>
        <v>272.65224310531062</v>
      </c>
      <c r="BH52" s="3">
        <f>'Micro_30 (indiv)'!BH40+'Installment card_150 (indiv)'!BH100+'Installment card_1000 (indiv)'!BH100+'Debit card (indiv)'!BH62</f>
        <v>286.39430889804152</v>
      </c>
      <c r="BI52" s="3">
        <f>'Micro_30 (indiv)'!BI40+'Installment card_150 (indiv)'!BI100+'Installment card_1000 (indiv)'!BI100+'Debit card (indiv)'!BI62</f>
        <v>281.9724551281401</v>
      </c>
      <c r="BJ52" s="3">
        <f>'Micro_30 (indiv)'!BJ40+'Installment card_150 (indiv)'!BJ100+'Installment card_1000 (indiv)'!BJ100+'Debit card (indiv)'!BJ62</f>
        <v>296.65870437290056</v>
      </c>
      <c r="BK52" s="3">
        <f>'Micro_30 (indiv)'!BK40+'Installment card_150 (indiv)'!BK100+'Installment card_1000 (indiv)'!BK100+'Debit card (indiv)'!BK62</f>
        <v>302.24207981619952</v>
      </c>
      <c r="BL52" s="3">
        <f>'Micro_30 (indiv)'!BL40+'Installment card_150 (indiv)'!BL100+'Installment card_1000 (indiv)'!BL100+'Debit card (indiv)'!BL62</f>
        <v>298.16889858282923</v>
      </c>
      <c r="BM52" s="3">
        <f>'Micro_30 (indiv)'!BM40+'Installment card_150 (indiv)'!BM100+'Installment card_1000 (indiv)'!BM100+'Debit card (indiv)'!BM62</f>
        <v>314.24220849093194</v>
      </c>
      <c r="BN52" s="3">
        <f>'Micro_30 (indiv)'!BN40+'Installment card_150 (indiv)'!BN100+'Installment card_1000 (indiv)'!BN100+'Debit card (indiv)'!BN62</f>
        <v>310.28832177688787</v>
      </c>
      <c r="BO52" s="3">
        <f>'Micro_30 (indiv)'!BO40+'Installment card_150 (indiv)'!BO100+'Installment card_1000 (indiv)'!BO100+'Debit card (indiv)'!BO62</f>
        <v>326.92559689585443</v>
      </c>
      <c r="BP52" s="397">
        <f>SUM(BD52:BO52)</f>
        <v>3443.5963892709083</v>
      </c>
      <c r="BR52" s="60">
        <f t="shared" ref="BR52:BR55" si="71">(D52+E52+F52)/500*1000</f>
        <v>0</v>
      </c>
      <c r="BS52" s="60">
        <f t="shared" ref="BS52:BS55" si="72">(G52+H52+I52)/500*1000</f>
        <v>0</v>
      </c>
      <c r="BT52" s="60">
        <f t="shared" ref="BT52:BT55" si="73">(J52+K52+L52)/500*1000</f>
        <v>2.7098626182651389</v>
      </c>
      <c r="BU52" s="60">
        <f t="shared" ref="BU52:BU55" si="74">(M52+N52+O52)/500*1000</f>
        <v>8.5619370274284705</v>
      </c>
      <c r="BV52" s="60">
        <f t="shared" ref="BV52:BV55" si="75">(SUM(Q52:V52))/500*1000</f>
        <v>94.980616558296049</v>
      </c>
      <c r="BW52" s="60">
        <f t="shared" ref="BW52:BW55" si="76">SUM(W52:AB52)/500*1000</f>
        <v>229.1251313322127</v>
      </c>
      <c r="BX52" s="60">
        <f t="shared" ref="BX52:BX55" si="77">SUM(AD52:AI52)/500*1000</f>
        <v>641.65308575982772</v>
      </c>
      <c r="BY52" s="60">
        <f t="shared" ref="BY52:BY55" si="78">SUM(AJ52:AO52)/500*1000</f>
        <v>983.54421567566339</v>
      </c>
      <c r="BZ52" s="60">
        <f t="shared" ref="BZ52:BZ55" si="79">SUM(AQ52:AV52)/500*1000</f>
        <v>1854.5903456311974</v>
      </c>
      <c r="CA52" s="60">
        <f t="shared" ref="CA52:CA55" si="80">SUM(AW52:BB52)/500*1000</f>
        <v>2344.8831258393566</v>
      </c>
      <c r="CB52" s="60">
        <f t="shared" ref="CB52:CB55" si="81">SUM(BD52:BI52)/500*1000</f>
        <v>3190.1411586706099</v>
      </c>
      <c r="CC52" s="60">
        <f t="shared" ref="CC52:CC55" si="82">SUM(BJ52:BO52)/500*1000</f>
        <v>3697.0516198712066</v>
      </c>
      <c r="CE52" s="617" t="s">
        <v>870</v>
      </c>
      <c r="CF52" s="12" t="s">
        <v>965</v>
      </c>
    </row>
    <row r="53" spans="1:84" s="3" customFormat="1" ht="15.6" outlineLevel="1">
      <c r="A53" s="617" t="s">
        <v>517</v>
      </c>
      <c r="B53" s="12" t="s">
        <v>502</v>
      </c>
      <c r="C53" s="12"/>
      <c r="D53" s="3">
        <f>'Micro_30 (indiv)'!D45+'Installment card_150 (indiv)'!D105+'Installment card_1000 (indiv)'!D105+'Debit card (indiv)'!D67</f>
        <v>0</v>
      </c>
      <c r="E53" s="3">
        <f>'Micro_30 (indiv)'!E45+'Installment card_150 (indiv)'!E105+'Installment card_1000 (indiv)'!E105+'Debit card (indiv)'!E67</f>
        <v>0</v>
      </c>
      <c r="F53" s="3">
        <f>'Micro_30 (indiv)'!F45+'Installment card_150 (indiv)'!F105+'Installment card_1000 (indiv)'!F105+'Debit card (indiv)'!F67</f>
        <v>0</v>
      </c>
      <c r="G53" s="3">
        <f>'Micro_30 (indiv)'!G45+'Installment card_150 (indiv)'!G105+'Installment card_1000 (indiv)'!G105+'Debit card (indiv)'!G67</f>
        <v>0</v>
      </c>
      <c r="H53" s="3">
        <f>'Micro_30 (indiv)'!H45+'Installment card_150 (indiv)'!H105+'Installment card_1000 (indiv)'!H105+'Debit card (indiv)'!H67</f>
        <v>0</v>
      </c>
      <c r="I53" s="3">
        <f>'Micro_30 (indiv)'!I45+'Installment card_150 (indiv)'!I105+'Installment card_1000 (indiv)'!I105+'Debit card (indiv)'!I67</f>
        <v>0</v>
      </c>
      <c r="J53" s="3">
        <f>'Micro_30 (indiv)'!J45+'Installment card_150 (indiv)'!J105+'Installment card_1000 (indiv)'!J105+'Debit card (indiv)'!J67</f>
        <v>-1.2243024584749818E-2</v>
      </c>
      <c r="K53" s="3">
        <f>'Micro_30 (indiv)'!K45+'Installment card_150 (indiv)'!K105+'Installment card_1000 (indiv)'!K105+'Debit card (indiv)'!K67</f>
        <v>-3.7203588767510218E-2</v>
      </c>
      <c r="L53" s="3">
        <f>'Micro_30 (indiv)'!L45+'Installment card_150 (indiv)'!L105+'Installment card_1000 (indiv)'!L105+'Debit card (indiv)'!L67</f>
        <v>-0.26845854404549213</v>
      </c>
      <c r="M53" s="3">
        <f>'Micro_30 (indiv)'!M45+'Installment card_150 (indiv)'!M105+'Installment card_1000 (indiv)'!M105+'Debit card (indiv)'!M67</f>
        <v>-0.74133299303088207</v>
      </c>
      <c r="N53" s="3">
        <f>'Micro_30 (indiv)'!N45+'Installment card_150 (indiv)'!N105+'Installment card_1000 (indiv)'!N105+'Debit card (indiv)'!N67</f>
        <v>-1.1850287318392811</v>
      </c>
      <c r="O53" s="3">
        <f>'Micro_30 (indiv)'!O45+'Installment card_150 (indiv)'!O105+'Installment card_1000 (indiv)'!O105+'Debit card (indiv)'!O67</f>
        <v>-1.7131430091925124</v>
      </c>
      <c r="P53" s="397">
        <f>SUM(D53:O53)</f>
        <v>-3.9574098914604274</v>
      </c>
      <c r="Q53" s="3">
        <f>'Micro_30 (indiv)'!Q45+'Installment card_150 (indiv)'!Q105+'Installment card_1000 (indiv)'!Q105+'Debit card (indiv)'!Q67</f>
        <v>-3.7827389638157003</v>
      </c>
      <c r="R53" s="3">
        <f>'Micro_30 (indiv)'!R45+'Installment card_150 (indiv)'!R105+'Installment card_1000 (indiv)'!R105+'Debit card (indiv)'!R67</f>
        <v>-6.6961302065053223</v>
      </c>
      <c r="S53" s="3">
        <f>'Micro_30 (indiv)'!S45+'Installment card_150 (indiv)'!S105+'Installment card_1000 (indiv)'!S105+'Debit card (indiv)'!S67</f>
        <v>-11.097208277189619</v>
      </c>
      <c r="T53" s="3">
        <f>'Micro_30 (indiv)'!T45+'Installment card_150 (indiv)'!T105+'Installment card_1000 (indiv)'!T105+'Debit card (indiv)'!T67</f>
        <v>-14.434851735794856</v>
      </c>
      <c r="U53" s="3">
        <f>'Micro_30 (indiv)'!U45+'Installment card_150 (indiv)'!U105+'Installment card_1000 (indiv)'!U105+'Debit card (indiv)'!U67</f>
        <v>-18.86264505397471</v>
      </c>
      <c r="V53" s="3">
        <f>'Micro_30 (indiv)'!V45+'Installment card_150 (indiv)'!V105+'Installment card_1000 (indiv)'!V105+'Debit card (indiv)'!V67</f>
        <v>-22.189982446191035</v>
      </c>
      <c r="W53" s="3">
        <f>'Micro_30 (indiv)'!W45+'Installment card_150 (indiv)'!W105+'Installment card_1000 (indiv)'!W105+'Debit card (indiv)'!W67</f>
        <v>-31.270580514081963</v>
      </c>
      <c r="X53" s="3">
        <f>'Micro_30 (indiv)'!X45+'Installment card_150 (indiv)'!X105+'Installment card_1000 (indiv)'!X105+'Debit card (indiv)'!X67</f>
        <v>-43.967210092397302</v>
      </c>
      <c r="Y53" s="3">
        <f>'Micro_30 (indiv)'!Y45+'Installment card_150 (indiv)'!Y105+'Installment card_1000 (indiv)'!Y105+'Debit card (indiv)'!Y67</f>
        <v>-55.125901315686647</v>
      </c>
      <c r="Z53" s="3">
        <f>'Micro_30 (indiv)'!Z45+'Installment card_150 (indiv)'!Z105+'Installment card_1000 (indiv)'!Z105+'Debit card (indiv)'!Z67</f>
        <v>-70.237201087907522</v>
      </c>
      <c r="AA53" s="3">
        <f>'Micro_30 (indiv)'!AA45+'Installment card_150 (indiv)'!AA105+'Installment card_1000 (indiv)'!AA105+'Debit card (indiv)'!AA67</f>
        <v>-81.064215881540036</v>
      </c>
      <c r="AB53" s="3">
        <f>'Micro_30 (indiv)'!AB45+'Installment card_150 (indiv)'!AB105+'Installment card_1000 (indiv)'!AB105+'Debit card (indiv)'!AB67</f>
        <v>-97.217622558226594</v>
      </c>
      <c r="AC53" s="397">
        <f>SUM(Q53:AB53)</f>
        <v>-455.94628813331133</v>
      </c>
      <c r="AD53" s="3">
        <f>'Micro_30 (indiv)'!AD45+'Installment card_150 (indiv)'!AD105+'Installment card_1000 (indiv)'!AD105+'Debit card (indiv)'!AD67</f>
        <v>-113.86544921630242</v>
      </c>
      <c r="AE53" s="3">
        <f>'Micro_30 (indiv)'!AE45+'Installment card_150 (indiv)'!AE105+'Installment card_1000 (indiv)'!AE105+'Debit card (indiv)'!AE67</f>
        <v>-118.01296397858253</v>
      </c>
      <c r="AF53" s="3">
        <f>'Micro_30 (indiv)'!AF45+'Installment card_150 (indiv)'!AF105+'Installment card_1000 (indiv)'!AF105+'Debit card (indiv)'!AF67</f>
        <v>-144.04137820151567</v>
      </c>
      <c r="AG53" s="3">
        <f>'Micro_30 (indiv)'!AG45+'Installment card_150 (indiv)'!AG105+'Installment card_1000 (indiv)'!AG105+'Debit card (indiv)'!AG67</f>
        <v>-152.69187462723872</v>
      </c>
      <c r="AH53" s="3">
        <f>'Micro_30 (indiv)'!AH45+'Installment card_150 (indiv)'!AH105+'Installment card_1000 (indiv)'!AH105+'Debit card (indiv)'!AH67</f>
        <v>-171.83978871169421</v>
      </c>
      <c r="AI53" s="3">
        <f>'Micro_30 (indiv)'!AI45+'Installment card_150 (indiv)'!AI105+'Installment card_1000 (indiv)'!AI105+'Debit card (indiv)'!AI67</f>
        <v>-180.17233690314788</v>
      </c>
      <c r="AJ53" s="3">
        <f>'Micro_30 (indiv)'!AJ45+'Installment card_150 (indiv)'!AJ105+'Installment card_1000 (indiv)'!AJ105+'Debit card (indiv)'!AJ67</f>
        <v>-200.75895355958855</v>
      </c>
      <c r="AK53" s="3">
        <f>'Micro_30 (indiv)'!AK45+'Installment card_150 (indiv)'!AK105+'Installment card_1000 (indiv)'!AK105+'Debit card (indiv)'!AK67</f>
        <v>-215.54527363603273</v>
      </c>
      <c r="AL53" s="3">
        <f>'Micro_30 (indiv)'!AL45+'Installment card_150 (indiv)'!AL105+'Installment card_1000 (indiv)'!AL105+'Debit card (indiv)'!AL67</f>
        <v>-223.06488295057807</v>
      </c>
      <c r="AM53" s="3">
        <f>'Micro_30 (indiv)'!AM45+'Installment card_150 (indiv)'!AM105+'Installment card_1000 (indiv)'!AM105+'Debit card (indiv)'!AM67</f>
        <v>-245.5881447377763</v>
      </c>
      <c r="AN53" s="3">
        <f>'Micro_30 (indiv)'!AN45+'Installment card_150 (indiv)'!AN105+'Installment card_1000 (indiv)'!AN105+'Debit card (indiv)'!AN67</f>
        <v>-252.36101539734227</v>
      </c>
      <c r="AO53" s="3">
        <f>'Micro_30 (indiv)'!AO45+'Installment card_150 (indiv)'!AO105+'Installment card_1000 (indiv)'!AO105+'Debit card (indiv)'!AO67</f>
        <v>-275.56140110784668</v>
      </c>
      <c r="AP53" s="397">
        <f>SUM(AD53:AO53)</f>
        <v>-2293.5034630276459</v>
      </c>
      <c r="AQ53" s="3">
        <f>'Micro_30 (indiv)'!AQ45+'Installment card_150 (indiv)'!AQ105+'Installment card_1000 (indiv)'!AQ105+'Debit card (indiv)'!AQ67</f>
        <v>-296.53615212853617</v>
      </c>
      <c r="AR53" s="3">
        <f>'Micro_30 (indiv)'!AR45+'Installment card_150 (indiv)'!AR105+'Installment card_1000 (indiv)'!AR105+'Debit card (indiv)'!AR67</f>
        <v>-283.99659738078378</v>
      </c>
      <c r="AS53" s="3">
        <f>'Micro_30 (indiv)'!AS45+'Installment card_150 (indiv)'!AS105+'Installment card_1000 (indiv)'!AS105+'Debit card (indiv)'!AS67</f>
        <v>-322.94653592348186</v>
      </c>
      <c r="AT53" s="3">
        <f>'Micro_30 (indiv)'!AT45+'Installment card_150 (indiv)'!AT105+'Installment card_1000 (indiv)'!AT105+'Debit card (indiv)'!AT67</f>
        <v>-321.10491476207437</v>
      </c>
      <c r="AU53" s="3">
        <f>'Micro_30 (indiv)'!AU45+'Installment card_150 (indiv)'!AU105+'Installment card_1000 (indiv)'!AU105+'Debit card (indiv)'!AU67</f>
        <v>-340.9722386344323</v>
      </c>
      <c r="AV53" s="3">
        <f>'Micro_30 (indiv)'!AV45+'Installment card_150 (indiv)'!AV105+'Installment card_1000 (indiv)'!AV105+'Debit card (indiv)'!AV67</f>
        <v>-339.09710439540942</v>
      </c>
      <c r="AW53" s="3">
        <f>'Micro_30 (indiv)'!AW45+'Installment card_150 (indiv)'!AW105+'Installment card_1000 (indiv)'!AW105+'Debit card (indiv)'!AW67</f>
        <v>-360.05563137775403</v>
      </c>
      <c r="AX53" s="3">
        <f>'Micro_30 (indiv)'!AX45+'Installment card_150 (indiv)'!AX105+'Installment card_1000 (indiv)'!AX105+'Debit card (indiv)'!AX67</f>
        <v>-369.90167201010166</v>
      </c>
      <c r="AY53" s="3">
        <f>'Micro_30 (indiv)'!AY45+'Installment card_150 (indiv)'!AY105+'Installment card_1000 (indiv)'!AY105+'Debit card (indiv)'!AY67</f>
        <v>-367.64781118552844</v>
      </c>
      <c r="AZ53" s="3">
        <f>'Micro_30 (indiv)'!AZ45+'Installment card_150 (indiv)'!AZ105+'Installment card_1000 (indiv)'!AZ105+'Debit card (indiv)'!AZ67</f>
        <v>-390.02387497665796</v>
      </c>
      <c r="BA53" s="3">
        <f>'Micro_30 (indiv)'!BA45+'Installment card_150 (indiv)'!BA105+'Installment card_1000 (indiv)'!BA105+'Debit card (indiv)'!BA67</f>
        <v>-387.32027517164357</v>
      </c>
      <c r="BB53" s="3">
        <f>'Micro_30 (indiv)'!BB45+'Installment card_150 (indiv)'!BB105+'Installment card_1000 (indiv)'!BB105+'Debit card (indiv)'!BB67</f>
        <v>-409.99905698686121</v>
      </c>
      <c r="BC53" s="397">
        <f>SUM(AQ53:BB53)</f>
        <v>-4189.6018649332655</v>
      </c>
      <c r="BD53" s="3">
        <f>'Micro_30 (indiv)'!BD45+'Installment card_150 (indiv)'!BD105+'Installment card_1000 (indiv)'!BD105+'Debit card (indiv)'!BD67</f>
        <v>-430.05292947895197</v>
      </c>
      <c r="BE53" s="3">
        <f>'Micro_30 (indiv)'!BE45+'Installment card_150 (indiv)'!BE105+'Installment card_1000 (indiv)'!BE105+'Debit card (indiv)'!BE67</f>
        <v>-403.48358093311379</v>
      </c>
      <c r="BF53" s="3">
        <f>'Micro_30 (indiv)'!BF45+'Installment card_150 (indiv)'!BF105+'Installment card_1000 (indiv)'!BF105+'Debit card (indiv)'!BF67</f>
        <v>-449.72619798915071</v>
      </c>
      <c r="BG53" s="3">
        <f>'Micro_30 (indiv)'!BG45+'Installment card_150 (indiv)'!BG105+'Installment card_1000 (indiv)'!BG105+'Debit card (indiv)'!BG67</f>
        <v>-438.55438354030787</v>
      </c>
      <c r="BH53" s="3">
        <f>'Micro_30 (indiv)'!BH45+'Installment card_150 (indiv)'!BH105+'Installment card_1000 (indiv)'!BH105+'Debit card (indiv)'!BH67</f>
        <v>-457.01166358839174</v>
      </c>
      <c r="BI53" s="3">
        <f>'Micro_30 (indiv)'!BI45+'Installment card_150 (indiv)'!BI105+'Installment card_1000 (indiv)'!BI105+'Debit card (indiv)'!BI67</f>
        <v>-446.32360378378388</v>
      </c>
      <c r="BJ53" s="3">
        <f>'Micro_30 (indiv)'!BJ45+'Installment card_150 (indiv)'!BJ105+'Installment card_1000 (indiv)'!BJ105+'Debit card (indiv)'!BJ67</f>
        <v>-465.70032070506045</v>
      </c>
      <c r="BK53" s="3">
        <f>'Micro_30 (indiv)'!BK45+'Installment card_150 (indiv)'!BK105+'Installment card_1000 (indiv)'!BK105+'Debit card (indiv)'!BK67</f>
        <v>-470.46961149797107</v>
      </c>
      <c r="BL53" s="3">
        <f>'Micro_30 (indiv)'!BL45+'Installment card_150 (indiv)'!BL105+'Installment card_1000 (indiv)'!BL105+'Debit card (indiv)'!BL67</f>
        <v>-460.13228229858328</v>
      </c>
      <c r="BM53" s="3">
        <f>'Micro_30 (indiv)'!BM45+'Installment card_150 (indiv)'!BM105+'Installment card_1000 (indiv)'!BM105+'Debit card (indiv)'!BM67</f>
        <v>-480.66364735877619</v>
      </c>
      <c r="BN53" s="3">
        <f>'Micro_30 (indiv)'!BN45+'Installment card_150 (indiv)'!BN105+'Installment card_1000 (indiv)'!BN105+'Debit card (indiv)'!BN67</f>
        <v>-470.33574516642926</v>
      </c>
      <c r="BO53" s="3">
        <f>'Micro_30 (indiv)'!BO45+'Installment card_150 (indiv)'!BO105+'Installment card_1000 (indiv)'!BO105+'Debit card (indiv)'!BO67</f>
        <v>-490.95772765022235</v>
      </c>
      <c r="BP53" s="397">
        <f>SUM(BD53:BO53)</f>
        <v>-5463.4116939907426</v>
      </c>
      <c r="BR53" s="60">
        <f t="shared" si="71"/>
        <v>0</v>
      </c>
      <c r="BS53" s="60">
        <f t="shared" si="72"/>
        <v>0</v>
      </c>
      <c r="BT53" s="60">
        <f t="shared" si="73"/>
        <v>-0.63581031479550432</v>
      </c>
      <c r="BU53" s="60">
        <f t="shared" si="74"/>
        <v>-7.2790094681253512</v>
      </c>
      <c r="BV53" s="60">
        <f t="shared" si="75"/>
        <v>-154.1271133669425</v>
      </c>
      <c r="BW53" s="60">
        <f t="shared" si="76"/>
        <v>-757.76546289968019</v>
      </c>
      <c r="BX53" s="60">
        <f t="shared" si="77"/>
        <v>-1761.2475832769628</v>
      </c>
      <c r="BY53" s="60">
        <f t="shared" si="78"/>
        <v>-2825.759342778329</v>
      </c>
      <c r="BZ53" s="60">
        <f t="shared" si="79"/>
        <v>-3809.3070864494362</v>
      </c>
      <c r="CA53" s="60">
        <f t="shared" si="80"/>
        <v>-4569.8966434170934</v>
      </c>
      <c r="CB53" s="60">
        <f t="shared" si="81"/>
        <v>-5250.3047186273998</v>
      </c>
      <c r="CC53" s="60">
        <f t="shared" si="82"/>
        <v>-5676.5186693540854</v>
      </c>
      <c r="CE53" s="617" t="s">
        <v>873</v>
      </c>
      <c r="CF53" s="12" t="s">
        <v>965</v>
      </c>
    </row>
    <row r="54" spans="1:84" s="3" customFormat="1" ht="15.6" outlineLevel="1">
      <c r="A54" s="617" t="s">
        <v>471</v>
      </c>
      <c r="B54" s="12" t="s">
        <v>502</v>
      </c>
      <c r="C54" s="12"/>
      <c r="D54" s="3">
        <f>'Micro_30 (indiv)'!D47+'Installment card_150 (indiv)'!D107+'Installment card_1000 (indiv)'!D107+'Debit card (indiv)'!D69</f>
        <v>0</v>
      </c>
      <c r="E54" s="3">
        <f>'Micro_30 (indiv)'!E47+'Installment card_150 (indiv)'!E107+'Installment card_1000 (indiv)'!E107+'Debit card (indiv)'!E69</f>
        <v>0</v>
      </c>
      <c r="F54" s="3">
        <f>'Micro_30 (indiv)'!F47+'Installment card_150 (indiv)'!F107+'Installment card_1000 (indiv)'!F107+'Debit card (indiv)'!F69</f>
        <v>0</v>
      </c>
      <c r="G54" s="3">
        <f>'Micro_30 (indiv)'!G47+'Installment card_150 (indiv)'!G107+'Installment card_1000 (indiv)'!G107+'Debit card (indiv)'!G69</f>
        <v>0</v>
      </c>
      <c r="H54" s="3">
        <f>'Micro_30 (indiv)'!H47+'Installment card_150 (indiv)'!H107+'Installment card_1000 (indiv)'!H107+'Debit card (indiv)'!H69</f>
        <v>0</v>
      </c>
      <c r="I54" s="3">
        <f>'Micro_30 (indiv)'!I47+'Installment card_150 (indiv)'!I107+'Installment card_1000 (indiv)'!I107+'Debit card (indiv)'!I69</f>
        <v>0</v>
      </c>
      <c r="J54" s="3">
        <f>'Micro_30 (indiv)'!J47+'Installment card_150 (indiv)'!J107+'Installment card_1000 (indiv)'!J107+'Debit card (indiv)'!J69</f>
        <v>7.3067634517873081</v>
      </c>
      <c r="K54" s="3">
        <f>'Micro_30 (indiv)'!K47+'Installment card_150 (indiv)'!K107+'Installment card_1000 (indiv)'!K107+'Debit card (indiv)'!K69</f>
        <v>14.896722361708129</v>
      </c>
      <c r="L54" s="3">
        <f>'Micro_30 (indiv)'!L47+'Installment card_150 (indiv)'!L107+'Installment card_1000 (indiv)'!L107+'Debit card (indiv)'!L69</f>
        <v>23.052153996341399</v>
      </c>
      <c r="M54" s="3">
        <f>'Micro_30 (indiv)'!M47+'Installment card_150 (indiv)'!M107+'Installment card_1000 (indiv)'!M107+'Debit card (indiv)'!M69</f>
        <v>31.215175993787895</v>
      </c>
      <c r="N54" s="3">
        <f>'Micro_30 (indiv)'!N47+'Installment card_150 (indiv)'!N107+'Installment card_1000 (indiv)'!N107+'Debit card (indiv)'!N69</f>
        <v>39.634120430954823</v>
      </c>
      <c r="O54" s="3">
        <f>'Micro_30 (indiv)'!O47+'Installment card_150 (indiv)'!O107+'Installment card_1000 (indiv)'!O107+'Debit card (indiv)'!O69</f>
        <v>47.923794709298761</v>
      </c>
      <c r="P54" s="397">
        <f>SUM(D54:O54)</f>
        <v>164.02873094387832</v>
      </c>
      <c r="Q54" s="3">
        <f>'Micro_30 (indiv)'!Q47+'Installment card_150 (indiv)'!Q107+'Installment card_1000 (indiv)'!Q107+'Debit card (indiv)'!Q69</f>
        <v>66.271781180532628</v>
      </c>
      <c r="R54" s="3">
        <f>'Micro_30 (indiv)'!R47+'Installment card_150 (indiv)'!R107+'Installment card_1000 (indiv)'!R107+'Debit card (indiv)'!R69</f>
        <v>86.107743869283851</v>
      </c>
      <c r="S54" s="3">
        <f>'Micro_30 (indiv)'!S47+'Installment card_150 (indiv)'!S107+'Installment card_1000 (indiv)'!S107+'Debit card (indiv)'!S69</f>
        <v>106.97571024313474</v>
      </c>
      <c r="T54" s="3">
        <f>'Micro_30 (indiv)'!T47+'Installment card_150 (indiv)'!T107+'Installment card_1000 (indiv)'!T107+'Debit card (indiv)'!T69</f>
        <v>128.74244961080339</v>
      </c>
      <c r="U54" s="3">
        <f>'Micro_30 (indiv)'!U47+'Installment card_150 (indiv)'!U107+'Installment card_1000 (indiv)'!U107+'Debit card (indiv)'!U69</f>
        <v>151.37889102713092</v>
      </c>
      <c r="V54" s="3">
        <f>'Micro_30 (indiv)'!V47+'Installment card_150 (indiv)'!V107+'Installment card_1000 (indiv)'!V107+'Debit card (indiv)'!V69</f>
        <v>174.85489452580512</v>
      </c>
      <c r="W54" s="3">
        <f>'Micro_30 (indiv)'!W47+'Installment card_150 (indiv)'!W107+'Installment card_1000 (indiv)'!W107+'Debit card (indiv)'!W69</f>
        <v>203.53694773117542</v>
      </c>
      <c r="X54" s="3">
        <f>'Micro_30 (indiv)'!X47+'Installment card_150 (indiv)'!X107+'Installment card_1000 (indiv)'!X107+'Debit card (indiv)'!X69</f>
        <v>229.06704802607271</v>
      </c>
      <c r="Y54" s="3">
        <f>'Micro_30 (indiv)'!Y47+'Installment card_150 (indiv)'!Y107+'Installment card_1000 (indiv)'!Y107+'Debit card (indiv)'!Y69</f>
        <v>255.34286773692281</v>
      </c>
      <c r="Z54" s="3">
        <f>'Micro_30 (indiv)'!Z47+'Installment card_150 (indiv)'!Z107+'Installment card_1000 (indiv)'!Z107+'Debit card (indiv)'!Z69</f>
        <v>282.3300478412209</v>
      </c>
      <c r="AA54" s="3">
        <f>'Micro_30 (indiv)'!AA47+'Installment card_150 (indiv)'!AA107+'Installment card_1000 (indiv)'!AA107+'Debit card (indiv)'!AA69</f>
        <v>309.9935312537844</v>
      </c>
      <c r="AB54" s="3">
        <f>'Micro_30 (indiv)'!AB47+'Installment card_150 (indiv)'!AB107+'Installment card_1000 (indiv)'!AB107+'Debit card (indiv)'!AB69</f>
        <v>336.68182111733898</v>
      </c>
      <c r="AC54" s="397">
        <f>SUM(Q54:AB54)</f>
        <v>2331.2837341632057</v>
      </c>
      <c r="AD54" s="3">
        <f>'Micro_30 (indiv)'!AD47+'Installment card_150 (indiv)'!AD107+'Installment card_1000 (indiv)'!AD107+'Debit card (indiv)'!AD69</f>
        <v>348.64702061801449</v>
      </c>
      <c r="AE54" s="3">
        <f>'Micro_30 (indiv)'!AE47+'Installment card_150 (indiv)'!AE107+'Installment card_1000 (indiv)'!AE107+'Debit card (indiv)'!AE69</f>
        <v>370.30457654596205</v>
      </c>
      <c r="AF54" s="3">
        <f>'Micro_30 (indiv)'!AF47+'Installment card_150 (indiv)'!AF107+'Installment card_1000 (indiv)'!AF107+'Debit card (indiv)'!AF69</f>
        <v>397.15686941868597</v>
      </c>
      <c r="AG54" s="3">
        <f>'Micro_30 (indiv)'!AG47+'Installment card_150 (indiv)'!AG107+'Installment card_1000 (indiv)'!AG107+'Debit card (indiv)'!AG69</f>
        <v>425.08117257581659</v>
      </c>
      <c r="AH54" s="3">
        <f>'Micro_30 (indiv)'!AH47+'Installment card_150 (indiv)'!AH107+'Installment card_1000 (indiv)'!AH107+'Debit card (indiv)'!AH69</f>
        <v>454.03415951294903</v>
      </c>
      <c r="AI54" s="3">
        <f>'Micro_30 (indiv)'!AI47+'Installment card_150 (indiv)'!AI107+'Installment card_1000 (indiv)'!AI107+'Debit card (indiv)'!AI69</f>
        <v>483.97157826441497</v>
      </c>
      <c r="AJ54" s="3">
        <f>'Micro_30 (indiv)'!AJ47+'Installment card_150 (indiv)'!AJ107+'Installment card_1000 (indiv)'!AJ107+'Debit card (indiv)'!AJ69</f>
        <v>514.84835291811703</v>
      </c>
      <c r="AK54" s="3">
        <f>'Micro_30 (indiv)'!AK47+'Installment card_150 (indiv)'!AK107+'Installment card_1000 (indiv)'!AK107+'Debit card (indiv)'!AK69</f>
        <v>546.61868574544962</v>
      </c>
      <c r="AL54" s="3">
        <f>'Micro_30 (indiv)'!AL47+'Installment card_150 (indiv)'!AL107+'Installment card_1000 (indiv)'!AL107+'Debit card (indiv)'!AL69</f>
        <v>579.23615963163968</v>
      </c>
      <c r="AM54" s="3">
        <f>'Micro_30 (indiv)'!AM47+'Installment card_150 (indiv)'!AM107+'Installment card_1000 (indiv)'!AM107+'Debit card (indiv)'!AM69</f>
        <v>612.65384049525142</v>
      </c>
      <c r="AN54" s="3">
        <f>'Micro_30 (indiv)'!AN47+'Installment card_150 (indiv)'!AN107+'Installment card_1000 (indiv)'!AN107+'Debit card (indiv)'!AN69</f>
        <v>646.82437939021895</v>
      </c>
      <c r="AO54" s="3">
        <f>'Micro_30 (indiv)'!AO47+'Installment card_150 (indiv)'!AO107+'Installment card_1000 (indiv)'!AO107+'Debit card (indiv)'!AO69</f>
        <v>679.33063551761006</v>
      </c>
      <c r="AP54" s="397">
        <f>SUM(AD54:AO54)</f>
        <v>6058.7074306341301</v>
      </c>
      <c r="AQ54" s="3">
        <f>'Micro_30 (indiv)'!AQ47+'Installment card_150 (indiv)'!AQ107+'Installment card_1000 (indiv)'!AQ107+'Debit card (indiv)'!AQ69</f>
        <v>671.9282046385415</v>
      </c>
      <c r="AR54" s="3">
        <f>'Micro_30 (indiv)'!AR47+'Installment card_150 (indiv)'!AR107+'Installment card_1000 (indiv)'!AR107+'Debit card (indiv)'!AR69</f>
        <v>681.00334821496529</v>
      </c>
      <c r="AS54" s="3">
        <f>'Micro_30 (indiv)'!AS47+'Installment card_150 (indiv)'!AS107+'Installment card_1000 (indiv)'!AS107+'Debit card (indiv)'!AS69</f>
        <v>701.64464583317613</v>
      </c>
      <c r="AT54" s="3">
        <f>'Micro_30 (indiv)'!AT47+'Installment card_150 (indiv)'!AT107+'Installment card_1000 (indiv)'!AT107+'Debit card (indiv)'!AT69</f>
        <v>723.28704592270117</v>
      </c>
      <c r="AU54" s="3">
        <f>'Micro_30 (indiv)'!AU47+'Installment card_150 (indiv)'!AU107+'Installment card_1000 (indiv)'!AU107+'Debit card (indiv)'!AU69</f>
        <v>745.8884651607965</v>
      </c>
      <c r="AV54" s="3">
        <f>'Micro_30 (indiv)'!AV47+'Installment card_150 (indiv)'!AV107+'Installment card_1000 (indiv)'!AV107+'Debit card (indiv)'!AV69</f>
        <v>769.40623422329747</v>
      </c>
      <c r="AW54" s="3">
        <f>'Micro_30 (indiv)'!AW47+'Installment card_150 (indiv)'!AW107+'Installment card_1000 (indiv)'!AW107+'Debit card (indiv)'!AW69</f>
        <v>793.79719482210328</v>
      </c>
      <c r="AX54" s="3">
        <f>'Micro_30 (indiv)'!AX47+'Installment card_150 (indiv)'!AX107+'Installment card_1000 (indiv)'!AX107+'Debit card (indiv)'!AX69</f>
        <v>819.01779600260306</v>
      </c>
      <c r="AY54" s="3">
        <f>'Micro_30 (indiv)'!AY47+'Installment card_150 (indiv)'!AY107+'Installment card_1000 (indiv)'!AY107+'Debit card (indiv)'!AY69</f>
        <v>845.02418942757129</v>
      </c>
      <c r="AZ54" s="3">
        <f>'Micro_30 (indiv)'!AZ47+'Installment card_150 (indiv)'!AZ107+'Installment card_1000 (indiv)'!AZ107+'Debit card (indiv)'!AZ69</f>
        <v>871.77232338313115</v>
      </c>
      <c r="BA54" s="3">
        <f>'Micro_30 (indiv)'!BA47+'Installment card_150 (indiv)'!BA107+'Installment card_1000 (indiv)'!BA107+'Debit card (indiv)'!BA69</f>
        <v>899.21803525231928</v>
      </c>
      <c r="BB54" s="3">
        <f>'Micro_30 (indiv)'!BB47+'Installment card_150 (indiv)'!BB107+'Installment card_1000 (indiv)'!BB107+'Debit card (indiv)'!BB69</f>
        <v>924.7629824024375</v>
      </c>
      <c r="BC54" s="397">
        <f>SUM(AQ54:BB54)</f>
        <v>9446.7504652836433</v>
      </c>
      <c r="BD54" s="3">
        <f>'Micro_30 (indiv)'!BD47+'Installment card_150 (indiv)'!BD107+'Installment card_1000 (indiv)'!BD107+'Debit card (indiv)'!BD69</f>
        <v>903.28640950907277</v>
      </c>
      <c r="BE54" s="3">
        <f>'Micro_30 (indiv)'!BE47+'Installment card_150 (indiv)'!BE107+'Installment card_1000 (indiv)'!BE107+'Debit card (indiv)'!BE69</f>
        <v>900.1797298359545</v>
      </c>
      <c r="BF54" s="3">
        <f>'Micro_30 (indiv)'!BF47+'Installment card_150 (indiv)'!BF107+'Installment card_1000 (indiv)'!BF107+'Debit card (indiv)'!BF69</f>
        <v>913.97555709913263</v>
      </c>
      <c r="BG54" s="3">
        <f>'Micro_30 (indiv)'!BG47+'Installment card_150 (indiv)'!BG107+'Installment card_1000 (indiv)'!BG107+'Debit card (indiv)'!BG69</f>
        <v>928.87460668496601</v>
      </c>
      <c r="BH54" s="3">
        <f>'Micro_30 (indiv)'!BH47+'Installment card_150 (indiv)'!BH107+'Installment card_1000 (indiv)'!BH107+'Debit card (indiv)'!BH69</f>
        <v>944.83280579391749</v>
      </c>
      <c r="BI54" s="3">
        <f>'Micro_30 (indiv)'!BI47+'Installment card_150 (indiv)'!BI107+'Installment card_1000 (indiv)'!BI107+'Debit card (indiv)'!BI69</f>
        <v>961.80565048718609</v>
      </c>
      <c r="BJ54" s="3">
        <f>'Micro_30 (indiv)'!BJ47+'Installment card_150 (indiv)'!BJ107+'Installment card_1000 (indiv)'!BJ107+'Debit card (indiv)'!BJ69</f>
        <v>979.74830583583741</v>
      </c>
      <c r="BK54" s="3">
        <f>'Micro_30 (indiv)'!BK47+'Installment card_150 (indiv)'!BK107+'Installment card_1000 (indiv)'!BK107+'Debit card (indiv)'!BK69</f>
        <v>998.61570427171375</v>
      </c>
      <c r="BL54" s="3">
        <f>'Micro_30 (indiv)'!BL47+'Installment card_150 (indiv)'!BL107+'Installment card_1000 (indiv)'!BL107+'Debit card (indiv)'!BL69</f>
        <v>1018.3626418926992</v>
      </c>
      <c r="BM54" s="3">
        <f>'Micro_30 (indiv)'!BM47+'Installment card_150 (indiv)'!BM107+'Installment card_1000 (indiv)'!BM107+'Debit card (indiv)'!BM69</f>
        <v>1038.9438724885533</v>
      </c>
      <c r="BN54" s="3">
        <f>'Micro_30 (indiv)'!BN47+'Installment card_150 (indiv)'!BN107+'Installment card_1000 (indiv)'!BN107+'Debit card (indiv)'!BN69</f>
        <v>1060.3141990677295</v>
      </c>
      <c r="BO54" s="3">
        <f>'Micro_30 (indiv)'!BO47+'Installment card_150 (indiv)'!BO107+'Installment card_1000 (indiv)'!BO107+'Debit card (indiv)'!BO69</f>
        <v>1079.6354326648548</v>
      </c>
      <c r="BP54" s="397">
        <f>SUM(BD54:BO54)</f>
        <v>11728.574915631616</v>
      </c>
      <c r="BR54" s="60">
        <f t="shared" si="71"/>
        <v>0</v>
      </c>
      <c r="BS54" s="60">
        <f t="shared" si="72"/>
        <v>0</v>
      </c>
      <c r="BT54" s="60">
        <f t="shared" si="73"/>
        <v>90.511279619673672</v>
      </c>
      <c r="BU54" s="60">
        <f t="shared" si="74"/>
        <v>237.54618226808296</v>
      </c>
      <c r="BV54" s="60">
        <f t="shared" si="75"/>
        <v>1428.6629409133811</v>
      </c>
      <c r="BW54" s="60">
        <f t="shared" si="76"/>
        <v>3233.9045274130303</v>
      </c>
      <c r="BX54" s="60">
        <f t="shared" si="77"/>
        <v>4958.3907538716858</v>
      </c>
      <c r="BY54" s="60">
        <f t="shared" si="78"/>
        <v>7159.0241073965726</v>
      </c>
      <c r="BZ54" s="60">
        <f t="shared" si="79"/>
        <v>8586.3158879869552</v>
      </c>
      <c r="CA54" s="60">
        <f t="shared" si="80"/>
        <v>10307.185042580331</v>
      </c>
      <c r="CB54" s="60">
        <f t="shared" si="81"/>
        <v>11105.909518820459</v>
      </c>
      <c r="CC54" s="60">
        <f t="shared" si="82"/>
        <v>12351.240312442776</v>
      </c>
      <c r="CE54" s="617" t="s">
        <v>863</v>
      </c>
      <c r="CF54" s="12" t="s">
        <v>965</v>
      </c>
    </row>
    <row r="55" spans="1:84" s="3" customFormat="1" ht="15.6" outlineLevel="1">
      <c r="A55" s="617" t="s">
        <v>472</v>
      </c>
      <c r="B55" s="12" t="s">
        <v>502</v>
      </c>
      <c r="C55" s="12"/>
      <c r="D55" s="3">
        <f>'Micro_30 (indiv)'!D51+'Installment card_150 (indiv)'!D111+'Installment card_1000 (indiv)'!D111+'Debit card (indiv)'!D73</f>
        <v>0</v>
      </c>
      <c r="E55" s="3">
        <f>'Micro_30 (indiv)'!E51+'Installment card_150 (indiv)'!E111+'Installment card_1000 (indiv)'!E111+'Debit card (indiv)'!E73</f>
        <v>0</v>
      </c>
      <c r="F55" s="3">
        <f>'Micro_30 (indiv)'!F51+'Installment card_150 (indiv)'!F111+'Installment card_1000 (indiv)'!F111+'Debit card (indiv)'!F73</f>
        <v>0</v>
      </c>
      <c r="G55" s="3">
        <f>'Micro_30 (indiv)'!G51+'Installment card_150 (indiv)'!G111+'Installment card_1000 (indiv)'!G111+'Debit card (indiv)'!G73</f>
        <v>0</v>
      </c>
      <c r="H55" s="3">
        <f>'Micro_30 (indiv)'!H51+'Installment card_150 (indiv)'!H111+'Installment card_1000 (indiv)'!H111+'Debit card (indiv)'!H73</f>
        <v>0</v>
      </c>
      <c r="I55" s="3">
        <f>'Micro_30 (indiv)'!I51+'Installment card_150 (indiv)'!I111+'Installment card_1000 (indiv)'!I111+'Debit card (indiv)'!I73</f>
        <v>0</v>
      </c>
      <c r="J55" s="3">
        <f>'Micro_30 (indiv)'!J51+'Installment card_150 (indiv)'!J111+'Installment card_1000 (indiv)'!J111+'Debit card (indiv)'!J73</f>
        <v>-15.068662000739819</v>
      </c>
      <c r="K55" s="3">
        <f>'Micro_30 (indiv)'!K51+'Installment card_150 (indiv)'!K111+'Installment card_1000 (indiv)'!K111+'Debit card (indiv)'!K73</f>
        <v>-30.72135503887619</v>
      </c>
      <c r="L55" s="3">
        <f>'Micro_30 (indiv)'!L51+'Installment card_150 (indiv)'!L111+'Installment card_1000 (indiv)'!L111+'Debit card (indiv)'!L73</f>
        <v>-47.988738972253429</v>
      </c>
      <c r="M55" s="3">
        <f>'Micro_30 (indiv)'!M51+'Installment card_150 (indiv)'!M111+'Installment card_1000 (indiv)'!M111+'Debit card (indiv)'!M73</f>
        <v>-64.894130729001688</v>
      </c>
      <c r="N55" s="3">
        <f>'Micro_30 (indiv)'!N51+'Installment card_150 (indiv)'!N111+'Installment card_1000 (indiv)'!N111+'Debit card (indiv)'!N73</f>
        <v>-82.330418810528798</v>
      </c>
      <c r="O55" s="3">
        <f>'Micro_30 (indiv)'!O51+'Installment card_150 (indiv)'!O111+'Installment card_1000 (indiv)'!O111+'Debit card (indiv)'!O73</f>
        <v>-99.476037154219242</v>
      </c>
      <c r="P55" s="397">
        <f>SUM(D55:O55)</f>
        <v>-340.47934270561916</v>
      </c>
      <c r="Q55" s="3">
        <f>'Micro_30 (indiv)'!Q51+'Installment card_150 (indiv)'!Q111+'Installment card_1000 (indiv)'!Q111+'Debit card (indiv)'!Q73</f>
        <v>-108.7689614186221</v>
      </c>
      <c r="R55" s="3">
        <f>'Micro_30 (indiv)'!R51+'Installment card_150 (indiv)'!R111+'Installment card_1000 (indiv)'!R111+'Debit card (indiv)'!R73</f>
        <v>-140.19910861234339</v>
      </c>
      <c r="S55" s="3">
        <f>'Micro_30 (indiv)'!S51+'Installment card_150 (indiv)'!S111+'Installment card_1000 (indiv)'!S111+'Debit card (indiv)'!S73</f>
        <v>-173.48401938991404</v>
      </c>
      <c r="T55" s="3">
        <f>'Micro_30 (indiv)'!T51+'Installment card_150 (indiv)'!T111+'Installment card_1000 (indiv)'!T111+'Debit card (indiv)'!T73</f>
        <v>-208.18941467903025</v>
      </c>
      <c r="U55" s="3">
        <f>'Micro_30 (indiv)'!U51+'Installment card_150 (indiv)'!U111+'Installment card_1000 (indiv)'!U111+'Debit card (indiv)'!U73</f>
        <v>-244.26905342223216</v>
      </c>
      <c r="V55" s="3">
        <f>'Micro_30 (indiv)'!V51+'Installment card_150 (indiv)'!V111+'Installment card_1000 (indiv)'!V111+'Debit card (indiv)'!V73</f>
        <v>-281.6750084900155</v>
      </c>
      <c r="W55" s="3">
        <f>'Micro_30 (indiv)'!W51+'Installment card_150 (indiv)'!W111+'Installment card_1000 (indiv)'!W111+'Debit card (indiv)'!W73</f>
        <v>-336.96826814416897</v>
      </c>
      <c r="X55" s="3">
        <f>'Micro_30 (indiv)'!X51+'Installment card_150 (indiv)'!X111+'Installment card_1000 (indiv)'!X111+'Debit card (indiv)'!X73</f>
        <v>-378.75228062438941</v>
      </c>
      <c r="Y55" s="3">
        <f>'Micro_30 (indiv)'!Y51+'Installment card_150 (indiv)'!Y111+'Installment card_1000 (indiv)'!Y111+'Debit card (indiv)'!Y73</f>
        <v>-421.73114093319577</v>
      </c>
      <c r="Z55" s="3">
        <f>'Micro_30 (indiv)'!Z51+'Installment card_150 (indiv)'!Z111+'Installment card_1000 (indiv)'!Z111+'Debit card (indiv)'!Z73</f>
        <v>-465.84894901330432</v>
      </c>
      <c r="AA55" s="3">
        <f>'Micro_30 (indiv)'!AA51+'Installment card_150 (indiv)'!AA111+'Installment card_1000 (indiv)'!AA111+'Debit card (indiv)'!AA73</f>
        <v>-511.04869987039621</v>
      </c>
      <c r="AB55" s="3">
        <f>'Micro_30 (indiv)'!AB51+'Installment card_150 (indiv)'!AB111+'Installment card_1000 (indiv)'!AB111+'Debit card (indiv)'!AB73</f>
        <v>-553.94414862727797</v>
      </c>
      <c r="AC55" s="397">
        <f>SUM(Q55:AB55)</f>
        <v>-3824.8790532248904</v>
      </c>
      <c r="AD55" s="3">
        <f>'Micro_30 (indiv)'!AD51+'Installment card_150 (indiv)'!AD111+'Installment card_1000 (indiv)'!AD111+'Debit card (indiv)'!AD73</f>
        <v>-461.06414108455584</v>
      </c>
      <c r="AE55" s="3">
        <f>'Micro_30 (indiv)'!AE51+'Installment card_150 (indiv)'!AE111+'Installment card_1000 (indiv)'!AE111+'Debit card (indiv)'!AE73</f>
        <v>-478.82993911257171</v>
      </c>
      <c r="AF55" s="3">
        <f>'Micro_30 (indiv)'!AF51+'Installment card_150 (indiv)'!AF111+'Installment card_1000 (indiv)'!AF111+'Debit card (indiv)'!AF73</f>
        <v>-513.60533359029364</v>
      </c>
      <c r="AG55" s="3">
        <f>'Micro_30 (indiv)'!AG51+'Installment card_150 (indiv)'!AG111+'Installment card_1000 (indiv)'!AG111+'Debit card (indiv)'!AG73</f>
        <v>-549.71045058162963</v>
      </c>
      <c r="AH55" s="3">
        <f>'Micro_30 (indiv)'!AH51+'Installment card_150 (indiv)'!AH111+'Installment card_1000 (indiv)'!AH111+'Debit card (indiv)'!AH73</f>
        <v>-587.09001434958111</v>
      </c>
      <c r="AI55" s="3">
        <f>'Micro_30 (indiv)'!AI51+'Installment card_150 (indiv)'!AI111+'Installment card_1000 (indiv)'!AI111+'Debit card (indiv)'!AI73</f>
        <v>-625.68763343394903</v>
      </c>
      <c r="AJ55" s="3">
        <f>'Micro_30 (indiv)'!AJ51+'Installment card_150 (indiv)'!AJ111+'Installment card_1000 (indiv)'!AJ111+'Debit card (indiv)'!AJ73</f>
        <v>-665.44592960515558</v>
      </c>
      <c r="AK55" s="3">
        <f>'Micro_30 (indiv)'!AK51+'Installment card_150 (indiv)'!AK111+'Installment card_1000 (indiv)'!AK111+'Debit card (indiv)'!AK73</f>
        <v>-706.30666742692472</v>
      </c>
      <c r="AL55" s="3">
        <f>'Micro_30 (indiv)'!AL51+'Installment card_150 (indiv)'!AL111+'Installment card_1000 (indiv)'!AL111+'Debit card (indiv)'!AL73</f>
        <v>-748.21088403007798</v>
      </c>
      <c r="AM55" s="3">
        <f>'Micro_30 (indiv)'!AM51+'Installment card_150 (indiv)'!AM111+'Installment card_1000 (indiv)'!AM111+'Debit card (indiv)'!AM73</f>
        <v>-791.09901870469616</v>
      </c>
      <c r="AN55" s="3">
        <f>'Micro_30 (indiv)'!AN51+'Installment card_150 (indiv)'!AN111+'Installment card_1000 (indiv)'!AN111+'Debit card (indiv)'!AN73</f>
        <v>-834.91104192438775</v>
      </c>
      <c r="AO55" s="3">
        <f>'Micro_30 (indiv)'!AO51+'Installment card_150 (indiv)'!AO111+'Installment card_1000 (indiv)'!AO111+'Debit card (indiv)'!AO73</f>
        <v>-875.27814620207857</v>
      </c>
      <c r="AP55" s="397">
        <f>SUM(AD55:AO55)</f>
        <v>-7837.2392000459022</v>
      </c>
      <c r="AQ55" s="3">
        <f>'Micro_30 (indiv)'!AQ51+'Installment card_150 (indiv)'!AQ111+'Installment card_1000 (indiv)'!AQ111+'Debit card (indiv)'!AQ73</f>
        <v>-714.23615277230965</v>
      </c>
      <c r="AR55" s="3">
        <f>'Micro_30 (indiv)'!AR51+'Installment card_150 (indiv)'!AR111+'Installment card_1000 (indiv)'!AR111+'Debit card (indiv)'!AR73</f>
        <v>-693.21271400214823</v>
      </c>
      <c r="AS55" s="3">
        <f>'Micro_30 (indiv)'!AS51+'Installment card_150 (indiv)'!AS111+'Installment card_1000 (indiv)'!AS111+'Debit card (indiv)'!AS73</f>
        <v>-714.93841989227644</v>
      </c>
      <c r="AT55" s="3">
        <f>'Micro_30 (indiv)'!AT51+'Installment card_150 (indiv)'!AT111+'Installment card_1000 (indiv)'!AT111+'Debit card (indiv)'!AT73</f>
        <v>-737.63688913630563</v>
      </c>
      <c r="AU55" s="3">
        <f>'Micro_30 (indiv)'!AU51+'Installment card_150 (indiv)'!AU111+'Installment card_1000 (indiv)'!AU111+'Debit card (indiv)'!AU73</f>
        <v>-761.26542877505926</v>
      </c>
      <c r="AV55" s="3">
        <f>'Micro_30 (indiv)'!AV51+'Installment card_150 (indiv)'!AV111+'Installment card_1000 (indiv)'!AV111+'Debit card (indiv)'!AV73</f>
        <v>-785.78082772999721</v>
      </c>
      <c r="AW55" s="3">
        <f>'Micro_30 (indiv)'!AW51+'Installment card_150 (indiv)'!AW111+'Installment card_1000 (indiv)'!AW111+'Debit card (indiv)'!AW73</f>
        <v>-811.13945396857343</v>
      </c>
      <c r="AX55" s="3">
        <f>'Micro_30 (indiv)'!AX51+'Installment card_150 (indiv)'!AX111+'Installment card_1000 (indiv)'!AX111+'Debit card (indiv)'!AX73</f>
        <v>-837.29735072422693</v>
      </c>
      <c r="AY55" s="3">
        <f>'Micro_30 (indiv)'!AY51+'Installment card_150 (indiv)'!AY111+'Installment card_1000 (indiv)'!AY111+'Debit card (indiv)'!AY73</f>
        <v>-864.21033150150413</v>
      </c>
      <c r="AZ55" s="3">
        <f>'Micro_30 (indiv)'!AZ51+'Installment card_150 (indiv)'!AZ111+'Installment card_1000 (indiv)'!AZ111+'Debit card (indiv)'!AZ73</f>
        <v>-891.83407360660112</v>
      </c>
      <c r="BA55" s="3">
        <f>'Micro_30 (indiv)'!BA51+'Installment card_150 (indiv)'!BA111+'Installment card_1000 (indiv)'!BA111+'Debit card (indiv)'!BA73</f>
        <v>-920.12420995426271</v>
      </c>
      <c r="BB55" s="3">
        <f>'Micro_30 (indiv)'!BB51+'Installment card_150 (indiv)'!BB111+'Installment card_1000 (indiv)'!BB111+'Debit card (indiv)'!BB73</f>
        <v>-944.79878903406404</v>
      </c>
      <c r="BC55" s="397">
        <f>SUM(AQ55:BB55)</f>
        <v>-9676.4746410973294</v>
      </c>
      <c r="BD55" s="3">
        <f>'Micro_30 (indiv)'!BD51+'Installment card_150 (indiv)'!BD111+'Installment card_1000 (indiv)'!BD111+'Debit card (indiv)'!BD73</f>
        <v>-793.11055745282783</v>
      </c>
      <c r="BE55" s="3">
        <f>'Micro_30 (indiv)'!BE51+'Installment card_150 (indiv)'!BE111+'Installment card_1000 (indiv)'!BE111+'Debit card (indiv)'!BE73</f>
        <v>-739.92649252951469</v>
      </c>
      <c r="BF55" s="3">
        <f>'Micro_30 (indiv)'!BF51+'Installment card_150 (indiv)'!BF111+'Installment card_1000 (indiv)'!BF111+'Debit card (indiv)'!BF73</f>
        <v>-752.42592721027506</v>
      </c>
      <c r="BG55" s="3">
        <f>'Micro_30 (indiv)'!BG51+'Installment card_150 (indiv)'!BG111+'Installment card_1000 (indiv)'!BG111+'Debit card (indiv)'!BG73</f>
        <v>-765.78281632099811</v>
      </c>
      <c r="BH55" s="3">
        <f>'Micro_30 (indiv)'!BH51+'Installment card_150 (indiv)'!BH111+'Installment card_1000 (indiv)'!BH111+'Debit card (indiv)'!BH73</f>
        <v>-779.96088519667148</v>
      </c>
      <c r="BI55" s="3">
        <f>'Micro_30 (indiv)'!BI51+'Installment card_150 (indiv)'!BI111+'Installment card_1000 (indiv)'!BI111+'Debit card (indiv)'!BI73</f>
        <v>-794.92359624881863</v>
      </c>
      <c r="BJ55" s="3">
        <f>'Micro_30 (indiv)'!BJ51+'Installment card_150 (indiv)'!BJ111+'Installment card_1000 (indiv)'!BJ111+'Debit card (indiv)'!BJ73</f>
        <v>-810.63422918562253</v>
      </c>
      <c r="BK55" s="3">
        <f>'Micro_30 (indiv)'!BK51+'Installment card_150 (indiv)'!BK111+'Installment card_1000 (indiv)'!BK111+'Debit card (indiv)'!BK73</f>
        <v>-827.05595954318596</v>
      </c>
      <c r="BL55" s="3">
        <f>'Micro_30 (indiv)'!BL51+'Installment card_150 (indiv)'!BL111+'Installment card_1000 (indiv)'!BL111+'Debit card (indiv)'!BL73</f>
        <v>-844.15193533713853</v>
      </c>
      <c r="BM55" s="3">
        <f>'Micro_30 (indiv)'!BM51+'Installment card_150 (indiv)'!BM111+'Installment card_1000 (indiv)'!BM111+'Debit card (indiv)'!BM73</f>
        <v>-861.88535165551082</v>
      </c>
      <c r="BN55" s="3">
        <f>'Micro_30 (indiv)'!BN51+'Installment card_150 (indiv)'!BN111+'Installment card_1000 (indiv)'!BN111+'Debit card (indiv)'!BN73</f>
        <v>-880.21952302588932</v>
      </c>
      <c r="BO55" s="3">
        <f>'Micro_30 (indiv)'!BO51+'Installment card_150 (indiv)'!BO111+'Installment card_1000 (indiv)'!BO111+'Debit card (indiv)'!BO73</f>
        <v>-894.75657128621185</v>
      </c>
      <c r="BP55" s="397">
        <f>SUM(BD55:BO55)</f>
        <v>-9744.833844992665</v>
      </c>
      <c r="BR55" s="60">
        <f t="shared" si="71"/>
        <v>0</v>
      </c>
      <c r="BS55" s="60">
        <f t="shared" si="72"/>
        <v>0</v>
      </c>
      <c r="BT55" s="60">
        <f t="shared" si="73"/>
        <v>-187.55751202373887</v>
      </c>
      <c r="BU55" s="60">
        <f t="shared" si="74"/>
        <v>-493.4011733874994</v>
      </c>
      <c r="BV55" s="60">
        <f t="shared" si="75"/>
        <v>-2313.1711320243148</v>
      </c>
      <c r="BW55" s="60">
        <f t="shared" si="76"/>
        <v>-5336.586974425466</v>
      </c>
      <c r="BX55" s="60">
        <f t="shared" si="77"/>
        <v>-6431.9750243051622</v>
      </c>
      <c r="BY55" s="60">
        <f t="shared" si="78"/>
        <v>-9242.5033757866422</v>
      </c>
      <c r="BZ55" s="60">
        <f t="shared" si="79"/>
        <v>-8814.1408646161926</v>
      </c>
      <c r="CA55" s="60">
        <f t="shared" si="80"/>
        <v>-10538.808417578464</v>
      </c>
      <c r="CB55" s="60">
        <f t="shared" si="81"/>
        <v>-9252.26054991821</v>
      </c>
      <c r="CC55" s="60">
        <f t="shared" si="82"/>
        <v>-10237.407140067118</v>
      </c>
      <c r="CE55" s="617" t="s">
        <v>864</v>
      </c>
      <c r="CF55" s="12" t="s">
        <v>965</v>
      </c>
    </row>
    <row r="56" spans="1:84" s="3" customFormat="1">
      <c r="A56" s="398"/>
      <c r="B56" s="12"/>
      <c r="C56" s="12"/>
      <c r="P56" s="397"/>
      <c r="AC56" s="397"/>
      <c r="AP56" s="397"/>
      <c r="BC56" s="397"/>
      <c r="BP56" s="397"/>
      <c r="CE56" s="398"/>
      <c r="CF56" s="12"/>
    </row>
    <row r="57" spans="1:84" s="384" customFormat="1" ht="15.6">
      <c r="A57" s="396" t="s">
        <v>569</v>
      </c>
      <c r="B57" s="12" t="s">
        <v>502</v>
      </c>
      <c r="C57" s="386"/>
      <c r="J57" s="384">
        <f t="shared" ref="J57:O57" si="83">SUM(J58:J61)</f>
        <v>-8.2769943344077852</v>
      </c>
      <c r="K57" s="384">
        <f t="shared" si="83"/>
        <v>-17.389884110365873</v>
      </c>
      <c r="L57" s="384">
        <f t="shared" si="83"/>
        <v>-25.505704059273086</v>
      </c>
      <c r="M57" s="384">
        <f t="shared" si="83"/>
        <v>-34.026248543722225</v>
      </c>
      <c r="N57" s="384">
        <f t="shared" si="83"/>
        <v>-42.557553825835228</v>
      </c>
      <c r="O57" s="384">
        <f t="shared" si="83"/>
        <v>-51.276663929280559</v>
      </c>
      <c r="P57" s="385">
        <f>SUM(D57:O57)</f>
        <v>-179.03304880288476</v>
      </c>
      <c r="Q57" s="384">
        <f t="shared" ref="Q57:AB57" si="84">SUM(Q58:Q61)</f>
        <v>-34.693985808903861</v>
      </c>
      <c r="R57" s="384">
        <f t="shared" si="84"/>
        <v>-41.352602625268624</v>
      </c>
      <c r="S57" s="384">
        <f t="shared" si="84"/>
        <v>-50.197971178618445</v>
      </c>
      <c r="T57" s="384">
        <f t="shared" si="84"/>
        <v>-58.577642402237856</v>
      </c>
      <c r="U57" s="384">
        <f t="shared" si="84"/>
        <v>-67.835306987598983</v>
      </c>
      <c r="V57" s="384">
        <f t="shared" si="84"/>
        <v>-76.805206607401729</v>
      </c>
      <c r="W57" s="384">
        <f t="shared" si="84"/>
        <v>-84.715146932555683</v>
      </c>
      <c r="X57" s="384">
        <f t="shared" si="84"/>
        <v>-92.508463049743909</v>
      </c>
      <c r="Y57" s="384">
        <f t="shared" si="84"/>
        <v>-100.06161429516189</v>
      </c>
      <c r="Z57" s="384">
        <f t="shared" si="84"/>
        <v>-108.77434873543234</v>
      </c>
      <c r="AA57" s="384">
        <f t="shared" si="84"/>
        <v>-116.67572522113321</v>
      </c>
      <c r="AB57" s="384">
        <f t="shared" si="84"/>
        <v>-125.50652425785773</v>
      </c>
      <c r="AC57" s="385">
        <f>SUM(Q57:AB57)</f>
        <v>-957.7045381019143</v>
      </c>
      <c r="AD57" s="384">
        <f t="shared" ref="AD57:AO57" si="85">SUM(AD58:AD61)</f>
        <v>-49.571212666389613</v>
      </c>
      <c r="AE57" s="384">
        <f t="shared" si="85"/>
        <v>-45.076330749476931</v>
      </c>
      <c r="AF57" s="384">
        <f t="shared" si="85"/>
        <v>-48.356199915746366</v>
      </c>
      <c r="AG57" s="384">
        <f t="shared" si="85"/>
        <v>-51.028857757979139</v>
      </c>
      <c r="AH57" s="384">
        <f t="shared" si="85"/>
        <v>-54.205677838283336</v>
      </c>
      <c r="AI57" s="384">
        <f t="shared" si="85"/>
        <v>-57.071239803827048</v>
      </c>
      <c r="AJ57" s="384">
        <f t="shared" si="85"/>
        <v>-60.47851653687551</v>
      </c>
      <c r="AK57" s="384">
        <f t="shared" si="85"/>
        <v>-63.761872987697146</v>
      </c>
      <c r="AL57" s="384">
        <f t="shared" si="85"/>
        <v>-66.878380241211062</v>
      </c>
      <c r="AM57" s="384">
        <f t="shared" si="85"/>
        <v>-70.598175173287558</v>
      </c>
      <c r="AN57" s="384">
        <f t="shared" si="85"/>
        <v>-73.855800129643526</v>
      </c>
      <c r="AO57" s="384">
        <f t="shared" si="85"/>
        <v>-77.572088167670501</v>
      </c>
      <c r="AP57" s="385">
        <f>SUM(AD57:AO57)</f>
        <v>-718.45435196808774</v>
      </c>
      <c r="AQ57" s="384">
        <f t="shared" ref="AQ57:BB57" si="86">SUM(AQ58:AQ61)</f>
        <v>31.646425292177483</v>
      </c>
      <c r="AR57" s="384">
        <f t="shared" si="86"/>
        <v>47.629971087028338</v>
      </c>
      <c r="AS57" s="384">
        <f t="shared" si="86"/>
        <v>51.308456718892806</v>
      </c>
      <c r="AT57" s="384">
        <f t="shared" si="86"/>
        <v>51.899680816767969</v>
      </c>
      <c r="AU57" s="384">
        <f t="shared" si="86"/>
        <v>54.203612772281176</v>
      </c>
      <c r="AV57" s="384">
        <f t="shared" si="86"/>
        <v>54.882439096072069</v>
      </c>
      <c r="AW57" s="384">
        <f t="shared" si="86"/>
        <v>57.362827244178206</v>
      </c>
      <c r="AX57" s="384">
        <f t="shared" si="86"/>
        <v>59.034192332885155</v>
      </c>
      <c r="AY57" s="384">
        <f t="shared" si="86"/>
        <v>59.815144160109057</v>
      </c>
      <c r="AZ57" s="384">
        <f t="shared" si="86"/>
        <v>62.545648455102224</v>
      </c>
      <c r="BA57" s="384">
        <f t="shared" si="86"/>
        <v>63.375385732914395</v>
      </c>
      <c r="BB57" s="384">
        <f t="shared" si="86"/>
        <v>66.157393505471788</v>
      </c>
      <c r="BC57" s="385">
        <f>SUM(AQ57:BB57)</f>
        <v>659.86117721388064</v>
      </c>
      <c r="BD57" s="384">
        <f t="shared" ref="BD57:BO57" si="87">SUM(BD58:BD61)</f>
        <v>167.55763505576201</v>
      </c>
      <c r="BE57" s="384">
        <f t="shared" si="87"/>
        <v>184.1466186379302</v>
      </c>
      <c r="BF57" s="384">
        <f t="shared" si="87"/>
        <v>193.2126520113502</v>
      </c>
      <c r="BG57" s="384">
        <f t="shared" si="87"/>
        <v>193.78491419702792</v>
      </c>
      <c r="BH57" s="384">
        <f t="shared" si="87"/>
        <v>199.03520655829541</v>
      </c>
      <c r="BI57" s="384">
        <f t="shared" si="87"/>
        <v>199.97756468571896</v>
      </c>
      <c r="BJ57" s="384">
        <f t="shared" si="87"/>
        <v>205.72057565422517</v>
      </c>
      <c r="BK57" s="384">
        <f t="shared" si="87"/>
        <v>209.36426077950387</v>
      </c>
      <c r="BL57" s="384">
        <f t="shared" si="87"/>
        <v>210.77631629852792</v>
      </c>
      <c r="BM57" s="384">
        <f t="shared" si="87"/>
        <v>217.20802958432665</v>
      </c>
      <c r="BN57" s="384">
        <f t="shared" si="87"/>
        <v>218.87689654737943</v>
      </c>
      <c r="BO57" s="384">
        <f t="shared" si="87"/>
        <v>225.36440604501848</v>
      </c>
      <c r="BP57" s="385">
        <f>SUM(BD57:BO57)</f>
        <v>2425.0250760550657</v>
      </c>
      <c r="CE57" s="396" t="s">
        <v>985</v>
      </c>
      <c r="CF57" s="12" t="s">
        <v>965</v>
      </c>
    </row>
    <row r="58" spans="1:84" s="5" customFormat="1" outlineLevel="1">
      <c r="A58" s="342" t="s">
        <v>641</v>
      </c>
      <c r="B58" s="12" t="s">
        <v>502</v>
      </c>
      <c r="C58" s="12"/>
      <c r="J58" s="5">
        <f t="shared" ref="J58:O58" si="88">J46/J25*J26</f>
        <v>-7.6117899986363788</v>
      </c>
      <c r="K58" s="5">
        <f t="shared" si="88"/>
        <v>-15.368489120664485</v>
      </c>
      <c r="L58" s="5">
        <f t="shared" si="88"/>
        <v>-22.342034770704156</v>
      </c>
      <c r="M58" s="5">
        <f t="shared" si="88"/>
        <v>-29.484941997993054</v>
      </c>
      <c r="N58" s="5">
        <f t="shared" si="88"/>
        <v>-36.900956724843105</v>
      </c>
      <c r="O58" s="5">
        <f t="shared" si="88"/>
        <v>-44.119580694309761</v>
      </c>
      <c r="P58" s="383">
        <f>SUM(D58:O58)</f>
        <v>-155.82779330715096</v>
      </c>
      <c r="Q58" s="5">
        <f t="shared" ref="Q58:AB58" si="89">Q46/Q25*Q26</f>
        <v>-26.702957711737113</v>
      </c>
      <c r="R58" s="5">
        <f t="shared" si="89"/>
        <v>-32.189414593520468</v>
      </c>
      <c r="S58" s="5">
        <f t="shared" si="89"/>
        <v>-37.821820960405446</v>
      </c>
      <c r="T58" s="5">
        <f t="shared" si="89"/>
        <v>-44.359076377805465</v>
      </c>
      <c r="U58" s="5">
        <f t="shared" si="89"/>
        <v>-50.739103962832054</v>
      </c>
      <c r="V58" s="5">
        <f t="shared" si="89"/>
        <v>-57.850205220432699</v>
      </c>
      <c r="W58" s="5">
        <f t="shared" si="89"/>
        <v>-63.086935362244212</v>
      </c>
      <c r="X58" s="5">
        <f t="shared" si="89"/>
        <v>-68.779409943918154</v>
      </c>
      <c r="Y58" s="5">
        <f t="shared" si="89"/>
        <v>-75.00827613394965</v>
      </c>
      <c r="Z58" s="5">
        <f t="shared" si="89"/>
        <v>-80.669495696322329</v>
      </c>
      <c r="AA58" s="5">
        <f t="shared" si="89"/>
        <v>-87.279312947060234</v>
      </c>
      <c r="AB58" s="5">
        <f t="shared" si="89"/>
        <v>-92.851064936651113</v>
      </c>
      <c r="AC58" s="383">
        <f>SUM(Q58:AB58)</f>
        <v>-717.33707384687898</v>
      </c>
      <c r="AD58" s="5">
        <f t="shared" ref="AD58:AO58" si="90">AD46/AD25*AD26</f>
        <v>-17.024475809350957</v>
      </c>
      <c r="AE58" s="5">
        <f t="shared" si="90"/>
        <v>-13.852112578945457</v>
      </c>
      <c r="AF58" s="5">
        <f t="shared" si="90"/>
        <v>-11.668697693255877</v>
      </c>
      <c r="AG58" s="5">
        <f t="shared" si="90"/>
        <v>-13.386854652277284</v>
      </c>
      <c r="AH58" s="5">
        <f t="shared" si="90"/>
        <v>-13.011870029280235</v>
      </c>
      <c r="AI58" s="5">
        <f t="shared" si="90"/>
        <v>-14.90180230360138</v>
      </c>
      <c r="AJ58" s="5">
        <f t="shared" si="90"/>
        <v>-14.441638750094929</v>
      </c>
      <c r="AK58" s="5">
        <f t="shared" si="90"/>
        <v>-15.186435384874352</v>
      </c>
      <c r="AL58" s="5">
        <f t="shared" si="90"/>
        <v>-17.342604993926706</v>
      </c>
      <c r="AM58" s="5">
        <f t="shared" si="90"/>
        <v>-16.730547337727181</v>
      </c>
      <c r="AN58" s="5">
        <f t="shared" si="90"/>
        <v>-19.068502343274606</v>
      </c>
      <c r="AO58" s="5">
        <f t="shared" si="90"/>
        <v>-18.224565948264292</v>
      </c>
      <c r="AP58" s="383">
        <f>SUM(AD58:AO58)</f>
        <v>-184.84010782487329</v>
      </c>
      <c r="AQ58" s="5">
        <f t="shared" ref="AQ58:BB58" si="91">AQ46/AQ25*AQ26</f>
        <v>88.824143552626637</v>
      </c>
      <c r="AR58" s="5">
        <f t="shared" si="91"/>
        <v>100.5941658910387</v>
      </c>
      <c r="AS58" s="5">
        <f t="shared" si="91"/>
        <v>111.49694118466287</v>
      </c>
      <c r="AT58" s="5">
        <f t="shared" si="91"/>
        <v>111.72845074608091</v>
      </c>
      <c r="AU58" s="5">
        <f t="shared" si="91"/>
        <v>117.74289387811346</v>
      </c>
      <c r="AV58" s="5">
        <f t="shared" si="91"/>
        <v>118.10860476790981</v>
      </c>
      <c r="AW58" s="5">
        <f t="shared" si="91"/>
        <v>124.56567738354605</v>
      </c>
      <c r="AX58" s="5">
        <f t="shared" si="91"/>
        <v>128.17739013059557</v>
      </c>
      <c r="AY58" s="5">
        <f t="shared" si="91"/>
        <v>128.67114182145545</v>
      </c>
      <c r="AZ58" s="5">
        <f t="shared" si="91"/>
        <v>135.76892606461126</v>
      </c>
      <c r="BA58" s="5">
        <f t="shared" si="91"/>
        <v>136.30040346192771</v>
      </c>
      <c r="BB58" s="5">
        <f t="shared" si="91"/>
        <v>143.62321135448997</v>
      </c>
      <c r="BC58" s="383">
        <f>SUM(AQ58:BB58)</f>
        <v>1445.6019502370586</v>
      </c>
      <c r="BD58" s="5">
        <f t="shared" ref="BD58:BO58" si="92">BD46/BD25*BD26</f>
        <v>240.50742975347089</v>
      </c>
      <c r="BE58" s="5">
        <f t="shared" si="92"/>
        <v>250.81348939909569</v>
      </c>
      <c r="BF58" s="5">
        <f t="shared" si="92"/>
        <v>267.97745107941768</v>
      </c>
      <c r="BG58" s="5">
        <f t="shared" si="92"/>
        <v>267.15091405761052</v>
      </c>
      <c r="BH58" s="5">
        <f t="shared" si="92"/>
        <v>275.98169712326245</v>
      </c>
      <c r="BI58" s="5">
        <f t="shared" si="92"/>
        <v>275.62224145962858</v>
      </c>
      <c r="BJ58" s="5">
        <f t="shared" si="92"/>
        <v>285.18759474076813</v>
      </c>
      <c r="BK58" s="5">
        <f t="shared" si="92"/>
        <v>290.2097432417637</v>
      </c>
      <c r="BL58" s="5">
        <f t="shared" si="92"/>
        <v>290.41951295667172</v>
      </c>
      <c r="BM58" s="5">
        <f t="shared" si="92"/>
        <v>301.0289136637511</v>
      </c>
      <c r="BN58" s="5">
        <f t="shared" si="92"/>
        <v>301.53233954904942</v>
      </c>
      <c r="BO58" s="5">
        <f t="shared" si="92"/>
        <v>312.34267271900978</v>
      </c>
      <c r="BP58" s="383">
        <f>SUM(BD58:BO58)</f>
        <v>3358.7739997435001</v>
      </c>
      <c r="CE58" s="342" t="s">
        <v>977</v>
      </c>
      <c r="CF58" s="12" t="s">
        <v>965</v>
      </c>
    </row>
    <row r="59" spans="1:84" s="5" customFormat="1" outlineLevel="1">
      <c r="A59" s="342" t="s">
        <v>640</v>
      </c>
      <c r="B59" s="12" t="s">
        <v>502</v>
      </c>
      <c r="C59" s="12"/>
      <c r="J59" s="5">
        <f t="shared" ref="J59:O59" si="93">J47/J25*J26</f>
        <v>-0.6652043357714067</v>
      </c>
      <c r="K59" s="5">
        <f t="shared" si="93"/>
        <v>-2.0213949897013883</v>
      </c>
      <c r="L59" s="5">
        <f t="shared" si="93"/>
        <v>-3.1636692885689301</v>
      </c>
      <c r="M59" s="5">
        <f t="shared" si="93"/>
        <v>-4.541306545729169</v>
      </c>
      <c r="N59" s="5">
        <f t="shared" si="93"/>
        <v>-5.6565971009921228</v>
      </c>
      <c r="O59" s="5">
        <f t="shared" si="93"/>
        <v>-7.1570832349708011</v>
      </c>
      <c r="P59" s="383">
        <f>SUM(D59:O59)</f>
        <v>-23.20525549573382</v>
      </c>
      <c r="Q59" s="5">
        <f t="shared" ref="Q59:AB59" si="94">Q47/Q25*Q26</f>
        <v>-7.9910280971667502</v>
      </c>
      <c r="R59" s="5">
        <f t="shared" si="94"/>
        <v>-9.163188031748156</v>
      </c>
      <c r="S59" s="5">
        <f t="shared" si="94"/>
        <v>-12.376150218213001</v>
      </c>
      <c r="T59" s="5">
        <f t="shared" si="94"/>
        <v>-14.218566024432395</v>
      </c>
      <c r="U59" s="5">
        <f t="shared" si="94"/>
        <v>-17.096203024766922</v>
      </c>
      <c r="V59" s="5">
        <f t="shared" si="94"/>
        <v>-18.95500138696903</v>
      </c>
      <c r="W59" s="5">
        <f t="shared" si="94"/>
        <v>-21.628211570311468</v>
      </c>
      <c r="X59" s="5">
        <f t="shared" si="94"/>
        <v>-23.729053105825756</v>
      </c>
      <c r="Y59" s="5">
        <f t="shared" si="94"/>
        <v>-25.053338161212245</v>
      </c>
      <c r="Z59" s="5">
        <f t="shared" si="94"/>
        <v>-28.104853039110012</v>
      </c>
      <c r="AA59" s="5">
        <f t="shared" si="94"/>
        <v>-29.396412274072979</v>
      </c>
      <c r="AB59" s="5">
        <f t="shared" si="94"/>
        <v>-32.655459321206628</v>
      </c>
      <c r="AC59" s="383">
        <f>SUM(Q59:AB59)</f>
        <v>-240.36746425503534</v>
      </c>
      <c r="AD59" s="5">
        <f t="shared" ref="AD59:AO59" si="95">AD47/AD25*AD26</f>
        <v>-32.54673685703866</v>
      </c>
      <c r="AE59" s="5">
        <f t="shared" si="95"/>
        <v>-31.224218170531476</v>
      </c>
      <c r="AF59" s="5">
        <f t="shared" si="95"/>
        <v>-36.687502222490487</v>
      </c>
      <c r="AG59" s="5">
        <f t="shared" si="95"/>
        <v>-37.642003105701853</v>
      </c>
      <c r="AH59" s="5">
        <f t="shared" si="95"/>
        <v>-41.193807809003097</v>
      </c>
      <c r="AI59" s="5">
        <f t="shared" si="95"/>
        <v>-42.169437500225669</v>
      </c>
      <c r="AJ59" s="5">
        <f t="shared" si="95"/>
        <v>-46.036877786780579</v>
      </c>
      <c r="AK59" s="5">
        <f t="shared" si="95"/>
        <v>-48.575437602822795</v>
      </c>
      <c r="AL59" s="5">
        <f t="shared" si="95"/>
        <v>-49.535775247284349</v>
      </c>
      <c r="AM59" s="5">
        <f t="shared" si="95"/>
        <v>-53.867627835560377</v>
      </c>
      <c r="AN59" s="5">
        <f t="shared" si="95"/>
        <v>-54.787297786368924</v>
      </c>
      <c r="AO59" s="5">
        <f t="shared" si="95"/>
        <v>-59.347522219406216</v>
      </c>
      <c r="AP59" s="383">
        <f>SUM(AD59:AO59)</f>
        <v>-533.61424414321448</v>
      </c>
      <c r="AQ59" s="5">
        <f t="shared" ref="AQ59:BB59" si="96">AQ47/AQ25*AQ26</f>
        <v>-57.177718260449154</v>
      </c>
      <c r="AR59" s="5">
        <f t="shared" si="96"/>
        <v>-52.964194804010361</v>
      </c>
      <c r="AS59" s="5">
        <f t="shared" si="96"/>
        <v>-60.188484465770067</v>
      </c>
      <c r="AT59" s="5">
        <f t="shared" si="96"/>
        <v>-59.828769929312941</v>
      </c>
      <c r="AU59" s="5">
        <f t="shared" si="96"/>
        <v>-63.539281105832288</v>
      </c>
      <c r="AV59" s="5">
        <f t="shared" si="96"/>
        <v>-63.226165671837741</v>
      </c>
      <c r="AW59" s="5">
        <f t="shared" si="96"/>
        <v>-67.20285013936784</v>
      </c>
      <c r="AX59" s="5">
        <f t="shared" si="96"/>
        <v>-69.143197797710414</v>
      </c>
      <c r="AY59" s="5">
        <f t="shared" si="96"/>
        <v>-68.855997661346393</v>
      </c>
      <c r="AZ59" s="5">
        <f t="shared" si="96"/>
        <v>-73.22327760950904</v>
      </c>
      <c r="BA59" s="5">
        <f t="shared" si="96"/>
        <v>-72.925017729013319</v>
      </c>
      <c r="BB59" s="5">
        <f t="shared" si="96"/>
        <v>-77.46581784901818</v>
      </c>
      <c r="BC59" s="383">
        <f>SUM(AQ59:BB59)</f>
        <v>-785.74077302317778</v>
      </c>
      <c r="BD59" s="5">
        <f t="shared" ref="BD59:BO59" si="97">BD47/BD25*BD26</f>
        <v>-72.949794697708882</v>
      </c>
      <c r="BE59" s="5">
        <f t="shared" si="97"/>
        <v>-66.666870761165484</v>
      </c>
      <c r="BF59" s="5">
        <f t="shared" si="97"/>
        <v>-74.764799068067461</v>
      </c>
      <c r="BG59" s="5">
        <f t="shared" si="97"/>
        <v>-73.365999860582605</v>
      </c>
      <c r="BH59" s="5">
        <f t="shared" si="97"/>
        <v>-76.946490564967036</v>
      </c>
      <c r="BI59" s="5">
        <f t="shared" si="97"/>
        <v>-75.644676773909623</v>
      </c>
      <c r="BJ59" s="5">
        <f t="shared" si="97"/>
        <v>-79.467019086542948</v>
      </c>
      <c r="BK59" s="5">
        <f t="shared" si="97"/>
        <v>-80.845482462259852</v>
      </c>
      <c r="BL59" s="5">
        <f t="shared" si="97"/>
        <v>-79.643196658143808</v>
      </c>
      <c r="BM59" s="5">
        <f t="shared" si="97"/>
        <v>-83.820884079424445</v>
      </c>
      <c r="BN59" s="5">
        <f t="shared" si="97"/>
        <v>-82.65544300166998</v>
      </c>
      <c r="BO59" s="5">
        <f t="shared" si="97"/>
        <v>-86.978266673991286</v>
      </c>
      <c r="BP59" s="383">
        <f>SUM(BD59:BO59)</f>
        <v>-933.74892368843325</v>
      </c>
      <c r="CE59" s="342" t="s">
        <v>978</v>
      </c>
      <c r="CF59" s="12" t="s">
        <v>965</v>
      </c>
    </row>
    <row r="60" spans="1:84" s="5" customFormat="1" outlineLevel="1">
      <c r="A60" s="342" t="s">
        <v>639</v>
      </c>
      <c r="B60" s="12" t="s">
        <v>502</v>
      </c>
      <c r="C60" s="12"/>
      <c r="P60" s="383">
        <f>SUM(D60:O60)</f>
        <v>0</v>
      </c>
      <c r="AC60" s="383">
        <f>SUM(Q60:AB60)</f>
        <v>0</v>
      </c>
      <c r="AP60" s="383">
        <f>SUM(AD60:AO60)</f>
        <v>0</v>
      </c>
      <c r="BC60" s="383">
        <f>SUM(AQ60:BB60)</f>
        <v>0</v>
      </c>
      <c r="BP60" s="383">
        <f>SUM(BD60:BO60)</f>
        <v>0</v>
      </c>
      <c r="CE60" s="342" t="s">
        <v>979</v>
      </c>
      <c r="CF60" s="12" t="s">
        <v>965</v>
      </c>
    </row>
    <row r="61" spans="1:84" s="5" customFormat="1" outlineLevel="1">
      <c r="A61" s="342" t="s">
        <v>638</v>
      </c>
      <c r="B61" s="12" t="s">
        <v>502</v>
      </c>
      <c r="C61" s="12"/>
      <c r="P61" s="383">
        <f>SUM(D61:O61)</f>
        <v>0</v>
      </c>
      <c r="AC61" s="383">
        <f>SUM(Q61:AB61)</f>
        <v>0</v>
      </c>
      <c r="AP61" s="383">
        <f>SUM(AD61:AO61)</f>
        <v>0</v>
      </c>
      <c r="BC61" s="383">
        <f>SUM(AQ61:BB61)</f>
        <v>0</v>
      </c>
      <c r="BP61" s="383">
        <f>SUM(BD61:BO61)</f>
        <v>0</v>
      </c>
      <c r="CE61" s="342" t="s">
        <v>980</v>
      </c>
      <c r="CF61" s="12" t="s">
        <v>965</v>
      </c>
    </row>
    <row r="62" spans="1:84" s="393" customFormat="1">
      <c r="A62" s="395" t="s">
        <v>637</v>
      </c>
      <c r="B62" s="5" t="s">
        <v>130</v>
      </c>
      <c r="P62" s="394">
        <f>P57/AVERAGE(C26:O26)*1000000</f>
        <v>-16412.672194733401</v>
      </c>
      <c r="AC62" s="394">
        <f>AC57/AVERAGE(P26:AB26)*1000000</f>
        <v>-8440.8578660318635</v>
      </c>
      <c r="AP62" s="394">
        <f>AP57/AVERAGE(AC26:AO26)*1000000</f>
        <v>-2669.9301952897663</v>
      </c>
      <c r="BC62" s="394">
        <f>BC57/AVERAGE(AP26:BB26)*1000000</f>
        <v>1542.1414598450808</v>
      </c>
      <c r="BP62" s="394">
        <f>BP57/AVERAGE(BC26:BO26)*1000000</f>
        <v>4376.2436514784158</v>
      </c>
      <c r="CE62" s="395" t="s">
        <v>982</v>
      </c>
      <c r="CF62" s="5" t="s">
        <v>966</v>
      </c>
    </row>
    <row r="63" spans="1:84" s="390" customFormat="1" ht="15.6">
      <c r="A63" s="390" t="s">
        <v>636</v>
      </c>
      <c r="B63" s="12" t="s">
        <v>130</v>
      </c>
      <c r="C63" s="392"/>
      <c r="D63" s="390">
        <f>P63</f>
        <v>1000</v>
      </c>
      <c r="E63" s="390">
        <f t="shared" ref="E63:O63" si="98">D63</f>
        <v>1000</v>
      </c>
      <c r="F63" s="390">
        <f t="shared" si="98"/>
        <v>1000</v>
      </c>
      <c r="G63" s="390">
        <f t="shared" si="98"/>
        <v>1000</v>
      </c>
      <c r="H63" s="390">
        <f t="shared" si="98"/>
        <v>1000</v>
      </c>
      <c r="I63" s="390">
        <f t="shared" si="98"/>
        <v>1000</v>
      </c>
      <c r="J63" s="390">
        <f t="shared" si="98"/>
        <v>1000</v>
      </c>
      <c r="K63" s="390">
        <f t="shared" si="98"/>
        <v>1000</v>
      </c>
      <c r="L63" s="390">
        <f t="shared" si="98"/>
        <v>1000</v>
      </c>
      <c r="M63" s="390">
        <f t="shared" si="98"/>
        <v>1000</v>
      </c>
      <c r="N63" s="390">
        <f t="shared" si="98"/>
        <v>1000</v>
      </c>
      <c r="O63" s="390">
        <f t="shared" si="98"/>
        <v>1000</v>
      </c>
      <c r="P63" s="391">
        <v>1000</v>
      </c>
      <c r="Q63" s="390">
        <f>AC63</f>
        <v>1500</v>
      </c>
      <c r="R63" s="390">
        <f t="shared" ref="R63:AB63" si="99">Q63</f>
        <v>1500</v>
      </c>
      <c r="S63" s="390">
        <f t="shared" si="99"/>
        <v>1500</v>
      </c>
      <c r="T63" s="390">
        <f t="shared" si="99"/>
        <v>1500</v>
      </c>
      <c r="U63" s="390">
        <f t="shared" si="99"/>
        <v>1500</v>
      </c>
      <c r="V63" s="390">
        <f t="shared" si="99"/>
        <v>1500</v>
      </c>
      <c r="W63" s="390">
        <f t="shared" si="99"/>
        <v>1500</v>
      </c>
      <c r="X63" s="390">
        <f t="shared" si="99"/>
        <v>1500</v>
      </c>
      <c r="Y63" s="390">
        <f t="shared" si="99"/>
        <v>1500</v>
      </c>
      <c r="Z63" s="390">
        <f t="shared" si="99"/>
        <v>1500</v>
      </c>
      <c r="AA63" s="390">
        <f t="shared" si="99"/>
        <v>1500</v>
      </c>
      <c r="AB63" s="390">
        <f t="shared" si="99"/>
        <v>1500</v>
      </c>
      <c r="AC63" s="391">
        <f>P63+500</f>
        <v>1500</v>
      </c>
      <c r="AD63" s="390">
        <f>AP63</f>
        <v>2000</v>
      </c>
      <c r="AE63" s="390">
        <f t="shared" ref="AE63:AO63" si="100">AD63</f>
        <v>2000</v>
      </c>
      <c r="AF63" s="390">
        <f t="shared" si="100"/>
        <v>2000</v>
      </c>
      <c r="AG63" s="390">
        <f t="shared" si="100"/>
        <v>2000</v>
      </c>
      <c r="AH63" s="390">
        <f t="shared" si="100"/>
        <v>2000</v>
      </c>
      <c r="AI63" s="390">
        <f t="shared" si="100"/>
        <v>2000</v>
      </c>
      <c r="AJ63" s="390">
        <f t="shared" si="100"/>
        <v>2000</v>
      </c>
      <c r="AK63" s="390">
        <f t="shared" si="100"/>
        <v>2000</v>
      </c>
      <c r="AL63" s="390">
        <f t="shared" si="100"/>
        <v>2000</v>
      </c>
      <c r="AM63" s="390">
        <f t="shared" si="100"/>
        <v>2000</v>
      </c>
      <c r="AN63" s="390">
        <f t="shared" si="100"/>
        <v>2000</v>
      </c>
      <c r="AO63" s="390">
        <f t="shared" si="100"/>
        <v>2000</v>
      </c>
      <c r="AP63" s="391">
        <f>AC63+500</f>
        <v>2000</v>
      </c>
      <c r="AQ63" s="390">
        <f>BC63</f>
        <v>2000</v>
      </c>
      <c r="AR63" s="390">
        <f t="shared" ref="AR63:BD63" si="101">AQ63</f>
        <v>2000</v>
      </c>
      <c r="AS63" s="390">
        <f t="shared" si="101"/>
        <v>2000</v>
      </c>
      <c r="AT63" s="390">
        <f t="shared" si="101"/>
        <v>2000</v>
      </c>
      <c r="AU63" s="390">
        <f t="shared" si="101"/>
        <v>2000</v>
      </c>
      <c r="AV63" s="390">
        <f t="shared" si="101"/>
        <v>2000</v>
      </c>
      <c r="AW63" s="390">
        <f t="shared" si="101"/>
        <v>2000</v>
      </c>
      <c r="AX63" s="390">
        <f t="shared" si="101"/>
        <v>2000</v>
      </c>
      <c r="AY63" s="390">
        <f t="shared" si="101"/>
        <v>2000</v>
      </c>
      <c r="AZ63" s="390">
        <f t="shared" si="101"/>
        <v>2000</v>
      </c>
      <c r="BA63" s="390">
        <f t="shared" si="101"/>
        <v>2000</v>
      </c>
      <c r="BB63" s="390">
        <f t="shared" si="101"/>
        <v>2000</v>
      </c>
      <c r="BC63" s="391">
        <f>AP63</f>
        <v>2000</v>
      </c>
      <c r="BD63" s="390">
        <f t="shared" si="101"/>
        <v>2000</v>
      </c>
      <c r="BE63" s="390">
        <f t="shared" ref="BE63" si="102">BD63</f>
        <v>2000</v>
      </c>
      <c r="BF63" s="390">
        <f t="shared" ref="BF63" si="103">BE63</f>
        <v>2000</v>
      </c>
      <c r="BG63" s="390">
        <f t="shared" ref="BG63" si="104">BF63</f>
        <v>2000</v>
      </c>
      <c r="BH63" s="390">
        <f t="shared" ref="BH63" si="105">BG63</f>
        <v>2000</v>
      </c>
      <c r="BI63" s="390">
        <f t="shared" ref="BI63" si="106">BH63</f>
        <v>2000</v>
      </c>
      <c r="BJ63" s="390">
        <f t="shared" ref="BJ63" si="107">BI63</f>
        <v>2000</v>
      </c>
      <c r="BK63" s="390">
        <f t="shared" ref="BK63" si="108">BJ63</f>
        <v>2000</v>
      </c>
      <c r="BL63" s="390">
        <f t="shared" ref="BL63" si="109">BK63</f>
        <v>2000</v>
      </c>
      <c r="BM63" s="390">
        <f t="shared" ref="BM63" si="110">BL63</f>
        <v>2000</v>
      </c>
      <c r="BN63" s="390">
        <f t="shared" ref="BN63" si="111">BM63</f>
        <v>2000</v>
      </c>
      <c r="BO63" s="390">
        <f t="shared" ref="BO63" si="112">BN63</f>
        <v>2000</v>
      </c>
      <c r="BP63" s="391">
        <f>BC63</f>
        <v>2000</v>
      </c>
      <c r="CE63" s="390" t="s">
        <v>981</v>
      </c>
      <c r="CF63" s="5" t="s">
        <v>966</v>
      </c>
    </row>
    <row r="64" spans="1:84" s="301" customFormat="1" ht="15.6">
      <c r="A64" s="538" t="s">
        <v>643</v>
      </c>
      <c r="B64" s="12" t="s">
        <v>502</v>
      </c>
      <c r="C64" s="380"/>
      <c r="D64" s="301">
        <f>D26*D63/1000000</f>
        <v>0</v>
      </c>
      <c r="E64" s="301">
        <f t="shared" ref="E64:O64" si="113">E26*E63/1000000</f>
        <v>0</v>
      </c>
      <c r="F64" s="301">
        <f t="shared" si="113"/>
        <v>0</v>
      </c>
      <c r="G64" s="301">
        <f t="shared" si="113"/>
        <v>0</v>
      </c>
      <c r="H64" s="301">
        <f t="shared" si="113"/>
        <v>0</v>
      </c>
      <c r="I64" s="301">
        <f t="shared" si="113"/>
        <v>0</v>
      </c>
      <c r="J64" s="301">
        <f t="shared" si="113"/>
        <v>6.8338603177958355</v>
      </c>
      <c r="K64" s="301">
        <f t="shared" si="113"/>
        <v>13.932587319218227</v>
      </c>
      <c r="L64" s="301">
        <f>L26*L63/1000000</f>
        <v>20.299296916929656</v>
      </c>
      <c r="M64" s="301">
        <f t="shared" si="113"/>
        <v>26.861879965782396</v>
      </c>
      <c r="N64" s="301">
        <f t="shared" si="113"/>
        <v>33.61279451547189</v>
      </c>
      <c r="O64" s="301">
        <f t="shared" si="113"/>
        <v>40.266448659651942</v>
      </c>
      <c r="P64" s="389">
        <f t="shared" ref="P64:P70" si="114">SUM(D64:O64)</f>
        <v>141.80686769484993</v>
      </c>
      <c r="Q64" s="301">
        <f t="shared" ref="Q64:AB64" si="115">Q26*Q63/1000000</f>
        <v>77.190506370738248</v>
      </c>
      <c r="R64" s="301">
        <f t="shared" si="115"/>
        <v>94.797359582743113</v>
      </c>
      <c r="S64" s="301">
        <f t="shared" si="115"/>
        <v>113.22855277210036</v>
      </c>
      <c r="T64" s="301">
        <f t="shared" si="115"/>
        <v>132.45947219579051</v>
      </c>
      <c r="U64" s="301">
        <f t="shared" si="115"/>
        <v>152.46448912451521</v>
      </c>
      <c r="V64" s="301">
        <f t="shared" si="115"/>
        <v>173.21701871255289</v>
      </c>
      <c r="W64" s="301">
        <f t="shared" si="115"/>
        <v>189.99368235491846</v>
      </c>
      <c r="X64" s="301">
        <f t="shared" si="115"/>
        <v>207.30823745151196</v>
      </c>
      <c r="Y64" s="301">
        <f t="shared" si="115"/>
        <v>225.13799053269472</v>
      </c>
      <c r="Z64" s="301">
        <f t="shared" si="115"/>
        <v>243.45970226654714</v>
      </c>
      <c r="AA64" s="301">
        <f t="shared" si="115"/>
        <v>262.24963939615606</v>
      </c>
      <c r="AB64" s="301">
        <f t="shared" si="115"/>
        <v>280.57477584810243</v>
      </c>
      <c r="AC64" s="389">
        <f t="shared" ref="AC64:AC70" si="116">SUM(Q64:AB64)</f>
        <v>2152.0814266083707</v>
      </c>
      <c r="AD64" s="301">
        <f t="shared" ref="AD64:AO64" si="117">AD26*AD63/1000000</f>
        <v>398.98100330209792</v>
      </c>
      <c r="AE64" s="301">
        <f t="shared" si="117"/>
        <v>423.43541322159786</v>
      </c>
      <c r="AF64" s="301">
        <f t="shared" si="117"/>
        <v>448.99506813305163</v>
      </c>
      <c r="AG64" s="301">
        <f t="shared" si="117"/>
        <v>475.61948757415627</v>
      </c>
      <c r="AH64" s="301">
        <f t="shared" si="117"/>
        <v>503.26714042205538</v>
      </c>
      <c r="AI64" s="301">
        <f t="shared" si="117"/>
        <v>531.89554213950271</v>
      </c>
      <c r="AJ64" s="301">
        <f t="shared" si="117"/>
        <v>561.46135309173769</v>
      </c>
      <c r="AK64" s="301">
        <f t="shared" si="117"/>
        <v>591.92047762466848</v>
      </c>
      <c r="AL64" s="301">
        <f t="shared" si="117"/>
        <v>623.22816359647163</v>
      </c>
      <c r="AM64" s="301">
        <f t="shared" si="117"/>
        <v>655.33910205743371</v>
      </c>
      <c r="AN64" s="301">
        <f t="shared" si="117"/>
        <v>688.20752677677774</v>
      </c>
      <c r="AO64" s="301">
        <f t="shared" si="117"/>
        <v>719.91763538069358</v>
      </c>
      <c r="AP64" s="389">
        <f t="shared" ref="AP64:AP70" si="118">SUM(AD64:AO64)</f>
        <v>6622.2679133202437</v>
      </c>
      <c r="AQ64" s="301">
        <f t="shared" ref="AQ64:BB64" si="119">AQ26*AQ63/1000000</f>
        <v>742.17927601335396</v>
      </c>
      <c r="AR64" s="301">
        <f t="shared" si="119"/>
        <v>761.54869037127423</v>
      </c>
      <c r="AS64" s="301">
        <f t="shared" si="119"/>
        <v>782.02757908481556</v>
      </c>
      <c r="AT64" s="301">
        <f t="shared" si="119"/>
        <v>803.57382851532884</v>
      </c>
      <c r="AU64" s="301">
        <f t="shared" si="119"/>
        <v>826.14454519904507</v>
      </c>
      <c r="AV64" s="301">
        <f t="shared" si="119"/>
        <v>849.69615684058931</v>
      </c>
      <c r="AW64" s="301">
        <f t="shared" si="119"/>
        <v>874.18451303420557</v>
      </c>
      <c r="AX64" s="301">
        <f t="shared" si="119"/>
        <v>899.56498541583096</v>
      </c>
      <c r="AY64" s="301">
        <f t="shared" si="119"/>
        <v>925.79256695694744</v>
      </c>
      <c r="AZ64" s="301">
        <f t="shared" si="119"/>
        <v>952.8219701199256</v>
      </c>
      <c r="BA64" s="301">
        <f t="shared" si="119"/>
        <v>980.60772360429928</v>
      </c>
      <c r="BB64" s="301">
        <f t="shared" si="119"/>
        <v>1006.9838891593567</v>
      </c>
      <c r="BC64" s="389">
        <f t="shared" ref="BC64:BC70" si="120">SUM(AQ64:BB64)</f>
        <v>10405.125724314974</v>
      </c>
      <c r="BD64" s="301">
        <f t="shared" ref="BD64:BO64" si="121">BD26*BD63/1000000</f>
        <v>1024.5499217013087</v>
      </c>
      <c r="BE64" s="301">
        <f t="shared" si="121"/>
        <v>1037.3588052939156</v>
      </c>
      <c r="BF64" s="301">
        <f t="shared" si="121"/>
        <v>1051.4714503973933</v>
      </c>
      <c r="BG64" s="301">
        <f t="shared" si="121"/>
        <v>1066.8404984481108</v>
      </c>
      <c r="BH64" s="301">
        <f t="shared" si="121"/>
        <v>1083.4179139213895</v>
      </c>
      <c r="BI64" s="301">
        <f t="shared" si="121"/>
        <v>1101.1550976650578</v>
      </c>
      <c r="BJ64" s="301">
        <f t="shared" si="121"/>
        <v>1120.0029987520722</v>
      </c>
      <c r="BK64" s="301">
        <f t="shared" si="121"/>
        <v>1139.9122245544038</v>
      </c>
      <c r="BL64" s="301">
        <f t="shared" si="121"/>
        <v>1160.8331487542207</v>
      </c>
      <c r="BM64" s="301">
        <f t="shared" si="121"/>
        <v>1182.7160170229949</v>
      </c>
      <c r="BN64" s="301">
        <f t="shared" si="121"/>
        <v>1205.5110501144579</v>
      </c>
      <c r="BO64" s="301">
        <f t="shared" si="121"/>
        <v>1226.7290621685088</v>
      </c>
      <c r="BP64" s="389">
        <f t="shared" ref="BP64:BP70" si="122">SUM(BD64:BO64)</f>
        <v>13400.49818879383</v>
      </c>
      <c r="BR64" s="60">
        <f t="shared" ref="BR64" si="123">(D64+E64+F64)/500*1000</f>
        <v>0</v>
      </c>
      <c r="BS64" s="60">
        <f t="shared" ref="BS64" si="124">(G64+H64+I64)/500*1000</f>
        <v>0</v>
      </c>
      <c r="BT64" s="60">
        <f t="shared" ref="BT64" si="125">(J64+K64+L64)/500*1000</f>
        <v>82.131489107887433</v>
      </c>
      <c r="BU64" s="60">
        <f t="shared" ref="BU64" si="126">(M64+N64+O64)/500*1000</f>
        <v>201.48224628181245</v>
      </c>
      <c r="BV64" s="60">
        <f t="shared" ref="BV64" si="127">(SUM(Q64:V64))/500*1000</f>
        <v>1486.7147975168807</v>
      </c>
      <c r="BW64" s="60">
        <f t="shared" ref="BW64" si="128">SUM(W64:AB64)/500*1000</f>
        <v>2817.4480556998615</v>
      </c>
      <c r="BX64" s="60">
        <f t="shared" ref="BX64" si="129">SUM(AD64:AI64)/500*1000</f>
        <v>5564.3873095849231</v>
      </c>
      <c r="BY64" s="60">
        <f t="shared" ref="BY64" si="130">SUM(AJ64:AO64)/500*1000</f>
        <v>7680.1485170555661</v>
      </c>
      <c r="BZ64" s="60">
        <f t="shared" ref="BZ64" si="131">SUM(AQ64:AV64)/500*1000</f>
        <v>9530.3401520488151</v>
      </c>
      <c r="CA64" s="60">
        <f t="shared" ref="CA64" si="132">SUM(AW64:BB64)/500*1000</f>
        <v>11279.911296581133</v>
      </c>
      <c r="CB64" s="60">
        <f t="shared" ref="CB64" si="133">SUM(BD64:BI64)/500*1000</f>
        <v>12729.587374854351</v>
      </c>
      <c r="CC64" s="60">
        <f t="shared" ref="CC64" si="134">SUM(BJ64:BO64)/500*1000</f>
        <v>14071.409002733319</v>
      </c>
      <c r="CE64" s="538" t="s">
        <v>983</v>
      </c>
      <c r="CF64" s="12" t="s">
        <v>965</v>
      </c>
    </row>
    <row r="65" spans="1:84" s="384" customFormat="1" ht="15.6">
      <c r="A65" s="396" t="s">
        <v>568</v>
      </c>
      <c r="B65" s="12" t="s">
        <v>502</v>
      </c>
      <c r="C65" s="386"/>
      <c r="J65" s="384">
        <f t="shared" ref="J65:O65" si="135">SUM(J67:J70)</f>
        <v>0</v>
      </c>
      <c r="K65" s="384">
        <f t="shared" si="135"/>
        <v>0</v>
      </c>
      <c r="L65" s="384">
        <f t="shared" si="135"/>
        <v>-2.4919770481702357</v>
      </c>
      <c r="M65" s="384">
        <f t="shared" si="135"/>
        <v>-4.967190795399393</v>
      </c>
      <c r="N65" s="384">
        <f t="shared" si="135"/>
        <v>-7.4127652678511469</v>
      </c>
      <c r="O65" s="384">
        <f t="shared" si="135"/>
        <v>-9.9857860341551046</v>
      </c>
      <c r="P65" s="385">
        <f t="shared" si="114"/>
        <v>-24.857719145575881</v>
      </c>
      <c r="Q65" s="384">
        <f t="shared" ref="Q65:AB65" si="136">SUM(Q67:Q70)</f>
        <v>-21.953508913048232</v>
      </c>
      <c r="R65" s="384">
        <f t="shared" si="136"/>
        <v>-33.398952944542302</v>
      </c>
      <c r="S65" s="384">
        <f t="shared" si="136"/>
        <v>-48.9446777239799</v>
      </c>
      <c r="T65" s="384">
        <f t="shared" si="136"/>
        <v>-62.211644233214578</v>
      </c>
      <c r="U65" s="384">
        <f t="shared" si="136"/>
        <v>-78.16510911065842</v>
      </c>
      <c r="V65" s="384">
        <f t="shared" si="136"/>
        <v>-91.739419922155903</v>
      </c>
      <c r="W65" s="384">
        <f t="shared" si="136"/>
        <v>-109.12304967673148</v>
      </c>
      <c r="X65" s="384">
        <f t="shared" si="136"/>
        <v>-125.18102289033575</v>
      </c>
      <c r="Y65" s="384">
        <f t="shared" si="136"/>
        <v>-138.94894619045903</v>
      </c>
      <c r="Z65" s="384">
        <f t="shared" si="136"/>
        <v>-158.31031452405401</v>
      </c>
      <c r="AA65" s="384">
        <f t="shared" si="136"/>
        <v>-172.03732993898956</v>
      </c>
      <c r="AB65" s="384">
        <f t="shared" si="136"/>
        <v>-191.67062084502476</v>
      </c>
      <c r="AC65" s="385">
        <f t="shared" si="116"/>
        <v>-1231.6845969131939</v>
      </c>
      <c r="AD65" s="384">
        <f t="shared" ref="AD65:AO65" si="137">SUM(AD67:AD70)</f>
        <v>-163.08699106773051</v>
      </c>
      <c r="AE65" s="384">
        <f t="shared" si="137"/>
        <v>-155.31344114429928</v>
      </c>
      <c r="AF65" s="384">
        <f t="shared" si="137"/>
        <v>-179.25713523469014</v>
      </c>
      <c r="AG65" s="384">
        <f t="shared" si="137"/>
        <v>-186.79904749974438</v>
      </c>
      <c r="AH65" s="384">
        <f t="shared" si="137"/>
        <v>-203.81325272419386</v>
      </c>
      <c r="AI65" s="384">
        <f t="shared" si="137"/>
        <v>-211.26356741352078</v>
      </c>
      <c r="AJ65" s="384">
        <f t="shared" si="137"/>
        <v>-229.29940087238319</v>
      </c>
      <c r="AK65" s="384">
        <f t="shared" si="137"/>
        <v>-242.30593305783614</v>
      </c>
      <c r="AL65" s="384">
        <f t="shared" si="137"/>
        <v>-249.33863308227646</v>
      </c>
      <c r="AM65" s="384">
        <f t="shared" si="137"/>
        <v>-268.67918753243214</v>
      </c>
      <c r="AN65" s="384">
        <f t="shared" si="137"/>
        <v>-275.26281568313357</v>
      </c>
      <c r="AO65" s="384">
        <f t="shared" si="137"/>
        <v>-294.20932601065567</v>
      </c>
      <c r="AP65" s="385">
        <f t="shared" si="118"/>
        <v>-2658.6287313228959</v>
      </c>
      <c r="AQ65" s="384">
        <f t="shared" ref="AQ65:BB65" si="138">SUM(AQ67:AQ70)</f>
        <v>-236.19496833079097</v>
      </c>
      <c r="AR65" s="384">
        <f t="shared" si="138"/>
        <v>-198.20996060935522</v>
      </c>
      <c r="AS65" s="384">
        <f t="shared" si="138"/>
        <v>-222.32723269728879</v>
      </c>
      <c r="AT65" s="384">
        <f t="shared" si="138"/>
        <v>-219.28497844371378</v>
      </c>
      <c r="AU65" s="384">
        <f t="shared" si="138"/>
        <v>-230.30826574147233</v>
      </c>
      <c r="AV65" s="384">
        <f t="shared" si="138"/>
        <v>-227.19018614026794</v>
      </c>
      <c r="AW65" s="384">
        <f t="shared" si="138"/>
        <v>-238.55132817440975</v>
      </c>
      <c r="AX65" s="384">
        <f t="shared" si="138"/>
        <v>-242.70356753293953</v>
      </c>
      <c r="AY65" s="384">
        <f t="shared" si="138"/>
        <v>-239.26000294005212</v>
      </c>
      <c r="AZ65" s="384">
        <f t="shared" si="138"/>
        <v>-250.94090566806321</v>
      </c>
      <c r="BA65" s="384">
        <f t="shared" si="138"/>
        <v>-247.1576800533424</v>
      </c>
      <c r="BB65" s="384">
        <f t="shared" si="138"/>
        <v>-257.93788813560195</v>
      </c>
      <c r="BC65" s="385">
        <f t="shared" si="120"/>
        <v>-2810.066964467298</v>
      </c>
      <c r="BD65" s="384">
        <f t="shared" ref="BD65:BO65" si="139">SUM(BD67:BD70)</f>
        <v>-202.72085548980232</v>
      </c>
      <c r="BE65" s="384">
        <f t="shared" si="139"/>
        <v>-146.26080682229988</v>
      </c>
      <c r="BF65" s="384">
        <f t="shared" si="139"/>
        <v>-165.75225209138512</v>
      </c>
      <c r="BG65" s="384">
        <f t="shared" si="139"/>
        <v>-156.63906180131144</v>
      </c>
      <c r="BH65" s="384">
        <f t="shared" si="139"/>
        <v>-161.7065693237362</v>
      </c>
      <c r="BI65" s="384">
        <f t="shared" si="139"/>
        <v>-152.67333118416383</v>
      </c>
      <c r="BJ65" s="384">
        <f t="shared" si="139"/>
        <v>-157.59617101407076</v>
      </c>
      <c r="BK65" s="384">
        <f t="shared" si="139"/>
        <v>-155.45501485456947</v>
      </c>
      <c r="BL65" s="384">
        <f t="shared" si="139"/>
        <v>-146.34955862271079</v>
      </c>
      <c r="BM65" s="384">
        <f t="shared" si="139"/>
        <v>-150.88616797308759</v>
      </c>
      <c r="BN65" s="384">
        <f t="shared" si="139"/>
        <v>-141.62600830027435</v>
      </c>
      <c r="BO65" s="384">
        <f t="shared" si="139"/>
        <v>-144.87508966199573</v>
      </c>
      <c r="BP65" s="385">
        <f t="shared" si="122"/>
        <v>-1882.5408871394075</v>
      </c>
      <c r="CE65" s="396" t="s">
        <v>1218</v>
      </c>
      <c r="CF65" s="12" t="s">
        <v>965</v>
      </c>
    </row>
    <row r="66" spans="1:84" s="384" customFormat="1" ht="15.6">
      <c r="A66" s="396"/>
      <c r="B66" s="12"/>
      <c r="C66" s="386"/>
      <c r="P66" s="385"/>
      <c r="AC66" s="385"/>
      <c r="AP66" s="385"/>
      <c r="BC66" s="385"/>
      <c r="BO66" s="384">
        <f>BO65/BO27*1000000</f>
        <v>-317.41483566733496</v>
      </c>
      <c r="BP66" s="385"/>
      <c r="CE66" s="396"/>
      <c r="CF66" s="12"/>
    </row>
    <row r="67" spans="1:84" s="5" customFormat="1" outlineLevel="1">
      <c r="A67" s="342" t="s">
        <v>641</v>
      </c>
      <c r="B67" s="12" t="s">
        <v>502</v>
      </c>
      <c r="C67" s="12"/>
      <c r="J67" s="5">
        <f t="shared" ref="J67:O67" si="140">J46/J25*J27</f>
        <v>0</v>
      </c>
      <c r="K67" s="5">
        <f t="shared" si="140"/>
        <v>0</v>
      </c>
      <c r="L67" s="5">
        <f t="shared" si="140"/>
        <v>-1.0882223351843903</v>
      </c>
      <c r="M67" s="5">
        <f t="shared" si="140"/>
        <v>-2.2279838071155678</v>
      </c>
      <c r="N67" s="5">
        <f t="shared" si="140"/>
        <v>-3.4272421846361802</v>
      </c>
      <c r="O67" s="5">
        <f t="shared" si="140"/>
        <v>-4.6082643298439772</v>
      </c>
      <c r="P67" s="383">
        <f t="shared" si="114"/>
        <v>-11.351712656780116</v>
      </c>
      <c r="Q67" s="5">
        <f t="shared" ref="Q67:AB67" si="141">Q46/Q25*Q27</f>
        <v>-5.9374833696007006</v>
      </c>
      <c r="R67" s="5">
        <f t="shared" si="141"/>
        <v>-9.7127904101521771</v>
      </c>
      <c r="S67" s="5">
        <f t="shared" si="141"/>
        <v>-13.555965835452721</v>
      </c>
      <c r="T67" s="5">
        <f t="shared" si="141"/>
        <v>-17.777323619410325</v>
      </c>
      <c r="U67" s="5">
        <f t="shared" si="141"/>
        <v>-21.994813024609151</v>
      </c>
      <c r="V67" s="5">
        <f t="shared" si="141"/>
        <v>-26.580173681985841</v>
      </c>
      <c r="W67" s="5">
        <f t="shared" si="141"/>
        <v>-31.06420269792083</v>
      </c>
      <c r="X67" s="5">
        <f t="shared" si="141"/>
        <v>-35.822215246877619</v>
      </c>
      <c r="Y67" s="5">
        <f t="shared" si="141"/>
        <v>-40.920563737825312</v>
      </c>
      <c r="Z67" s="5">
        <f t="shared" si="141"/>
        <v>-45.755226829809416</v>
      </c>
      <c r="AA67" s="5">
        <f t="shared" si="141"/>
        <v>-51.168930399429343</v>
      </c>
      <c r="AB67" s="5">
        <f t="shared" si="141"/>
        <v>-55.946119292975276</v>
      </c>
      <c r="AC67" s="383">
        <f t="shared" si="116"/>
        <v>-356.23580814604873</v>
      </c>
      <c r="AD67" s="5">
        <f t="shared" ref="AD67:AO67" si="142">AD46/AD25*AD27</f>
        <v>-10.393156569630621</v>
      </c>
      <c r="AE67" s="5">
        <f t="shared" si="142"/>
        <v>-8.6299722387724138</v>
      </c>
      <c r="AF67" s="5">
        <f t="shared" si="142"/>
        <v>-7.4048710874033334</v>
      </c>
      <c r="AG67" s="5">
        <f t="shared" si="142"/>
        <v>-8.6384614640048998</v>
      </c>
      <c r="AH67" s="5">
        <f t="shared" si="142"/>
        <v>-8.5250016149492609</v>
      </c>
      <c r="AI67" s="5">
        <f t="shared" si="142"/>
        <v>-9.899005225795154</v>
      </c>
      <c r="AJ67" s="5">
        <f t="shared" si="142"/>
        <v>-9.7146922709987926</v>
      </c>
      <c r="AK67" s="5">
        <f t="shared" si="142"/>
        <v>-10.333436110852427</v>
      </c>
      <c r="AL67" s="5">
        <f t="shared" si="142"/>
        <v>-11.924637911436122</v>
      </c>
      <c r="AM67" s="5">
        <f t="shared" si="142"/>
        <v>-11.614285454082808</v>
      </c>
      <c r="AN67" s="5">
        <f t="shared" si="142"/>
        <v>-13.35362342504817</v>
      </c>
      <c r="AO67" s="5">
        <f t="shared" si="142"/>
        <v>-12.861514928569699</v>
      </c>
      <c r="AP67" s="383">
        <f t="shared" si="118"/>
        <v>-123.29265830154371</v>
      </c>
      <c r="AQ67" s="5">
        <f t="shared" ref="AQ67:BB67" si="143">AQ46/AQ25*AQ27</f>
        <v>62.326271257851246</v>
      </c>
      <c r="AR67" s="5">
        <f t="shared" si="143"/>
        <v>70.930538207463087</v>
      </c>
      <c r="AS67" s="5">
        <f t="shared" si="143"/>
        <v>78.994227822058235</v>
      </c>
      <c r="AT67" s="5">
        <f t="shared" si="143"/>
        <v>79.526459540176504</v>
      </c>
      <c r="AU67" s="5">
        <f t="shared" si="143"/>
        <v>84.185104728206952</v>
      </c>
      <c r="AV67" s="5">
        <f t="shared" si="143"/>
        <v>84.813944326640893</v>
      </c>
      <c r="AW67" s="5">
        <f t="shared" si="143"/>
        <v>89.825255416434359</v>
      </c>
      <c r="AX67" s="5">
        <f t="shared" si="143"/>
        <v>92.801054688383445</v>
      </c>
      <c r="AY67" s="5">
        <f t="shared" si="143"/>
        <v>93.516895535276561</v>
      </c>
      <c r="AZ67" s="5">
        <f t="shared" si="143"/>
        <v>99.038164447333457</v>
      </c>
      <c r="BA67" s="5">
        <f t="shared" si="143"/>
        <v>99.774368721603366</v>
      </c>
      <c r="BB67" s="5">
        <f t="shared" si="143"/>
        <v>105.47225113877701</v>
      </c>
      <c r="BC67" s="383">
        <f t="shared" si="120"/>
        <v>1041.2045358302053</v>
      </c>
      <c r="BD67" s="5">
        <f t="shared" ref="BD67:BO67" si="144">BD46/BD25*BD27</f>
        <v>175.0327154809778</v>
      </c>
      <c r="BE67" s="5">
        <f t="shared" si="144"/>
        <v>182.92919833071994</v>
      </c>
      <c r="BF67" s="5">
        <f t="shared" si="144"/>
        <v>195.87166004075158</v>
      </c>
      <c r="BG67" s="5">
        <f t="shared" si="144"/>
        <v>195.68882528935313</v>
      </c>
      <c r="BH67" s="5">
        <f t="shared" si="144"/>
        <v>202.58904202885228</v>
      </c>
      <c r="BI67" s="5">
        <f t="shared" si="144"/>
        <v>202.75079134821357</v>
      </c>
      <c r="BJ67" s="5">
        <f t="shared" si="144"/>
        <v>210.22018754558027</v>
      </c>
      <c r="BK67" s="5">
        <f t="shared" si="144"/>
        <v>214.35379978765991</v>
      </c>
      <c r="BL67" s="5">
        <f t="shared" si="144"/>
        <v>214.93040711023144</v>
      </c>
      <c r="BM67" s="5">
        <f t="shared" si="144"/>
        <v>223.20741576001654</v>
      </c>
      <c r="BN67" s="5">
        <f t="shared" si="144"/>
        <v>223.99408366945912</v>
      </c>
      <c r="BO67" s="5">
        <f t="shared" si="144"/>
        <v>232.42303079328369</v>
      </c>
      <c r="BP67" s="383">
        <f t="shared" si="122"/>
        <v>2473.9911571850994</v>
      </c>
      <c r="CE67" s="342" t="s">
        <v>977</v>
      </c>
      <c r="CF67" s="12" t="s">
        <v>965</v>
      </c>
    </row>
    <row r="68" spans="1:84" s="5" customFormat="1" outlineLevel="1">
      <c r="A68" s="342" t="s">
        <v>640</v>
      </c>
      <c r="B68" s="12" t="s">
        <v>502</v>
      </c>
      <c r="C68" s="12"/>
      <c r="J68" s="5">
        <f t="shared" ref="J68:O68" si="145">J47/J25*J27</f>
        <v>0</v>
      </c>
      <c r="K68" s="5">
        <f t="shared" si="145"/>
        <v>0</v>
      </c>
      <c r="L68" s="5">
        <f t="shared" si="145"/>
        <v>-0.15409409287429524</v>
      </c>
      <c r="M68" s="5">
        <f t="shared" si="145"/>
        <v>-0.3431567695714382</v>
      </c>
      <c r="N68" s="5">
        <f t="shared" si="145"/>
        <v>-0.5253665467421117</v>
      </c>
      <c r="O68" s="5">
        <f t="shared" si="145"/>
        <v>-0.74755314666202255</v>
      </c>
      <c r="P68" s="383">
        <f t="shared" si="114"/>
        <v>-1.7701705558498677</v>
      </c>
      <c r="Q68" s="5">
        <f t="shared" ref="Q68:AB68" si="146">Q47/Q25*Q27</f>
        <v>-1.7768292540898818</v>
      </c>
      <c r="R68" s="5">
        <f t="shared" si="146"/>
        <v>-2.7648879597549398</v>
      </c>
      <c r="S68" s="5">
        <f t="shared" si="146"/>
        <v>-4.4358168187660869</v>
      </c>
      <c r="T68" s="5">
        <f t="shared" si="146"/>
        <v>-5.6982261638512535</v>
      </c>
      <c r="U68" s="5">
        <f t="shared" si="146"/>
        <v>-7.4110057054999956</v>
      </c>
      <c r="V68" s="5">
        <f t="shared" si="146"/>
        <v>-8.7091692603013886</v>
      </c>
      <c r="W68" s="5">
        <f t="shared" si="146"/>
        <v>-10.649798478176887</v>
      </c>
      <c r="X68" s="5">
        <f t="shared" si="146"/>
        <v>-12.358745860928167</v>
      </c>
      <c r="Y68" s="5">
        <f t="shared" si="146"/>
        <v>-13.667781395754014</v>
      </c>
      <c r="Z68" s="5">
        <f t="shared" si="146"/>
        <v>-15.940894568918972</v>
      </c>
      <c r="AA68" s="5">
        <f t="shared" si="146"/>
        <v>-17.23412940426492</v>
      </c>
      <c r="AB68" s="5">
        <f t="shared" si="146"/>
        <v>-19.676093365192809</v>
      </c>
      <c r="AC68" s="383">
        <f t="shared" si="116"/>
        <v>-120.32337823549933</v>
      </c>
      <c r="AD68" s="5">
        <f t="shared" ref="AD68:AO68" si="147">AD47/AD25*AD27</f>
        <v>-19.869236255719194</v>
      </c>
      <c r="AE68" s="5">
        <f t="shared" si="147"/>
        <v>-19.45292708627219</v>
      </c>
      <c r="AF68" s="5">
        <f t="shared" si="147"/>
        <v>-23.281623332600304</v>
      </c>
      <c r="AG68" s="5">
        <f t="shared" si="147"/>
        <v>-24.290171343665303</v>
      </c>
      <c r="AH68" s="5">
        <f t="shared" si="147"/>
        <v>-26.988993688640971</v>
      </c>
      <c r="AI68" s="5">
        <f t="shared" si="147"/>
        <v>-28.012415792329541</v>
      </c>
      <c r="AJ68" s="5">
        <f t="shared" si="147"/>
        <v>-30.968376134821508</v>
      </c>
      <c r="AK68" s="5">
        <f t="shared" si="147"/>
        <v>-33.05260044930688</v>
      </c>
      <c r="AL68" s="5">
        <f t="shared" si="147"/>
        <v>-34.060406939615177</v>
      </c>
      <c r="AM68" s="5">
        <f t="shared" si="147"/>
        <v>-37.394712425558126</v>
      </c>
      <c r="AN68" s="5">
        <f t="shared" si="147"/>
        <v>-38.367404526301549</v>
      </c>
      <c r="AO68" s="5">
        <f t="shared" si="147"/>
        <v>-41.882975164695843</v>
      </c>
      <c r="AP68" s="383">
        <f t="shared" si="118"/>
        <v>-357.62184313952656</v>
      </c>
      <c r="AQ68" s="5">
        <f t="shared" ref="AQ68:BB68" si="148">AQ47/AQ25*AQ27</f>
        <v>-40.120555466930433</v>
      </c>
      <c r="AR68" s="5">
        <f t="shared" si="148"/>
        <v>-37.345891880475762</v>
      </c>
      <c r="AS68" s="5">
        <f t="shared" si="148"/>
        <v>-42.642809781471129</v>
      </c>
      <c r="AT68" s="5">
        <f t="shared" si="148"/>
        <v>-42.585126879949414</v>
      </c>
      <c r="AU68" s="5">
        <f t="shared" si="148"/>
        <v>-45.430011596171397</v>
      </c>
      <c r="AV68" s="5">
        <f t="shared" si="148"/>
        <v>-45.402792673876405</v>
      </c>
      <c r="AW68" s="5">
        <f t="shared" si="148"/>
        <v>-48.46048530603057</v>
      </c>
      <c r="AX68" s="5">
        <f t="shared" si="148"/>
        <v>-50.060011938278834</v>
      </c>
      <c r="AY68" s="5">
        <f t="shared" si="148"/>
        <v>-50.043848598222866</v>
      </c>
      <c r="AZ68" s="5">
        <f t="shared" si="148"/>
        <v>-53.413540339946344</v>
      </c>
      <c r="BA68" s="5">
        <f t="shared" si="148"/>
        <v>-53.382436317999812</v>
      </c>
      <c r="BB68" s="5">
        <f t="shared" si="148"/>
        <v>-56.888396504907789</v>
      </c>
      <c r="BC68" s="383">
        <f t="shared" si="120"/>
        <v>-565.77590728426071</v>
      </c>
      <c r="BD68" s="5">
        <f t="shared" ref="BD68:BO68" si="149">BD47/BD25*BD27</f>
        <v>-53.09025452065292</v>
      </c>
      <c r="BE68" s="5">
        <f t="shared" si="149"/>
        <v>-48.623051546292487</v>
      </c>
      <c r="BF68" s="5">
        <f t="shared" si="149"/>
        <v>-54.647528167344305</v>
      </c>
      <c r="BG68" s="5">
        <f t="shared" si="149"/>
        <v>-53.740809308255713</v>
      </c>
      <c r="BH68" s="5">
        <f t="shared" si="149"/>
        <v>-56.483875465395279</v>
      </c>
      <c r="BI68" s="5">
        <f t="shared" si="149"/>
        <v>-55.645066943686679</v>
      </c>
      <c r="BJ68" s="5">
        <f t="shared" si="149"/>
        <v>-58.577483607750949</v>
      </c>
      <c r="BK68" s="5">
        <f t="shared" si="149"/>
        <v>-59.713833753043161</v>
      </c>
      <c r="BL68" s="5">
        <f t="shared" si="149"/>
        <v>-58.941441320607495</v>
      </c>
      <c r="BM68" s="5">
        <f t="shared" si="149"/>
        <v>-62.151647475918772</v>
      </c>
      <c r="BN68" s="5">
        <f t="shared" si="149"/>
        <v>-61.400811080964004</v>
      </c>
      <c r="BO68" s="5">
        <f t="shared" si="149"/>
        <v>-64.722992146840099</v>
      </c>
      <c r="BP68" s="383">
        <f t="shared" si="122"/>
        <v>-687.73879533675188</v>
      </c>
      <c r="CE68" s="342" t="s">
        <v>978</v>
      </c>
      <c r="CF68" s="12" t="s">
        <v>965</v>
      </c>
    </row>
    <row r="69" spans="1:84" s="5" customFormat="1" outlineLevel="1">
      <c r="A69" s="342" t="s">
        <v>639</v>
      </c>
      <c r="B69" s="12" t="s">
        <v>502</v>
      </c>
      <c r="C69" s="12"/>
      <c r="D69" s="5">
        <f t="shared" ref="D69:O69" si="150">D48</f>
        <v>0</v>
      </c>
      <c r="E69" s="5">
        <f t="shared" si="150"/>
        <v>0</v>
      </c>
      <c r="F69" s="5">
        <f t="shared" si="150"/>
        <v>0</v>
      </c>
      <c r="G69" s="5">
        <f t="shared" si="150"/>
        <v>0</v>
      </c>
      <c r="H69" s="5">
        <f t="shared" si="150"/>
        <v>0</v>
      </c>
      <c r="I69" s="5">
        <f t="shared" si="150"/>
        <v>0</v>
      </c>
      <c r="J69" s="5">
        <f t="shared" si="150"/>
        <v>0</v>
      </c>
      <c r="K69" s="5">
        <f t="shared" si="150"/>
        <v>0</v>
      </c>
      <c r="L69" s="5">
        <f t="shared" si="150"/>
        <v>-1.2496606201115501</v>
      </c>
      <c r="M69" s="5">
        <f t="shared" si="150"/>
        <v>-2.3960502187123875</v>
      </c>
      <c r="N69" s="5">
        <f t="shared" si="150"/>
        <v>-3.460156536472855</v>
      </c>
      <c r="O69" s="5">
        <f t="shared" si="150"/>
        <v>-4.6299685576491054</v>
      </c>
      <c r="P69" s="383">
        <f t="shared" si="114"/>
        <v>-11.735835932945898</v>
      </c>
      <c r="Q69" s="5">
        <f t="shared" ref="Q69:AB69" si="151">Q48</f>
        <v>-14.239196289357649</v>
      </c>
      <c r="R69" s="5">
        <f t="shared" si="151"/>
        <v>-20.921274574635184</v>
      </c>
      <c r="S69" s="5">
        <f t="shared" si="151"/>
        <v>-30.952895069761091</v>
      </c>
      <c r="T69" s="5">
        <f t="shared" si="151"/>
        <v>-38.736094449953001</v>
      </c>
      <c r="U69" s="5">
        <f t="shared" si="151"/>
        <v>-48.759290380549281</v>
      </c>
      <c r="V69" s="5">
        <f t="shared" si="151"/>
        <v>-56.450076979868676</v>
      </c>
      <c r="W69" s="5">
        <f t="shared" si="151"/>
        <v>-67.409048500633773</v>
      </c>
      <c r="X69" s="5">
        <f t="shared" si="151"/>
        <v>-77.000061782529968</v>
      </c>
      <c r="Y69" s="5">
        <f t="shared" si="151"/>
        <v>-84.360601056879688</v>
      </c>
      <c r="Z69" s="5">
        <f t="shared" si="151"/>
        <v>-96.614193125325613</v>
      </c>
      <c r="AA69" s="5">
        <f t="shared" si="151"/>
        <v>-103.63427013529528</v>
      </c>
      <c r="AB69" s="5">
        <f t="shared" si="151"/>
        <v>-116.04840818685669</v>
      </c>
      <c r="AC69" s="383">
        <f t="shared" si="116"/>
        <v>-755.12541053164591</v>
      </c>
      <c r="AD69" s="5">
        <f t="shared" ref="AD69:AO69" si="152">AD48</f>
        <v>-132.82459824238069</v>
      </c>
      <c r="AE69" s="5">
        <f t="shared" si="152"/>
        <v>-127.23054181925467</v>
      </c>
      <c r="AF69" s="5">
        <f t="shared" si="152"/>
        <v>-148.5706408146865</v>
      </c>
      <c r="AG69" s="5">
        <f t="shared" si="152"/>
        <v>-153.87041469207418</v>
      </c>
      <c r="AH69" s="5">
        <f t="shared" si="152"/>
        <v>-168.29925742060362</v>
      </c>
      <c r="AI69" s="5">
        <f t="shared" si="152"/>
        <v>-173.35214639539606</v>
      </c>
      <c r="AJ69" s="5">
        <f t="shared" si="152"/>
        <v>-188.61633246656288</v>
      </c>
      <c r="AK69" s="5">
        <f t="shared" si="152"/>
        <v>-198.91989649767683</v>
      </c>
      <c r="AL69" s="5">
        <f t="shared" si="152"/>
        <v>-203.35358823122516</v>
      </c>
      <c r="AM69" s="5">
        <f t="shared" si="152"/>
        <v>-219.67018965279118</v>
      </c>
      <c r="AN69" s="5">
        <f t="shared" si="152"/>
        <v>-223.54178773178387</v>
      </c>
      <c r="AO69" s="5">
        <f t="shared" si="152"/>
        <v>-239.4648359173901</v>
      </c>
      <c r="AP69" s="383">
        <f t="shared" si="118"/>
        <v>-2177.7142298818258</v>
      </c>
      <c r="AQ69" s="5">
        <f t="shared" ref="AQ69:BB69" si="153">AQ48</f>
        <v>-258.40068412171178</v>
      </c>
      <c r="AR69" s="5">
        <f t="shared" si="153"/>
        <v>-231.79460693634255</v>
      </c>
      <c r="AS69" s="5">
        <f t="shared" si="153"/>
        <v>-258.6786507378759</v>
      </c>
      <c r="AT69" s="5">
        <f t="shared" si="153"/>
        <v>-256.22631110394087</v>
      </c>
      <c r="AU69" s="5">
        <f t="shared" si="153"/>
        <v>-269.06335887350787</v>
      </c>
      <c r="AV69" s="5">
        <f t="shared" si="153"/>
        <v>-266.60133779303243</v>
      </c>
      <c r="AW69" s="5">
        <f t="shared" si="153"/>
        <v>-279.91609828481353</v>
      </c>
      <c r="AX69" s="5">
        <f t="shared" si="153"/>
        <v>-285.44461028304414</v>
      </c>
      <c r="AY69" s="5">
        <f t="shared" si="153"/>
        <v>-282.73304987710583</v>
      </c>
      <c r="AZ69" s="5">
        <f t="shared" si="153"/>
        <v>-296.56552977545033</v>
      </c>
      <c r="BA69" s="5">
        <f t="shared" si="153"/>
        <v>-293.54961245694597</v>
      </c>
      <c r="BB69" s="5">
        <f t="shared" si="153"/>
        <v>-306.52174276947119</v>
      </c>
      <c r="BC69" s="383">
        <f t="shared" si="120"/>
        <v>-3285.4955930132419</v>
      </c>
      <c r="BD69" s="5">
        <f t="shared" ref="BD69:BO69" si="154">BD48</f>
        <v>-324.66331645012718</v>
      </c>
      <c r="BE69" s="5">
        <f t="shared" si="154"/>
        <v>-280.56695360672734</v>
      </c>
      <c r="BF69" s="5">
        <f t="shared" si="154"/>
        <v>-306.97638396479238</v>
      </c>
      <c r="BG69" s="5">
        <f t="shared" si="154"/>
        <v>-298.58707778240887</v>
      </c>
      <c r="BH69" s="5">
        <f t="shared" si="154"/>
        <v>-307.81173588719321</v>
      </c>
      <c r="BI69" s="5">
        <f t="shared" si="154"/>
        <v>-299.77905558869071</v>
      </c>
      <c r="BJ69" s="5">
        <f t="shared" si="154"/>
        <v>-309.23887495190007</v>
      </c>
      <c r="BK69" s="5">
        <f t="shared" si="154"/>
        <v>-310.09498088918622</v>
      </c>
      <c r="BL69" s="5">
        <f t="shared" si="154"/>
        <v>-302.33852441233472</v>
      </c>
      <c r="BM69" s="5">
        <f t="shared" si="154"/>
        <v>-311.94193625718538</v>
      </c>
      <c r="BN69" s="5">
        <f t="shared" si="154"/>
        <v>-304.21928088876945</v>
      </c>
      <c r="BO69" s="5">
        <f t="shared" si="154"/>
        <v>-312.57512830843933</v>
      </c>
      <c r="BP69" s="383">
        <f t="shared" si="122"/>
        <v>-3668.7932489877549</v>
      </c>
      <c r="CE69" s="342" t="s">
        <v>979</v>
      </c>
      <c r="CF69" s="12" t="s">
        <v>965</v>
      </c>
    </row>
    <row r="70" spans="1:84" s="5" customFormat="1" outlineLevel="1">
      <c r="A70" s="342" t="s">
        <v>638</v>
      </c>
      <c r="B70" s="12" t="s">
        <v>502</v>
      </c>
      <c r="C70" s="12"/>
      <c r="P70" s="383">
        <f t="shared" si="114"/>
        <v>0</v>
      </c>
      <c r="AC70" s="383">
        <f t="shared" si="116"/>
        <v>0</v>
      </c>
      <c r="AP70" s="383">
        <f t="shared" si="118"/>
        <v>0</v>
      </c>
      <c r="BC70" s="383">
        <f t="shared" si="120"/>
        <v>0</v>
      </c>
      <c r="BP70" s="383">
        <f t="shared" si="122"/>
        <v>0</v>
      </c>
      <c r="CE70" s="342" t="s">
        <v>980</v>
      </c>
      <c r="CF70" s="12" t="s">
        <v>965</v>
      </c>
    </row>
    <row r="71" spans="1:84" s="393" customFormat="1">
      <c r="A71" s="395" t="s">
        <v>637</v>
      </c>
      <c r="B71" s="5" t="s">
        <v>130</v>
      </c>
      <c r="P71" s="394">
        <f>P65/AVERAGE(C27:O27)*1000000</f>
        <v>-31233.852297773934</v>
      </c>
      <c r="AC71" s="394">
        <f>AC65/AVERAGE(P27:AB27)*1000000</f>
        <v>-22307.642170007104</v>
      </c>
      <c r="AP71" s="394">
        <f>AP65/AVERAGE(AC27:AO27)*1000000</f>
        <v>-14828.432027248078</v>
      </c>
      <c r="BC71" s="394">
        <f>BC65/AVERAGE(AP27:BB27)*1000000</f>
        <v>-9133.1842894118308</v>
      </c>
      <c r="BP71" s="394">
        <f>BP65/AVERAGE(BC27:BO27)*1000000</f>
        <v>-4613.6280475531339</v>
      </c>
      <c r="CE71" s="395" t="s">
        <v>982</v>
      </c>
      <c r="CF71" s="5" t="s">
        <v>966</v>
      </c>
    </row>
    <row r="72" spans="1:84" s="390" customFormat="1" ht="15.6">
      <c r="A72" s="390" t="s">
        <v>636</v>
      </c>
      <c r="B72" s="12" t="s">
        <v>130</v>
      </c>
      <c r="C72" s="392"/>
      <c r="D72" s="390">
        <f>P72</f>
        <v>1500</v>
      </c>
      <c r="E72" s="390">
        <f t="shared" ref="E72:O72" si="155">D72</f>
        <v>1500</v>
      </c>
      <c r="F72" s="390">
        <f t="shared" si="155"/>
        <v>1500</v>
      </c>
      <c r="G72" s="390">
        <f t="shared" si="155"/>
        <v>1500</v>
      </c>
      <c r="H72" s="390">
        <f t="shared" si="155"/>
        <v>1500</v>
      </c>
      <c r="I72" s="390">
        <f t="shared" si="155"/>
        <v>1500</v>
      </c>
      <c r="J72" s="390">
        <f t="shared" si="155"/>
        <v>1500</v>
      </c>
      <c r="K72" s="390">
        <f t="shared" si="155"/>
        <v>1500</v>
      </c>
      <c r="L72" s="390">
        <f t="shared" si="155"/>
        <v>1500</v>
      </c>
      <c r="M72" s="390">
        <f t="shared" si="155"/>
        <v>1500</v>
      </c>
      <c r="N72" s="390">
        <f t="shared" si="155"/>
        <v>1500</v>
      </c>
      <c r="O72" s="390">
        <f t="shared" si="155"/>
        <v>1500</v>
      </c>
      <c r="P72" s="391">
        <f>P63*1.5</f>
        <v>1500</v>
      </c>
      <c r="Q72" s="390">
        <f>AC72</f>
        <v>2250</v>
      </c>
      <c r="R72" s="390">
        <f t="shared" ref="R72:AB72" si="156">Q72</f>
        <v>2250</v>
      </c>
      <c r="S72" s="390">
        <f t="shared" si="156"/>
        <v>2250</v>
      </c>
      <c r="T72" s="390">
        <f t="shared" si="156"/>
        <v>2250</v>
      </c>
      <c r="U72" s="390">
        <f t="shared" si="156"/>
        <v>2250</v>
      </c>
      <c r="V72" s="390">
        <f t="shared" si="156"/>
        <v>2250</v>
      </c>
      <c r="W72" s="390">
        <f t="shared" si="156"/>
        <v>2250</v>
      </c>
      <c r="X72" s="390">
        <f t="shared" si="156"/>
        <v>2250</v>
      </c>
      <c r="Y72" s="390">
        <f t="shared" si="156"/>
        <v>2250</v>
      </c>
      <c r="Z72" s="390">
        <f t="shared" si="156"/>
        <v>2250</v>
      </c>
      <c r="AA72" s="390">
        <f t="shared" si="156"/>
        <v>2250</v>
      </c>
      <c r="AB72" s="390">
        <f t="shared" si="156"/>
        <v>2250</v>
      </c>
      <c r="AC72" s="391">
        <f>AC63*1.5</f>
        <v>2250</v>
      </c>
      <c r="AD72" s="390">
        <f>AP72</f>
        <v>3000</v>
      </c>
      <c r="AE72" s="390">
        <f t="shared" ref="AE72:AO72" si="157">AD72</f>
        <v>3000</v>
      </c>
      <c r="AF72" s="390">
        <f t="shared" si="157"/>
        <v>3000</v>
      </c>
      <c r="AG72" s="390">
        <f t="shared" si="157"/>
        <v>3000</v>
      </c>
      <c r="AH72" s="390">
        <f t="shared" si="157"/>
        <v>3000</v>
      </c>
      <c r="AI72" s="390">
        <f t="shared" si="157"/>
        <v>3000</v>
      </c>
      <c r="AJ72" s="390">
        <f t="shared" si="157"/>
        <v>3000</v>
      </c>
      <c r="AK72" s="390">
        <f t="shared" si="157"/>
        <v>3000</v>
      </c>
      <c r="AL72" s="390">
        <f t="shared" si="157"/>
        <v>3000</v>
      </c>
      <c r="AM72" s="390">
        <f t="shared" si="157"/>
        <v>3000</v>
      </c>
      <c r="AN72" s="390">
        <f t="shared" si="157"/>
        <v>3000</v>
      </c>
      <c r="AO72" s="390">
        <f t="shared" si="157"/>
        <v>3000</v>
      </c>
      <c r="AP72" s="391">
        <f>AP63*1.5</f>
        <v>3000</v>
      </c>
      <c r="AQ72" s="390">
        <f>BC72</f>
        <v>3000</v>
      </c>
      <c r="AR72" s="390">
        <f t="shared" ref="AR72:BB72" si="158">AQ72</f>
        <v>3000</v>
      </c>
      <c r="AS72" s="390">
        <f t="shared" si="158"/>
        <v>3000</v>
      </c>
      <c r="AT72" s="390">
        <f t="shared" si="158"/>
        <v>3000</v>
      </c>
      <c r="AU72" s="390">
        <f t="shared" si="158"/>
        <v>3000</v>
      </c>
      <c r="AV72" s="390">
        <f t="shared" si="158"/>
        <v>3000</v>
      </c>
      <c r="AW72" s="390">
        <f t="shared" si="158"/>
        <v>3000</v>
      </c>
      <c r="AX72" s="390">
        <f t="shared" si="158"/>
        <v>3000</v>
      </c>
      <c r="AY72" s="390">
        <f t="shared" si="158"/>
        <v>3000</v>
      </c>
      <c r="AZ72" s="390">
        <f t="shared" si="158"/>
        <v>3000</v>
      </c>
      <c r="BA72" s="390">
        <f t="shared" si="158"/>
        <v>3000</v>
      </c>
      <c r="BB72" s="390">
        <f t="shared" si="158"/>
        <v>3000</v>
      </c>
      <c r="BC72" s="391">
        <f>BC63*1.5</f>
        <v>3000</v>
      </c>
      <c r="BD72" s="390">
        <f>BC72</f>
        <v>3000</v>
      </c>
      <c r="BE72" s="390">
        <f t="shared" ref="BE72:BO72" si="159">BD72</f>
        <v>3000</v>
      </c>
      <c r="BF72" s="390">
        <f t="shared" si="159"/>
        <v>3000</v>
      </c>
      <c r="BG72" s="390">
        <f t="shared" si="159"/>
        <v>3000</v>
      </c>
      <c r="BH72" s="390">
        <f t="shared" si="159"/>
        <v>3000</v>
      </c>
      <c r="BI72" s="390">
        <f t="shared" si="159"/>
        <v>3000</v>
      </c>
      <c r="BJ72" s="390">
        <f t="shared" si="159"/>
        <v>3000</v>
      </c>
      <c r="BK72" s="390">
        <f t="shared" si="159"/>
        <v>3000</v>
      </c>
      <c r="BL72" s="390">
        <f t="shared" si="159"/>
        <v>3000</v>
      </c>
      <c r="BM72" s="390">
        <f t="shared" si="159"/>
        <v>3000</v>
      </c>
      <c r="BN72" s="390">
        <f t="shared" si="159"/>
        <v>3000</v>
      </c>
      <c r="BO72" s="390">
        <f t="shared" si="159"/>
        <v>3000</v>
      </c>
      <c r="BP72" s="391">
        <f>BP63*1.5</f>
        <v>3000</v>
      </c>
      <c r="CE72" s="390" t="s">
        <v>981</v>
      </c>
      <c r="CF72" s="12" t="s">
        <v>966</v>
      </c>
    </row>
    <row r="73" spans="1:84" s="301" customFormat="1" ht="15.6">
      <c r="A73" s="538" t="s">
        <v>642</v>
      </c>
      <c r="B73" s="12" t="s">
        <v>502</v>
      </c>
      <c r="C73" s="380"/>
      <c r="D73" s="301">
        <f t="shared" ref="D73:O73" si="160">D27*D72/1000000</f>
        <v>0</v>
      </c>
      <c r="E73" s="301">
        <f t="shared" si="160"/>
        <v>0</v>
      </c>
      <c r="F73" s="301">
        <f t="shared" si="160"/>
        <v>0</v>
      </c>
      <c r="G73" s="301">
        <f t="shared" si="160"/>
        <v>0</v>
      </c>
      <c r="H73" s="301">
        <f t="shared" si="160"/>
        <v>0</v>
      </c>
      <c r="I73" s="301">
        <f t="shared" si="160"/>
        <v>0</v>
      </c>
      <c r="J73" s="301">
        <f t="shared" si="160"/>
        <v>0</v>
      </c>
      <c r="K73" s="301">
        <f t="shared" si="160"/>
        <v>0</v>
      </c>
      <c r="L73" s="301">
        <f t="shared" si="160"/>
        <v>1.4830888404023999</v>
      </c>
      <c r="M73" s="301">
        <f t="shared" si="160"/>
        <v>3.044664303385042</v>
      </c>
      <c r="N73" s="301">
        <f t="shared" si="160"/>
        <v>4.682772380372044</v>
      </c>
      <c r="O73" s="301">
        <f t="shared" si="160"/>
        <v>6.3087104227069384</v>
      </c>
      <c r="P73" s="389">
        <f t="shared" ref="P73:P78" si="161">SUM(D73:O73)</f>
        <v>15.519235946866424</v>
      </c>
      <c r="Q73" s="301">
        <f t="shared" ref="Q73:AB73" si="162">Q27*Q72/1000000</f>
        <v>25.745313654853945</v>
      </c>
      <c r="R73" s="301">
        <f t="shared" si="162"/>
        <v>42.906040542673715</v>
      </c>
      <c r="S73" s="301">
        <f t="shared" si="162"/>
        <v>60.87447751061007</v>
      </c>
      <c r="T73" s="301">
        <f t="shared" si="162"/>
        <v>79.62659829609423</v>
      </c>
      <c r="U73" s="301">
        <f t="shared" si="162"/>
        <v>99.137381307800268</v>
      </c>
      <c r="V73" s="301">
        <f t="shared" si="162"/>
        <v>119.38086713379363</v>
      </c>
      <c r="W73" s="301">
        <f t="shared" si="162"/>
        <v>140.3302179629197</v>
      </c>
      <c r="X73" s="301">
        <f t="shared" si="162"/>
        <v>161.95777872681967</v>
      </c>
      <c r="Y73" s="301">
        <f t="shared" si="162"/>
        <v>184.23513976538183</v>
      </c>
      <c r="Z73" s="301">
        <f t="shared" si="162"/>
        <v>207.13320081468368</v>
      </c>
      <c r="AA73" s="301">
        <f t="shared" si="162"/>
        <v>230.62223611355782</v>
      </c>
      <c r="AB73" s="301">
        <f t="shared" si="162"/>
        <v>253.58465017456624</v>
      </c>
      <c r="AC73" s="389">
        <f t="shared" ref="AC73:AC78" si="163">SUM(Q73:AB73)</f>
        <v>1605.5339020037547</v>
      </c>
      <c r="AD73" s="301">
        <f t="shared" ref="AD73:AO73" si="164">AD27*AD72/1000000</f>
        <v>365.35680294039292</v>
      </c>
      <c r="AE73" s="301">
        <f t="shared" si="164"/>
        <v>395.7052586949564</v>
      </c>
      <c r="AF73" s="301">
        <f t="shared" si="164"/>
        <v>427.39352999864587</v>
      </c>
      <c r="AG73" s="301">
        <f t="shared" si="164"/>
        <v>460.37184107024439</v>
      </c>
      <c r="AH73" s="301">
        <f t="shared" si="164"/>
        <v>494.58915304192953</v>
      </c>
      <c r="AI73" s="301">
        <f t="shared" si="164"/>
        <v>529.99328308867837</v>
      </c>
      <c r="AJ73" s="301">
        <f t="shared" si="164"/>
        <v>566.5310248093183</v>
      </c>
      <c r="AK73" s="301">
        <f t="shared" si="164"/>
        <v>604.14826948118332</v>
      </c>
      <c r="AL73" s="301">
        <f t="shared" si="164"/>
        <v>642.79012781238191</v>
      </c>
      <c r="AM73" s="301">
        <f t="shared" si="164"/>
        <v>682.40105181920399</v>
      </c>
      <c r="AN73" s="301">
        <f t="shared" si="164"/>
        <v>722.92495646115708</v>
      </c>
      <c r="AO73" s="301">
        <f t="shared" si="164"/>
        <v>762.09480991819476</v>
      </c>
      <c r="AP73" s="389">
        <f t="shared" ref="AP73:AP78" si="165">SUM(AD73:AO73)</f>
        <v>6654.3001091362867</v>
      </c>
      <c r="AQ73" s="301">
        <f t="shared" ref="AQ73:BB73" si="166">AQ27*AQ72/1000000</f>
        <v>781.16036409668379</v>
      </c>
      <c r="AR73" s="301">
        <f t="shared" si="166"/>
        <v>805.47004889527852</v>
      </c>
      <c r="AS73" s="301">
        <f t="shared" si="166"/>
        <v>831.08555385898171</v>
      </c>
      <c r="AT73" s="301">
        <f t="shared" si="166"/>
        <v>857.95579998960977</v>
      </c>
      <c r="AU73" s="301">
        <f t="shared" si="166"/>
        <v>886.02882221769369</v>
      </c>
      <c r="AV73" s="301">
        <f t="shared" si="166"/>
        <v>915.2518906110073</v>
      </c>
      <c r="AW73" s="301">
        <f t="shared" si="166"/>
        <v>945.57163113168747</v>
      </c>
      <c r="AX73" s="301">
        <f t="shared" si="166"/>
        <v>976.93414558847542</v>
      </c>
      <c r="AY73" s="301">
        <f t="shared" si="166"/>
        <v>1009.28513044032</v>
      </c>
      <c r="AZ73" s="301">
        <f t="shared" si="166"/>
        <v>1042.5699941184803</v>
      </c>
      <c r="BA73" s="301">
        <f t="shared" si="166"/>
        <v>1076.7339725462732</v>
      </c>
      <c r="BB73" s="301">
        <f t="shared" si="166"/>
        <v>1109.2447033645626</v>
      </c>
      <c r="BC73" s="389">
        <f t="shared" ref="BC73:BC78" si="167">SUM(AQ73:BB73)</f>
        <v>11237.292056859053</v>
      </c>
      <c r="BD73" s="301">
        <f t="shared" ref="BD73:BO73" si="168">BD27*BD72/1000000</f>
        <v>1118.4462479497388</v>
      </c>
      <c r="BE73" s="301">
        <f t="shared" si="168"/>
        <v>1134.8864155295325</v>
      </c>
      <c r="BF73" s="301">
        <f t="shared" si="168"/>
        <v>1152.8215768446757</v>
      </c>
      <c r="BG73" s="301">
        <f t="shared" si="168"/>
        <v>1172.1956743936025</v>
      </c>
      <c r="BH73" s="301">
        <f t="shared" si="168"/>
        <v>1192.9519217366853</v>
      </c>
      <c r="BI73" s="301">
        <f t="shared" si="168"/>
        <v>1215.0329356570355</v>
      </c>
      <c r="BJ73" s="301">
        <f t="shared" si="168"/>
        <v>1238.3808664431469</v>
      </c>
      <c r="BK73" s="301">
        <f t="shared" si="168"/>
        <v>1262.9375259504247</v>
      </c>
      <c r="BL73" s="301">
        <f t="shared" si="168"/>
        <v>1288.6445131151693</v>
      </c>
      <c r="BM73" s="301">
        <f t="shared" si="168"/>
        <v>1315.4433366119777</v>
      </c>
      <c r="BN73" s="301">
        <f t="shared" si="168"/>
        <v>1343.2755343637234</v>
      </c>
      <c r="BO73" s="301">
        <f t="shared" si="168"/>
        <v>1369.2657687918975</v>
      </c>
      <c r="BP73" s="389">
        <f t="shared" ref="BP73:BP78" si="169">SUM(BD73:BO73)</f>
        <v>14804.28231738761</v>
      </c>
      <c r="BR73" s="60">
        <f t="shared" ref="BR73" si="170">(D73+E73+F73)/500*1000</f>
        <v>0</v>
      </c>
      <c r="BS73" s="60">
        <f t="shared" ref="BS73" si="171">(G73+H73+I73)/500*1000</f>
        <v>0</v>
      </c>
      <c r="BT73" s="60">
        <f t="shared" ref="BT73" si="172">(J73+K73+L73)/500*1000</f>
        <v>2.9661776808047997</v>
      </c>
      <c r="BU73" s="60">
        <f t="shared" ref="BU73" si="173">(M73+N73+O73)/500*1000</f>
        <v>28.07229421292805</v>
      </c>
      <c r="BV73" s="60">
        <f t="shared" ref="BV73" si="174">(SUM(Q73:V73))/500*1000</f>
        <v>855.3413568916518</v>
      </c>
      <c r="BW73" s="60">
        <f t="shared" ref="BW73" si="175">SUM(W73:AB73)/500*1000</f>
        <v>2355.7264471158578</v>
      </c>
      <c r="BX73" s="60">
        <f t="shared" ref="BX73" si="176">SUM(AD73:AI73)/500*1000</f>
        <v>5346.8197376696944</v>
      </c>
      <c r="BY73" s="60">
        <f t="shared" ref="BY73" si="177">SUM(AJ73:AO73)/500*1000</f>
        <v>7961.7804806028789</v>
      </c>
      <c r="BZ73" s="60">
        <f t="shared" ref="BZ73" si="178">SUM(AQ73:AV73)/500*1000</f>
        <v>10153.90495933851</v>
      </c>
      <c r="CA73" s="60">
        <f t="shared" ref="CA73" si="179">SUM(AW73:BB73)/500*1000</f>
        <v>12320.679154379599</v>
      </c>
      <c r="CB73" s="60">
        <f t="shared" ref="CB73" si="180">SUM(BD73:BI73)/500*1000</f>
        <v>13972.669544222541</v>
      </c>
      <c r="CC73" s="60">
        <f t="shared" ref="CC73" si="181">SUM(BJ73:BO73)/500*1000</f>
        <v>15635.895090552678</v>
      </c>
      <c r="CE73" s="538" t="s">
        <v>984</v>
      </c>
      <c r="CF73" s="12" t="s">
        <v>965</v>
      </c>
    </row>
    <row r="74" spans="1:84" s="384" customFormat="1" ht="15.6">
      <c r="A74" s="396" t="s">
        <v>899</v>
      </c>
      <c r="B74" s="12" t="s">
        <v>502</v>
      </c>
      <c r="C74" s="386"/>
      <c r="J74" s="384">
        <f t="shared" ref="J74:O74" si="182">SUM(J75:J78)</f>
        <v>0</v>
      </c>
      <c r="K74" s="384">
        <f t="shared" si="182"/>
        <v>0</v>
      </c>
      <c r="L74" s="384">
        <f t="shared" si="182"/>
        <v>0</v>
      </c>
      <c r="M74" s="384">
        <f t="shared" si="182"/>
        <v>0</v>
      </c>
      <c r="N74" s="384">
        <f t="shared" si="182"/>
        <v>0</v>
      </c>
      <c r="O74" s="384">
        <f t="shared" si="182"/>
        <v>0</v>
      </c>
      <c r="P74" s="385">
        <f t="shared" si="161"/>
        <v>0</v>
      </c>
      <c r="Q74" s="384">
        <f t="shared" ref="Q74:AB74" si="183">SUM(Q75:Q78)</f>
        <v>0</v>
      </c>
      <c r="R74" s="384">
        <f t="shared" si="183"/>
        <v>0</v>
      </c>
      <c r="S74" s="384">
        <f t="shared" si="183"/>
        <v>0</v>
      </c>
      <c r="T74" s="384">
        <f t="shared" si="183"/>
        <v>0</v>
      </c>
      <c r="U74" s="384">
        <f t="shared" si="183"/>
        <v>0</v>
      </c>
      <c r="V74" s="384">
        <f t="shared" si="183"/>
        <v>0</v>
      </c>
      <c r="W74" s="384">
        <f t="shared" si="183"/>
        <v>-22.471878239430339</v>
      </c>
      <c r="X74" s="384">
        <f t="shared" si="183"/>
        <v>-42.517657493265297</v>
      </c>
      <c r="Y74" s="384">
        <f t="shared" si="183"/>
        <v>-61.586929321437438</v>
      </c>
      <c r="Z74" s="384">
        <f t="shared" si="183"/>
        <v>-83.741280093116018</v>
      </c>
      <c r="AA74" s="384">
        <f t="shared" si="183"/>
        <v>-102.34859236415963</v>
      </c>
      <c r="AB74" s="384">
        <f t="shared" si="183"/>
        <v>-125.13557856379246</v>
      </c>
      <c r="AC74" s="385">
        <f t="shared" si="163"/>
        <v>-437.80191607520118</v>
      </c>
      <c r="AD74" s="384">
        <f t="shared" ref="AD74:AO74" si="184">SUM(AD75:AD78)</f>
        <v>-135.03327081509784</v>
      </c>
      <c r="AE74" s="384">
        <f t="shared" si="184"/>
        <v>-139.24118690052609</v>
      </c>
      <c r="AF74" s="384">
        <f t="shared" si="184"/>
        <v>-170.01297569261934</v>
      </c>
      <c r="AG74" s="384">
        <f t="shared" si="184"/>
        <v>-183.98534989679004</v>
      </c>
      <c r="AH74" s="384">
        <f t="shared" si="184"/>
        <v>-208.56244794899482</v>
      </c>
      <c r="AI74" s="384">
        <f t="shared" si="184"/>
        <v>-222.16188117674366</v>
      </c>
      <c r="AJ74" s="384">
        <f t="shared" si="184"/>
        <v>-248.47662209987246</v>
      </c>
      <c r="AK74" s="384">
        <f t="shared" si="184"/>
        <v>-268.8211297911497</v>
      </c>
      <c r="AL74" s="384">
        <f t="shared" si="184"/>
        <v>-281.43285944624461</v>
      </c>
      <c r="AM74" s="384">
        <f t="shared" si="184"/>
        <v>-310.04189073446491</v>
      </c>
      <c r="AN74" s="384">
        <f t="shared" si="184"/>
        <v>-321.7345192387848</v>
      </c>
      <c r="AO74" s="384">
        <f t="shared" si="184"/>
        <v>-350.14650477747585</v>
      </c>
      <c r="AP74" s="385">
        <f t="shared" si="165"/>
        <v>-2839.6506385187636</v>
      </c>
      <c r="AQ74" s="384">
        <f t="shared" ref="AQ74:BB74" si="185">SUM(AQ75:AQ78)</f>
        <v>-339.09130754999484</v>
      </c>
      <c r="AR74" s="384">
        <f t="shared" si="185"/>
        <v>-311.05898048033134</v>
      </c>
      <c r="AS74" s="384">
        <f t="shared" si="185"/>
        <v>-351.55345378580608</v>
      </c>
      <c r="AT74" s="384">
        <f t="shared" si="185"/>
        <v>-351.51714084845122</v>
      </c>
      <c r="AU74" s="384">
        <f t="shared" si="185"/>
        <v>-373.06167217361229</v>
      </c>
      <c r="AV74" s="384">
        <f t="shared" si="185"/>
        <v>-372.90279067348774</v>
      </c>
      <c r="AW74" s="384">
        <f t="shared" si="185"/>
        <v>-395.47995442651234</v>
      </c>
      <c r="AX74" s="384">
        <f t="shared" si="185"/>
        <v>-406.92017640231319</v>
      </c>
      <c r="AY74" s="384">
        <f t="shared" si="185"/>
        <v>-406.20943462662797</v>
      </c>
      <c r="AZ74" s="384">
        <f t="shared" si="185"/>
        <v>-430.05101348186048</v>
      </c>
      <c r="BA74" s="384">
        <f t="shared" si="185"/>
        <v>-428.75412862375225</v>
      </c>
      <c r="BB74" s="384">
        <f t="shared" si="185"/>
        <v>-451.69722852797008</v>
      </c>
      <c r="BC74" s="385">
        <f t="shared" si="167"/>
        <v>-4618.2972816007195</v>
      </c>
      <c r="BD74" s="384">
        <f t="shared" ref="BD74:BO74" si="186">SUM(BD75:BD78)</f>
        <v>-430.06115744258966</v>
      </c>
      <c r="BE74" s="384">
        <f t="shared" si="186"/>
        <v>-379.97264385722048</v>
      </c>
      <c r="BF74" s="384">
        <f t="shared" si="186"/>
        <v>-421.33781380935733</v>
      </c>
      <c r="BG74" s="384">
        <f t="shared" si="186"/>
        <v>-411.21557783117964</v>
      </c>
      <c r="BH74" s="384">
        <f t="shared" si="186"/>
        <v>-427.466572899428</v>
      </c>
      <c r="BI74" s="384">
        <f t="shared" si="186"/>
        <v>-417.69890670776431</v>
      </c>
      <c r="BJ74" s="384">
        <f t="shared" si="186"/>
        <v>-434.53761519248189</v>
      </c>
      <c r="BK74" s="384">
        <f t="shared" si="186"/>
        <v>-438.317613548743</v>
      </c>
      <c r="BL74" s="384">
        <f t="shared" si="186"/>
        <v>-428.71111691092449</v>
      </c>
      <c r="BM74" s="384">
        <f t="shared" si="186"/>
        <v>-446.15976114005349</v>
      </c>
      <c r="BN74" s="384">
        <f t="shared" si="186"/>
        <v>-436.44374758080238</v>
      </c>
      <c r="BO74" s="384">
        <f t="shared" si="186"/>
        <v>-452.50038795524074</v>
      </c>
      <c r="BP74" s="385">
        <f t="shared" si="169"/>
        <v>-5124.4229148757859</v>
      </c>
      <c r="CE74" s="396" t="s">
        <v>986</v>
      </c>
      <c r="CF74" s="12" t="s">
        <v>965</v>
      </c>
    </row>
    <row r="75" spans="1:84" s="5" customFormat="1" outlineLevel="1">
      <c r="A75" s="342" t="s">
        <v>641</v>
      </c>
      <c r="B75" s="12" t="s">
        <v>502</v>
      </c>
      <c r="C75" s="12"/>
      <c r="J75" s="5">
        <f t="shared" ref="J75:O75" si="187">J46/J25*J28</f>
        <v>0</v>
      </c>
      <c r="K75" s="5">
        <f t="shared" si="187"/>
        <v>0</v>
      </c>
      <c r="L75" s="5">
        <f t="shared" si="187"/>
        <v>0</v>
      </c>
      <c r="M75" s="5">
        <f t="shared" si="187"/>
        <v>0</v>
      </c>
      <c r="N75" s="5">
        <f t="shared" si="187"/>
        <v>0</v>
      </c>
      <c r="O75" s="5">
        <f t="shared" si="187"/>
        <v>0</v>
      </c>
      <c r="P75" s="383">
        <f t="shared" si="161"/>
        <v>0</v>
      </c>
      <c r="Q75" s="5">
        <f t="shared" ref="Q75:AB75" si="188">Q46/Q25*Q28</f>
        <v>0</v>
      </c>
      <c r="R75" s="5">
        <f t="shared" si="188"/>
        <v>0</v>
      </c>
      <c r="S75" s="5">
        <f t="shared" si="188"/>
        <v>0</v>
      </c>
      <c r="T75" s="5">
        <f t="shared" si="188"/>
        <v>0</v>
      </c>
      <c r="U75" s="5">
        <f t="shared" si="188"/>
        <v>0</v>
      </c>
      <c r="V75" s="5">
        <f t="shared" si="188"/>
        <v>0</v>
      </c>
      <c r="W75" s="5">
        <f t="shared" si="188"/>
        <v>-1.5592615450896319</v>
      </c>
      <c r="X75" s="5">
        <f t="shared" si="188"/>
        <v>-3.1669868545622704</v>
      </c>
      <c r="Y75" s="5">
        <f t="shared" si="188"/>
        <v>-4.8451607459782444</v>
      </c>
      <c r="Z75" s="5">
        <f t="shared" si="188"/>
        <v>-6.5211799983240279</v>
      </c>
      <c r="AA75" s="5">
        <f t="shared" si="188"/>
        <v>-8.3046496577774587</v>
      </c>
      <c r="AB75" s="5">
        <f t="shared" si="188"/>
        <v>-9.9683873097550943</v>
      </c>
      <c r="AC75" s="383">
        <f t="shared" si="163"/>
        <v>-34.365626111486726</v>
      </c>
      <c r="AD75" s="5">
        <f t="shared" ref="AD75:AO75" si="189">AD46/AD25*AD28</f>
        <v>-1.9734223912456115</v>
      </c>
      <c r="AE75" s="5">
        <f t="shared" si="189"/>
        <v>-1.7359295254311096</v>
      </c>
      <c r="AF75" s="5">
        <f t="shared" si="189"/>
        <v>-1.5637872041170535</v>
      </c>
      <c r="AG75" s="5">
        <f t="shared" si="189"/>
        <v>-1.9015911022394059</v>
      </c>
      <c r="AH75" s="5">
        <f t="shared" si="189"/>
        <v>-1.9448001983938754</v>
      </c>
      <c r="AI75" s="5">
        <f t="shared" si="189"/>
        <v>-2.3292007206075058</v>
      </c>
      <c r="AJ75" s="5">
        <f t="shared" si="189"/>
        <v>-2.3483835478398141</v>
      </c>
      <c r="AK75" s="5">
        <f t="shared" si="189"/>
        <v>-2.5578746231494534</v>
      </c>
      <c r="AL75" s="5">
        <f t="shared" si="189"/>
        <v>-3.0141727965828329</v>
      </c>
      <c r="AM75" s="5">
        <f t="shared" si="189"/>
        <v>-2.9907425473203029</v>
      </c>
      <c r="AN75" s="5">
        <f t="shared" si="189"/>
        <v>-3.4960077551913677</v>
      </c>
      <c r="AO75" s="5">
        <f t="shared" si="189"/>
        <v>-3.4155226734891362</v>
      </c>
      <c r="AP75" s="383">
        <f t="shared" si="165"/>
        <v>-29.271435085607468</v>
      </c>
      <c r="AQ75" s="5">
        <f t="shared" ref="AQ75:BB75" si="190">AQ46/AQ25*AQ28</f>
        <v>16.607911156301693</v>
      </c>
      <c r="AR75" s="5">
        <f t="shared" si="190"/>
        <v>19.068027401704118</v>
      </c>
      <c r="AS75" s="5">
        <f t="shared" si="190"/>
        <v>21.417018480240216</v>
      </c>
      <c r="AT75" s="5">
        <f t="shared" si="190"/>
        <v>21.737987216361379</v>
      </c>
      <c r="AU75" s="5">
        <f t="shared" si="190"/>
        <v>23.191761047343693</v>
      </c>
      <c r="AV75" s="5">
        <f t="shared" si="190"/>
        <v>23.53965531972942</v>
      </c>
      <c r="AW75" s="5">
        <f t="shared" si="190"/>
        <v>25.107789593140421</v>
      </c>
      <c r="AX75" s="5">
        <f t="shared" si="190"/>
        <v>26.114644754604615</v>
      </c>
      <c r="AY75" s="5">
        <f t="shared" si="190"/>
        <v>26.484344870419978</v>
      </c>
      <c r="AZ75" s="5">
        <f t="shared" si="190"/>
        <v>28.21761899084899</v>
      </c>
      <c r="BA75" s="5">
        <f t="shared" si="190"/>
        <v>28.58978620739537</v>
      </c>
      <c r="BB75" s="5">
        <f t="shared" si="190"/>
        <v>30.379190430957902</v>
      </c>
      <c r="BC75" s="383">
        <f t="shared" si="167"/>
        <v>290.4557354690478</v>
      </c>
      <c r="BD75" s="5">
        <f t="shared" ref="BD75:BO75" si="191">BD46/BD25*BD28</f>
        <v>50.298909909011961</v>
      </c>
      <c r="BE75" s="5">
        <f t="shared" si="191"/>
        <v>52.751796559397484</v>
      </c>
      <c r="BF75" s="5">
        <f t="shared" si="191"/>
        <v>56.680264366824083</v>
      </c>
      <c r="BG75" s="5">
        <f t="shared" si="191"/>
        <v>56.821883738810108</v>
      </c>
      <c r="BH75" s="5">
        <f t="shared" si="191"/>
        <v>59.024361950281161</v>
      </c>
      <c r="BI75" s="5">
        <f t="shared" si="191"/>
        <v>59.267164480354019</v>
      </c>
      <c r="BJ75" s="5">
        <f t="shared" si="191"/>
        <v>61.649245465406132</v>
      </c>
      <c r="BK75" s="5">
        <f t="shared" si="191"/>
        <v>63.059092206570085</v>
      </c>
      <c r="BL75" s="5">
        <f t="shared" si="191"/>
        <v>63.421388343741775</v>
      </c>
      <c r="BM75" s="5">
        <f t="shared" si="191"/>
        <v>66.057714578212767</v>
      </c>
      <c r="BN75" s="5">
        <f t="shared" si="191"/>
        <v>66.478682035207669</v>
      </c>
      <c r="BO75" s="5">
        <f t="shared" si="191"/>
        <v>69.161317149787394</v>
      </c>
      <c r="BP75" s="383">
        <f t="shared" si="169"/>
        <v>724.67182078360463</v>
      </c>
      <c r="CE75" s="342" t="s">
        <v>977</v>
      </c>
      <c r="CF75" s="12" t="s">
        <v>965</v>
      </c>
    </row>
    <row r="76" spans="1:84" s="5" customFormat="1" outlineLevel="1">
      <c r="A76" s="342" t="s">
        <v>640</v>
      </c>
      <c r="B76" s="12" t="s">
        <v>502</v>
      </c>
      <c r="C76" s="12"/>
      <c r="J76" s="5">
        <f t="shared" ref="J76:O76" si="192">J47/J25*J28</f>
        <v>0</v>
      </c>
      <c r="K76" s="5">
        <f t="shared" si="192"/>
        <v>0</v>
      </c>
      <c r="L76" s="5">
        <f t="shared" si="192"/>
        <v>0</v>
      </c>
      <c r="M76" s="5">
        <f t="shared" si="192"/>
        <v>0</v>
      </c>
      <c r="N76" s="5">
        <f t="shared" si="192"/>
        <v>0</v>
      </c>
      <c r="O76" s="5">
        <f t="shared" si="192"/>
        <v>0</v>
      </c>
      <c r="P76" s="383">
        <f t="shared" si="161"/>
        <v>0</v>
      </c>
      <c r="Q76" s="5">
        <f t="shared" ref="Q76:AB76" si="193">Q47/Q25*Q28</f>
        <v>0</v>
      </c>
      <c r="R76" s="5">
        <f t="shared" si="193"/>
        <v>0</v>
      </c>
      <c r="S76" s="5">
        <f t="shared" si="193"/>
        <v>0</v>
      </c>
      <c r="T76" s="5">
        <f t="shared" si="193"/>
        <v>0</v>
      </c>
      <c r="U76" s="5">
        <f t="shared" si="193"/>
        <v>0</v>
      </c>
      <c r="V76" s="5">
        <f t="shared" si="193"/>
        <v>0</v>
      </c>
      <c r="W76" s="5">
        <f t="shared" si="193"/>
        <v>-0.53456454013824584</v>
      </c>
      <c r="X76" s="5">
        <f t="shared" si="193"/>
        <v>-1.0926176790210353</v>
      </c>
      <c r="Y76" s="5">
        <f t="shared" si="193"/>
        <v>-1.6183207623336238</v>
      </c>
      <c r="Z76" s="5">
        <f t="shared" si="193"/>
        <v>-2.2719468358203203</v>
      </c>
      <c r="AA76" s="5">
        <f t="shared" si="193"/>
        <v>-2.7970763848684488</v>
      </c>
      <c r="AB76" s="5">
        <f t="shared" si="193"/>
        <v>-3.5058538802310113</v>
      </c>
      <c r="AC76" s="383">
        <f t="shared" si="163"/>
        <v>-11.820380082412687</v>
      </c>
      <c r="AD76" s="5">
        <f t="shared" ref="AD76:AO76" si="194">AD47/AD25*AD28</f>
        <v>-3.7727128867239741</v>
      </c>
      <c r="AE76" s="5">
        <f t="shared" si="194"/>
        <v>-3.9129801986387363</v>
      </c>
      <c r="AF76" s="5">
        <f t="shared" si="194"/>
        <v>-4.9166966215694652</v>
      </c>
      <c r="AG76" s="5">
        <f t="shared" si="194"/>
        <v>-5.3470139204128921</v>
      </c>
      <c r="AH76" s="5">
        <f t="shared" si="194"/>
        <v>-6.1569724735392217</v>
      </c>
      <c r="AI76" s="5">
        <f t="shared" si="194"/>
        <v>-6.5912218006946253</v>
      </c>
      <c r="AJ76" s="5">
        <f t="shared" si="194"/>
        <v>-7.4861480929702005</v>
      </c>
      <c r="AK76" s="5">
        <f t="shared" si="194"/>
        <v>-8.1816355190496299</v>
      </c>
      <c r="AL76" s="5">
        <f t="shared" si="194"/>
        <v>-8.6093978534535687</v>
      </c>
      <c r="AM76" s="5">
        <f t="shared" si="194"/>
        <v>-9.6293446495762787</v>
      </c>
      <c r="AN76" s="5">
        <f t="shared" si="194"/>
        <v>-10.044670236762405</v>
      </c>
      <c r="AO76" s="5">
        <f t="shared" si="194"/>
        <v>-11.122504005374552</v>
      </c>
      <c r="AP76" s="383">
        <f t="shared" si="165"/>
        <v>-85.77129825876554</v>
      </c>
      <c r="AQ76" s="5">
        <f t="shared" ref="AQ76:BB76" si="195">AQ47/AQ25*AQ28</f>
        <v>-10.690814760594531</v>
      </c>
      <c r="AR76" s="5">
        <f t="shared" si="195"/>
        <v>-10.039575445418869</v>
      </c>
      <c r="AS76" s="5">
        <f t="shared" si="195"/>
        <v>-11.561374423412138</v>
      </c>
      <c r="AT76" s="5">
        <f t="shared" si="195"/>
        <v>-11.640338939718541</v>
      </c>
      <c r="AU76" s="5">
        <f t="shared" si="195"/>
        <v>-12.515301569298179</v>
      </c>
      <c r="AV76" s="5">
        <f t="shared" si="195"/>
        <v>-12.601301573478132</v>
      </c>
      <c r="AW76" s="5">
        <f t="shared" si="195"/>
        <v>-13.545585403619967</v>
      </c>
      <c r="AX76" s="5">
        <f t="shared" si="195"/>
        <v>-14.087118218313329</v>
      </c>
      <c r="AY76" s="5">
        <f t="shared" si="195"/>
        <v>-14.172610599744051</v>
      </c>
      <c r="AZ76" s="5">
        <f t="shared" si="195"/>
        <v>-15.218405335717318</v>
      </c>
      <c r="BA76" s="5">
        <f t="shared" si="195"/>
        <v>-15.296437964142772</v>
      </c>
      <c r="BB76" s="5">
        <f t="shared" si="195"/>
        <v>-16.385574519126294</v>
      </c>
      <c r="BC76" s="383">
        <f t="shared" si="167"/>
        <v>-157.75443875258412</v>
      </c>
      <c r="BD76" s="5">
        <f t="shared" ref="BD76:BO76" si="196">BD47/BD25*BD28</f>
        <v>-15.256473178987203</v>
      </c>
      <c r="BE76" s="5">
        <f t="shared" si="196"/>
        <v>-14.021563242352968</v>
      </c>
      <c r="BF76" s="5">
        <f t="shared" si="196"/>
        <v>-15.813601328921761</v>
      </c>
      <c r="BG76" s="5">
        <f t="shared" si="196"/>
        <v>-15.604641777720408</v>
      </c>
      <c r="BH76" s="5">
        <f t="shared" si="196"/>
        <v>-16.456589539276692</v>
      </c>
      <c r="BI76" s="5">
        <f t="shared" si="196"/>
        <v>-16.265906106417013</v>
      </c>
      <c r="BJ76" s="5">
        <f t="shared" si="196"/>
        <v>-17.178453258191691</v>
      </c>
      <c r="BK76" s="5">
        <f t="shared" si="196"/>
        <v>-17.566752501570168</v>
      </c>
      <c r="BL76" s="5">
        <f t="shared" si="196"/>
        <v>-17.392364764921002</v>
      </c>
      <c r="BM76" s="5">
        <f t="shared" si="196"/>
        <v>-18.393635245273874</v>
      </c>
      <c r="BN76" s="5">
        <f t="shared" si="196"/>
        <v>-18.223003615482583</v>
      </c>
      <c r="BO76" s="5">
        <f t="shared" si="196"/>
        <v>-19.25939684837876</v>
      </c>
      <c r="BP76" s="383">
        <f t="shared" si="169"/>
        <v>-201.43238140749415</v>
      </c>
      <c r="CE76" s="342" t="s">
        <v>978</v>
      </c>
      <c r="CF76" s="12" t="s">
        <v>965</v>
      </c>
    </row>
    <row r="77" spans="1:84" s="5" customFormat="1" outlineLevel="1">
      <c r="A77" s="342" t="s">
        <v>639</v>
      </c>
      <c r="B77" s="12" t="s">
        <v>502</v>
      </c>
      <c r="C77" s="12"/>
      <c r="P77" s="383">
        <f t="shared" si="161"/>
        <v>0</v>
      </c>
      <c r="AC77" s="383">
        <f t="shared" si="163"/>
        <v>0</v>
      </c>
      <c r="AP77" s="383">
        <f t="shared" si="165"/>
        <v>0</v>
      </c>
      <c r="BC77" s="383">
        <f t="shared" si="167"/>
        <v>0</v>
      </c>
      <c r="BP77" s="383">
        <f t="shared" si="169"/>
        <v>0</v>
      </c>
      <c r="CE77" s="342" t="s">
        <v>979</v>
      </c>
      <c r="CF77" s="12" t="s">
        <v>965</v>
      </c>
    </row>
    <row r="78" spans="1:84" s="5" customFormat="1" outlineLevel="1">
      <c r="A78" s="342" t="s">
        <v>638</v>
      </c>
      <c r="B78" s="12" t="s">
        <v>502</v>
      </c>
      <c r="C78" s="12"/>
      <c r="D78" s="5">
        <f t="shared" ref="D78:O78" si="197">D49</f>
        <v>0</v>
      </c>
      <c r="E78" s="5">
        <f t="shared" si="197"/>
        <v>0</v>
      </c>
      <c r="F78" s="5">
        <f t="shared" si="197"/>
        <v>0</v>
      </c>
      <c r="G78" s="5">
        <f t="shared" si="197"/>
        <v>0</v>
      </c>
      <c r="H78" s="5">
        <f t="shared" si="197"/>
        <v>0</v>
      </c>
      <c r="I78" s="5">
        <f t="shared" si="197"/>
        <v>0</v>
      </c>
      <c r="J78" s="5">
        <f t="shared" si="197"/>
        <v>0</v>
      </c>
      <c r="K78" s="5">
        <f t="shared" si="197"/>
        <v>0</v>
      </c>
      <c r="L78" s="5">
        <f t="shared" si="197"/>
        <v>0</v>
      </c>
      <c r="M78" s="5">
        <f t="shared" si="197"/>
        <v>0</v>
      </c>
      <c r="N78" s="5">
        <f t="shared" si="197"/>
        <v>0</v>
      </c>
      <c r="O78" s="5">
        <f t="shared" si="197"/>
        <v>0</v>
      </c>
      <c r="P78" s="383">
        <f t="shared" si="161"/>
        <v>0</v>
      </c>
      <c r="Q78" s="5">
        <f t="shared" ref="Q78:AB78" si="198">Q49</f>
        <v>0</v>
      </c>
      <c r="R78" s="5">
        <f t="shared" si="198"/>
        <v>0</v>
      </c>
      <c r="S78" s="5">
        <f t="shared" si="198"/>
        <v>0</v>
      </c>
      <c r="T78" s="5">
        <f t="shared" si="198"/>
        <v>0</v>
      </c>
      <c r="U78" s="5">
        <f t="shared" si="198"/>
        <v>0</v>
      </c>
      <c r="V78" s="5">
        <f t="shared" si="198"/>
        <v>0</v>
      </c>
      <c r="W78" s="5">
        <f t="shared" si="198"/>
        <v>-20.378052154202461</v>
      </c>
      <c r="X78" s="5">
        <f t="shared" si="198"/>
        <v>-38.25805295968199</v>
      </c>
      <c r="Y78" s="5">
        <f t="shared" si="198"/>
        <v>-55.123447813125573</v>
      </c>
      <c r="Z78" s="5">
        <f t="shared" si="198"/>
        <v>-74.948153258971672</v>
      </c>
      <c r="AA78" s="5">
        <f t="shared" si="198"/>
        <v>-91.246866321513721</v>
      </c>
      <c r="AB78" s="5">
        <f t="shared" si="198"/>
        <v>-111.66133737380636</v>
      </c>
      <c r="AC78" s="383">
        <f t="shared" si="163"/>
        <v>-391.61590988130177</v>
      </c>
      <c r="AD78" s="5">
        <f t="shared" ref="AD78:AO78" si="199">AD49</f>
        <v>-129.28713553712825</v>
      </c>
      <c r="AE78" s="5">
        <f t="shared" si="199"/>
        <v>-133.59227717645624</v>
      </c>
      <c r="AF78" s="5">
        <f t="shared" si="199"/>
        <v>-163.53249186693282</v>
      </c>
      <c r="AG78" s="5">
        <f t="shared" si="199"/>
        <v>-176.73674487413774</v>
      </c>
      <c r="AH78" s="5">
        <f t="shared" si="199"/>
        <v>-200.46067527706171</v>
      </c>
      <c r="AI78" s="5">
        <f t="shared" si="199"/>
        <v>-213.24145865544153</v>
      </c>
      <c r="AJ78" s="5">
        <f t="shared" si="199"/>
        <v>-238.64209045906244</v>
      </c>
      <c r="AK78" s="5">
        <f t="shared" si="199"/>
        <v>-258.08161964895061</v>
      </c>
      <c r="AL78" s="5">
        <f t="shared" si="199"/>
        <v>-269.80928879620819</v>
      </c>
      <c r="AM78" s="5">
        <f t="shared" si="199"/>
        <v>-297.42180353756834</v>
      </c>
      <c r="AN78" s="5">
        <f t="shared" si="199"/>
        <v>-308.19384124683103</v>
      </c>
      <c r="AO78" s="5">
        <f t="shared" si="199"/>
        <v>-335.60847809861218</v>
      </c>
      <c r="AP78" s="383">
        <f t="shared" si="165"/>
        <v>-2724.6079051743909</v>
      </c>
      <c r="AQ78" s="5">
        <f t="shared" ref="AQ78:BB78" si="200">AQ49</f>
        <v>-345.00840394570201</v>
      </c>
      <c r="AR78" s="5">
        <f t="shared" si="200"/>
        <v>-320.08743243661661</v>
      </c>
      <c r="AS78" s="5">
        <f t="shared" si="200"/>
        <v>-361.40909784263414</v>
      </c>
      <c r="AT78" s="5">
        <f t="shared" si="200"/>
        <v>-361.61478912509403</v>
      </c>
      <c r="AU78" s="5">
        <f t="shared" si="200"/>
        <v>-383.7381316516578</v>
      </c>
      <c r="AV78" s="5">
        <f t="shared" si="200"/>
        <v>-383.84114441973901</v>
      </c>
      <c r="AW78" s="5">
        <f t="shared" si="200"/>
        <v>-407.04215861603279</v>
      </c>
      <c r="AX78" s="5">
        <f t="shared" si="200"/>
        <v>-418.94770293860449</v>
      </c>
      <c r="AY78" s="5">
        <f t="shared" si="200"/>
        <v>-418.52116889730388</v>
      </c>
      <c r="AZ78" s="5">
        <f t="shared" si="200"/>
        <v>-443.05022713699213</v>
      </c>
      <c r="BA78" s="5">
        <f t="shared" si="200"/>
        <v>-442.04747686700483</v>
      </c>
      <c r="BB78" s="5">
        <f t="shared" si="200"/>
        <v>-465.69084443980171</v>
      </c>
      <c r="BC78" s="383">
        <f t="shared" si="167"/>
        <v>-4750.9985783171824</v>
      </c>
      <c r="BD78" s="5">
        <f t="shared" ref="BD78:BO78" si="201">BD49</f>
        <v>-465.10359417261441</v>
      </c>
      <c r="BE78" s="5">
        <f t="shared" si="201"/>
        <v>-418.70287717426498</v>
      </c>
      <c r="BF78" s="5">
        <f t="shared" si="201"/>
        <v>-462.20447684725963</v>
      </c>
      <c r="BG78" s="5">
        <f t="shared" si="201"/>
        <v>-452.43281979226936</v>
      </c>
      <c r="BH78" s="5">
        <f t="shared" si="201"/>
        <v>-470.03434531043246</v>
      </c>
      <c r="BI78" s="5">
        <f t="shared" si="201"/>
        <v>-460.7001650817013</v>
      </c>
      <c r="BJ78" s="5">
        <f t="shared" si="201"/>
        <v>-479.00840739969635</v>
      </c>
      <c r="BK78" s="5">
        <f t="shared" si="201"/>
        <v>-483.80995325374295</v>
      </c>
      <c r="BL78" s="5">
        <f t="shared" si="201"/>
        <v>-474.74014048974527</v>
      </c>
      <c r="BM78" s="5">
        <f t="shared" si="201"/>
        <v>-493.8238404729924</v>
      </c>
      <c r="BN78" s="5">
        <f t="shared" si="201"/>
        <v>-484.69942600052747</v>
      </c>
      <c r="BO78" s="5">
        <f t="shared" si="201"/>
        <v>-502.40230825664941</v>
      </c>
      <c r="BP78" s="383">
        <f t="shared" si="169"/>
        <v>-5647.6623542518964</v>
      </c>
      <c r="CE78" s="342" t="s">
        <v>980</v>
      </c>
      <c r="CF78" s="12" t="s">
        <v>965</v>
      </c>
    </row>
    <row r="79" spans="1:84" s="393" customFormat="1">
      <c r="A79" s="395" t="s">
        <v>637</v>
      </c>
      <c r="B79" s="5" t="s">
        <v>130</v>
      </c>
      <c r="P79" s="394" t="e">
        <f>P74/AVERAGE(C28:O28)*1000000</f>
        <v>#DIV/0!</v>
      </c>
      <c r="AC79" s="394">
        <f>AC74/AVERAGE(P28:AB28)*1000000</f>
        <v>-82452.164469813724</v>
      </c>
      <c r="AP79" s="394">
        <f>AP74/AVERAGE(AC28:AO28)*1000000</f>
        <v>-66928.647684884971</v>
      </c>
      <c r="BC79" s="394">
        <f>BC74/AVERAGE(AP28:BB28)*1000000</f>
        <v>-54004.709839851952</v>
      </c>
      <c r="BP79" s="394">
        <f>BP74/AVERAGE(BC28:BO28)*1000000</f>
        <v>-42930.567973249686</v>
      </c>
      <c r="CE79" s="395" t="s">
        <v>982</v>
      </c>
      <c r="CF79" s="5" t="s">
        <v>966</v>
      </c>
    </row>
    <row r="80" spans="1:84" s="390" customFormat="1" ht="15.6">
      <c r="A80" s="390" t="s">
        <v>636</v>
      </c>
      <c r="B80" s="12" t="s">
        <v>130</v>
      </c>
      <c r="C80" s="392"/>
      <c r="D80" s="390">
        <f>P80</f>
        <v>1950</v>
      </c>
      <c r="E80" s="390">
        <f t="shared" ref="E80:O80" si="202">D80</f>
        <v>1950</v>
      </c>
      <c r="F80" s="390">
        <f t="shared" si="202"/>
        <v>1950</v>
      </c>
      <c r="G80" s="390">
        <f t="shared" si="202"/>
        <v>1950</v>
      </c>
      <c r="H80" s="390">
        <f t="shared" si="202"/>
        <v>1950</v>
      </c>
      <c r="I80" s="390">
        <f t="shared" si="202"/>
        <v>1950</v>
      </c>
      <c r="J80" s="390">
        <f t="shared" si="202"/>
        <v>1950</v>
      </c>
      <c r="K80" s="390">
        <f t="shared" si="202"/>
        <v>1950</v>
      </c>
      <c r="L80" s="390">
        <f t="shared" si="202"/>
        <v>1950</v>
      </c>
      <c r="M80" s="390">
        <f t="shared" si="202"/>
        <v>1950</v>
      </c>
      <c r="N80" s="390">
        <f t="shared" si="202"/>
        <v>1950</v>
      </c>
      <c r="O80" s="390">
        <f t="shared" si="202"/>
        <v>1950</v>
      </c>
      <c r="P80" s="391">
        <f>P72*1.3</f>
        <v>1950</v>
      </c>
      <c r="Q80" s="390">
        <f>AC80</f>
        <v>3037.5</v>
      </c>
      <c r="R80" s="390">
        <f t="shared" ref="R80:AB80" si="203">Q80</f>
        <v>3037.5</v>
      </c>
      <c r="S80" s="390">
        <f t="shared" si="203"/>
        <v>3037.5</v>
      </c>
      <c r="T80" s="390">
        <f t="shared" si="203"/>
        <v>3037.5</v>
      </c>
      <c r="U80" s="390">
        <f t="shared" si="203"/>
        <v>3037.5</v>
      </c>
      <c r="V80" s="390">
        <f t="shared" si="203"/>
        <v>3037.5</v>
      </c>
      <c r="W80" s="390">
        <f t="shared" si="203"/>
        <v>3037.5</v>
      </c>
      <c r="X80" s="390">
        <f t="shared" si="203"/>
        <v>3037.5</v>
      </c>
      <c r="Y80" s="390">
        <f t="shared" si="203"/>
        <v>3037.5</v>
      </c>
      <c r="Z80" s="390">
        <f t="shared" si="203"/>
        <v>3037.5</v>
      </c>
      <c r="AA80" s="390">
        <f t="shared" si="203"/>
        <v>3037.5</v>
      </c>
      <c r="AB80" s="390">
        <f t="shared" si="203"/>
        <v>3037.5</v>
      </c>
      <c r="AC80" s="391">
        <f>AC72*1.35</f>
        <v>3037.5</v>
      </c>
      <c r="AD80" s="390">
        <f>AP80</f>
        <v>4200</v>
      </c>
      <c r="AE80" s="390">
        <f t="shared" ref="AE80:AO80" si="204">AD80</f>
        <v>4200</v>
      </c>
      <c r="AF80" s="390">
        <f t="shared" si="204"/>
        <v>4200</v>
      </c>
      <c r="AG80" s="390">
        <f t="shared" si="204"/>
        <v>4200</v>
      </c>
      <c r="AH80" s="390">
        <f t="shared" si="204"/>
        <v>4200</v>
      </c>
      <c r="AI80" s="390">
        <f t="shared" si="204"/>
        <v>4200</v>
      </c>
      <c r="AJ80" s="390">
        <f t="shared" si="204"/>
        <v>4200</v>
      </c>
      <c r="AK80" s="390">
        <f t="shared" si="204"/>
        <v>4200</v>
      </c>
      <c r="AL80" s="390">
        <f t="shared" si="204"/>
        <v>4200</v>
      </c>
      <c r="AM80" s="390">
        <f t="shared" si="204"/>
        <v>4200</v>
      </c>
      <c r="AN80" s="390">
        <f t="shared" si="204"/>
        <v>4200</v>
      </c>
      <c r="AO80" s="390">
        <f t="shared" si="204"/>
        <v>4200</v>
      </c>
      <c r="AP80" s="391">
        <f>AP72*1.4</f>
        <v>4200</v>
      </c>
      <c r="AQ80" s="390">
        <f>BC80</f>
        <v>4200</v>
      </c>
      <c r="AR80" s="390">
        <f t="shared" ref="AR80:BB80" si="205">AQ80</f>
        <v>4200</v>
      </c>
      <c r="AS80" s="390">
        <f t="shared" si="205"/>
        <v>4200</v>
      </c>
      <c r="AT80" s="390">
        <f t="shared" si="205"/>
        <v>4200</v>
      </c>
      <c r="AU80" s="390">
        <f t="shared" si="205"/>
        <v>4200</v>
      </c>
      <c r="AV80" s="390">
        <f t="shared" si="205"/>
        <v>4200</v>
      </c>
      <c r="AW80" s="390">
        <f t="shared" si="205"/>
        <v>4200</v>
      </c>
      <c r="AX80" s="390">
        <f t="shared" si="205"/>
        <v>4200</v>
      </c>
      <c r="AY80" s="390">
        <f t="shared" si="205"/>
        <v>4200</v>
      </c>
      <c r="AZ80" s="390">
        <f t="shared" si="205"/>
        <v>4200</v>
      </c>
      <c r="BA80" s="390">
        <f t="shared" si="205"/>
        <v>4200</v>
      </c>
      <c r="BB80" s="390">
        <f t="shared" si="205"/>
        <v>4200</v>
      </c>
      <c r="BC80" s="391">
        <f>BC72*1.4</f>
        <v>4200</v>
      </c>
      <c r="BD80" s="390">
        <f>BC80</f>
        <v>4200</v>
      </c>
      <c r="BE80" s="390">
        <f t="shared" ref="BE80:BO80" si="206">BD80</f>
        <v>4200</v>
      </c>
      <c r="BF80" s="390">
        <f t="shared" si="206"/>
        <v>4200</v>
      </c>
      <c r="BG80" s="390">
        <f t="shared" si="206"/>
        <v>4200</v>
      </c>
      <c r="BH80" s="390">
        <f t="shared" si="206"/>
        <v>4200</v>
      </c>
      <c r="BI80" s="390">
        <f t="shared" si="206"/>
        <v>4200</v>
      </c>
      <c r="BJ80" s="390">
        <f t="shared" si="206"/>
        <v>4200</v>
      </c>
      <c r="BK80" s="390">
        <f t="shared" si="206"/>
        <v>4200</v>
      </c>
      <c r="BL80" s="390">
        <f t="shared" si="206"/>
        <v>4200</v>
      </c>
      <c r="BM80" s="390">
        <f t="shared" si="206"/>
        <v>4200</v>
      </c>
      <c r="BN80" s="390">
        <f t="shared" si="206"/>
        <v>4200</v>
      </c>
      <c r="BO80" s="390">
        <f t="shared" si="206"/>
        <v>4200</v>
      </c>
      <c r="BP80" s="391">
        <f>BP72*1.4</f>
        <v>4200</v>
      </c>
      <c r="CE80" s="390" t="s">
        <v>981</v>
      </c>
      <c r="CF80" s="12" t="s">
        <v>966</v>
      </c>
    </row>
    <row r="81" spans="1:84" s="301" customFormat="1" ht="15.6">
      <c r="A81" s="538" t="s">
        <v>635</v>
      </c>
      <c r="B81" s="12" t="s">
        <v>502</v>
      </c>
      <c r="C81" s="380"/>
      <c r="D81" s="301">
        <f>D28*D80/1000000</f>
        <v>0</v>
      </c>
      <c r="E81" s="301">
        <f t="shared" ref="E81:O81" si="207">E28*E80/1000000</f>
        <v>0</v>
      </c>
      <c r="F81" s="301">
        <f t="shared" si="207"/>
        <v>0</v>
      </c>
      <c r="G81" s="301">
        <f t="shared" si="207"/>
        <v>0</v>
      </c>
      <c r="H81" s="301">
        <f t="shared" si="207"/>
        <v>0</v>
      </c>
      <c r="I81" s="301">
        <f t="shared" si="207"/>
        <v>0</v>
      </c>
      <c r="J81" s="301">
        <f t="shared" si="207"/>
        <v>0</v>
      </c>
      <c r="K81" s="301">
        <f t="shared" si="207"/>
        <v>0</v>
      </c>
      <c r="L81" s="301">
        <f t="shared" si="207"/>
        <v>0</v>
      </c>
      <c r="M81" s="301">
        <f t="shared" si="207"/>
        <v>0</v>
      </c>
      <c r="N81" s="301">
        <f t="shared" si="207"/>
        <v>0</v>
      </c>
      <c r="O81" s="301">
        <f t="shared" si="207"/>
        <v>0</v>
      </c>
      <c r="P81" s="389">
        <f>SUM(D81:O81)</f>
        <v>0</v>
      </c>
      <c r="Q81" s="301">
        <f t="shared" ref="Q81:AB81" si="208">Q28*Q80/1000000</f>
        <v>0</v>
      </c>
      <c r="R81" s="301">
        <f t="shared" si="208"/>
        <v>0</v>
      </c>
      <c r="S81" s="301">
        <f t="shared" si="208"/>
        <v>0</v>
      </c>
      <c r="T81" s="301">
        <f t="shared" si="208"/>
        <v>0</v>
      </c>
      <c r="U81" s="301">
        <f t="shared" si="208"/>
        <v>0</v>
      </c>
      <c r="V81" s="301">
        <f t="shared" si="208"/>
        <v>0</v>
      </c>
      <c r="W81" s="301">
        <f t="shared" si="208"/>
        <v>9.5091943844632354</v>
      </c>
      <c r="X81" s="301">
        <f t="shared" si="208"/>
        <v>19.329890854809097</v>
      </c>
      <c r="Y81" s="301">
        <f t="shared" si="208"/>
        <v>29.449153693708418</v>
      </c>
      <c r="Z81" s="301">
        <f t="shared" si="208"/>
        <v>39.853728691452481</v>
      </c>
      <c r="AA81" s="301">
        <f t="shared" si="208"/>
        <v>50.530072839296267</v>
      </c>
      <c r="AB81" s="301">
        <f t="shared" si="208"/>
        <v>60.997448168659886</v>
      </c>
      <c r="AC81" s="389">
        <f>SUM(Q81:AB81)</f>
        <v>209.6694886323894</v>
      </c>
      <c r="AD81" s="301">
        <f t="shared" ref="AD81:AO81" si="209">AD28*AD80/1000000</f>
        <v>97.122044418402268</v>
      </c>
      <c r="AE81" s="301">
        <f t="shared" si="209"/>
        <v>111.4352389676399</v>
      </c>
      <c r="AF81" s="301">
        <f t="shared" si="209"/>
        <v>126.36189551763559</v>
      </c>
      <c r="AG81" s="301">
        <f t="shared" si="209"/>
        <v>141.87880567482907</v>
      </c>
      <c r="AH81" s="301">
        <f t="shared" si="209"/>
        <v>157.96218897856238</v>
      </c>
      <c r="AI81" s="301">
        <f t="shared" si="209"/>
        <v>174.58774818490696</v>
      </c>
      <c r="AJ81" s="301">
        <f t="shared" si="209"/>
        <v>191.73072509611734</v>
      </c>
      <c r="AK81" s="301">
        <f t="shared" si="209"/>
        <v>209.3659567608569</v>
      </c>
      <c r="AL81" s="301">
        <f t="shared" si="209"/>
        <v>227.46793187140432</v>
      </c>
      <c r="AM81" s="301">
        <f t="shared" si="209"/>
        <v>246.01084718579335</v>
      </c>
      <c r="AN81" s="301">
        <f t="shared" si="209"/>
        <v>264.9686638052442</v>
      </c>
      <c r="AO81" s="301">
        <f t="shared" si="209"/>
        <v>283.33621380625647</v>
      </c>
      <c r="AP81" s="389">
        <f>SUM(AD81:AO81)</f>
        <v>2232.2282602676491</v>
      </c>
      <c r="AQ81" s="301">
        <f t="shared" ref="AQ81:BB81" si="210">AQ28*AQ80/1000000</f>
        <v>291.41513409164259</v>
      </c>
      <c r="AR81" s="301">
        <f t="shared" si="210"/>
        <v>303.14467495129747</v>
      </c>
      <c r="AS81" s="301">
        <f t="shared" si="210"/>
        <v>315.45500499168759</v>
      </c>
      <c r="AT81" s="301">
        <f t="shared" si="210"/>
        <v>328.32248849374821</v>
      </c>
      <c r="AU81" s="301">
        <f t="shared" si="210"/>
        <v>341.72311490474391</v>
      </c>
      <c r="AV81" s="301">
        <f t="shared" si="210"/>
        <v>355.63255416863052</v>
      </c>
      <c r="AW81" s="301">
        <f t="shared" si="210"/>
        <v>370.02621177623342</v>
      </c>
      <c r="AX81" s="301">
        <f t="shared" si="210"/>
        <v>384.87928337555508</v>
      </c>
      <c r="AY81" s="301">
        <f t="shared" si="210"/>
        <v>400.16680878717835</v>
      </c>
      <c r="AZ81" s="301">
        <f t="shared" si="210"/>
        <v>415.86372527491494</v>
      </c>
      <c r="BA81" s="301">
        <f t="shared" si="210"/>
        <v>431.94491992752637</v>
      </c>
      <c r="BB81" s="301">
        <f t="shared" si="210"/>
        <v>447.29431675054201</v>
      </c>
      <c r="BC81" s="389">
        <f>SUM(AQ81:BB81)</f>
        <v>4385.8682374937007</v>
      </c>
      <c r="BD81" s="301">
        <f t="shared" ref="BD81:BO81" si="211">BD28*BD80/1000000</f>
        <v>449.96889680166282</v>
      </c>
      <c r="BE81" s="301">
        <f t="shared" si="211"/>
        <v>458.17844826785978</v>
      </c>
      <c r="BF81" s="301">
        <f t="shared" si="211"/>
        <v>467.03603993368347</v>
      </c>
      <c r="BG81" s="301">
        <f t="shared" si="211"/>
        <v>476.51628918237753</v>
      </c>
      <c r="BH81" s="301">
        <f t="shared" si="211"/>
        <v>486.59352666753864</v>
      </c>
      <c r="BI81" s="301">
        <f t="shared" si="211"/>
        <v>497.24185496341539</v>
      </c>
      <c r="BJ81" s="301">
        <f t="shared" si="211"/>
        <v>508.43520628982236</v>
      </c>
      <c r="BK81" s="301">
        <f t="shared" si="211"/>
        <v>520.14739916209373</v>
      </c>
      <c r="BL81" s="301">
        <f t="shared" si="211"/>
        <v>532.35219382407297</v>
      </c>
      <c r="BM81" s="301">
        <f t="shared" si="211"/>
        <v>545.0233463300915</v>
      </c>
      <c r="BN81" s="301">
        <f t="shared" si="211"/>
        <v>558.13466115016615</v>
      </c>
      <c r="BO81" s="301">
        <f t="shared" si="211"/>
        <v>570.42674852125981</v>
      </c>
      <c r="BP81" s="389">
        <f>SUM(BD81:BO81)</f>
        <v>6070.0546110940431</v>
      </c>
      <c r="BR81" s="60">
        <f t="shared" ref="BR81" si="212">(D81+E81+F81)/500*1000</f>
        <v>0</v>
      </c>
      <c r="BS81" s="60">
        <f t="shared" ref="BS81" si="213">(G81+H81+I81)/500*1000</f>
        <v>0</v>
      </c>
      <c r="BT81" s="60">
        <f t="shared" ref="BT81" si="214">(J81+K81+L81)/500*1000</f>
        <v>0</v>
      </c>
      <c r="BU81" s="60">
        <f t="shared" ref="BU81" si="215">(M81+N81+O81)/500*1000</f>
        <v>0</v>
      </c>
      <c r="BV81" s="60">
        <f t="shared" ref="BV81" si="216">(SUM(Q81:V81))/500*1000</f>
        <v>0</v>
      </c>
      <c r="BW81" s="60">
        <f t="shared" ref="BW81" si="217">SUM(W81:AB81)/500*1000</f>
        <v>419.3389772647788</v>
      </c>
      <c r="BX81" s="60">
        <f t="shared" ref="BX81" si="218">SUM(AD81:AI81)/500*1000</f>
        <v>1618.6958434839526</v>
      </c>
      <c r="BY81" s="60">
        <f t="shared" ref="BY81" si="219">SUM(AJ81:AO81)/500*1000</f>
        <v>2845.7606770513448</v>
      </c>
      <c r="BZ81" s="60">
        <f t="shared" ref="BZ81" si="220">SUM(AQ81:AV81)/500*1000</f>
        <v>3871.3859432035006</v>
      </c>
      <c r="CA81" s="60">
        <f t="shared" ref="CA81" si="221">SUM(AW81:BB81)/500*1000</f>
        <v>4900.3505317838999</v>
      </c>
      <c r="CB81" s="60">
        <f t="shared" ref="CB81" si="222">SUM(BD81:BI81)/500*1000</f>
        <v>5671.0701116330747</v>
      </c>
      <c r="CC81" s="60">
        <f t="shared" ref="CC81" si="223">SUM(BJ81:BO81)/500*1000</f>
        <v>6469.0391105550134</v>
      </c>
      <c r="CE81" s="538" t="s">
        <v>987</v>
      </c>
      <c r="CF81" s="12" t="s">
        <v>965</v>
      </c>
    </row>
    <row r="82" spans="1:84" s="290" customFormat="1" ht="10.199999999999999">
      <c r="A82" s="290" t="s">
        <v>634</v>
      </c>
      <c r="B82" s="12"/>
      <c r="D82" s="388">
        <f t="shared" ref="D82:AI82" si="224">D45-D57-D65-D74</f>
        <v>0</v>
      </c>
      <c r="E82" s="388">
        <f t="shared" si="224"/>
        <v>0</v>
      </c>
      <c r="F82" s="388">
        <f t="shared" si="224"/>
        <v>0</v>
      </c>
      <c r="G82" s="388">
        <f t="shared" si="224"/>
        <v>0</v>
      </c>
      <c r="H82" s="388">
        <f t="shared" si="224"/>
        <v>0</v>
      </c>
      <c r="I82" s="388">
        <f t="shared" si="224"/>
        <v>0</v>
      </c>
      <c r="J82" s="388">
        <f t="shared" si="224"/>
        <v>0</v>
      </c>
      <c r="K82" s="388">
        <f t="shared" si="224"/>
        <v>0</v>
      </c>
      <c r="L82" s="388">
        <f t="shared" si="224"/>
        <v>-5.773159728050814E-15</v>
      </c>
      <c r="M82" s="388">
        <f t="shared" si="224"/>
        <v>3.5527136788005009E-15</v>
      </c>
      <c r="N82" s="388">
        <f t="shared" si="224"/>
        <v>4.4408920985006262E-15</v>
      </c>
      <c r="O82" s="388">
        <f t="shared" si="224"/>
        <v>7.1054273576010019E-15</v>
      </c>
      <c r="P82" s="387">
        <f t="shared" si="224"/>
        <v>2.4868995751603507E-14</v>
      </c>
      <c r="Q82" s="388">
        <f t="shared" si="224"/>
        <v>0</v>
      </c>
      <c r="R82" s="388">
        <f t="shared" si="224"/>
        <v>-7.1054273576010019E-15</v>
      </c>
      <c r="S82" s="388">
        <f t="shared" si="224"/>
        <v>-7.1054273576010019E-15</v>
      </c>
      <c r="T82" s="388">
        <f t="shared" si="224"/>
        <v>-7.1054273576010019E-15</v>
      </c>
      <c r="U82" s="388">
        <f t="shared" si="224"/>
        <v>0</v>
      </c>
      <c r="V82" s="388">
        <f t="shared" si="224"/>
        <v>0</v>
      </c>
      <c r="W82" s="388">
        <f t="shared" si="224"/>
        <v>-2.8421709430404007E-14</v>
      </c>
      <c r="X82" s="388">
        <f t="shared" si="224"/>
        <v>0</v>
      </c>
      <c r="Y82" s="388">
        <f t="shared" si="224"/>
        <v>0</v>
      </c>
      <c r="Z82" s="388">
        <f t="shared" si="224"/>
        <v>0</v>
      </c>
      <c r="AA82" s="388">
        <f t="shared" si="224"/>
        <v>0</v>
      </c>
      <c r="AB82" s="388">
        <f t="shared" si="224"/>
        <v>0</v>
      </c>
      <c r="AC82" s="387">
        <f t="shared" si="224"/>
        <v>0</v>
      </c>
      <c r="AD82" s="388">
        <f t="shared" si="224"/>
        <v>0</v>
      </c>
      <c r="AE82" s="388">
        <f t="shared" si="224"/>
        <v>0</v>
      </c>
      <c r="AF82" s="388">
        <f t="shared" si="224"/>
        <v>0</v>
      </c>
      <c r="AG82" s="388">
        <f t="shared" si="224"/>
        <v>0</v>
      </c>
      <c r="AH82" s="388">
        <f t="shared" si="224"/>
        <v>0</v>
      </c>
      <c r="AI82" s="388">
        <f t="shared" si="224"/>
        <v>0</v>
      </c>
      <c r="AJ82" s="388">
        <f t="shared" ref="AJ82:BP82" si="225">AJ45-AJ57-AJ65-AJ74</f>
        <v>0</v>
      </c>
      <c r="AK82" s="388">
        <f t="shared" si="225"/>
        <v>0</v>
      </c>
      <c r="AL82" s="388">
        <f t="shared" si="225"/>
        <v>0</v>
      </c>
      <c r="AM82" s="388">
        <f t="shared" si="225"/>
        <v>0</v>
      </c>
      <c r="AN82" s="388">
        <f t="shared" si="225"/>
        <v>0</v>
      </c>
      <c r="AO82" s="388">
        <f t="shared" si="225"/>
        <v>0</v>
      </c>
      <c r="AP82" s="387">
        <f t="shared" si="225"/>
        <v>0</v>
      </c>
      <c r="AQ82" s="388">
        <f t="shared" si="225"/>
        <v>0</v>
      </c>
      <c r="AR82" s="388">
        <f t="shared" si="225"/>
        <v>0</v>
      </c>
      <c r="AS82" s="388">
        <f t="shared" si="225"/>
        <v>0</v>
      </c>
      <c r="AT82" s="388">
        <f t="shared" si="225"/>
        <v>0</v>
      </c>
      <c r="AU82" s="388">
        <f t="shared" si="225"/>
        <v>0</v>
      </c>
      <c r="AV82" s="388">
        <f t="shared" si="225"/>
        <v>0</v>
      </c>
      <c r="AW82" s="388">
        <f t="shared" si="225"/>
        <v>0</v>
      </c>
      <c r="AX82" s="388">
        <f t="shared" si="225"/>
        <v>0</v>
      </c>
      <c r="AY82" s="388">
        <f t="shared" si="225"/>
        <v>0</v>
      </c>
      <c r="AZ82" s="388">
        <f t="shared" si="225"/>
        <v>0</v>
      </c>
      <c r="BA82" s="388">
        <f t="shared" si="225"/>
        <v>0</v>
      </c>
      <c r="BB82" s="388">
        <f t="shared" si="225"/>
        <v>0</v>
      </c>
      <c r="BC82" s="387">
        <f t="shared" si="225"/>
        <v>0</v>
      </c>
      <c r="BD82" s="388">
        <f t="shared" si="225"/>
        <v>0</v>
      </c>
      <c r="BE82" s="388">
        <f t="shared" si="225"/>
        <v>0</v>
      </c>
      <c r="BF82" s="388">
        <f t="shared" si="225"/>
        <v>0</v>
      </c>
      <c r="BG82" s="388">
        <f t="shared" si="225"/>
        <v>0</v>
      </c>
      <c r="BH82" s="388">
        <f t="shared" si="225"/>
        <v>0</v>
      </c>
      <c r="BI82" s="388">
        <f t="shared" si="225"/>
        <v>0</v>
      </c>
      <c r="BJ82" s="388">
        <f t="shared" si="225"/>
        <v>0</v>
      </c>
      <c r="BK82" s="388">
        <f t="shared" si="225"/>
        <v>0</v>
      </c>
      <c r="BL82" s="388">
        <f t="shared" si="225"/>
        <v>0</v>
      </c>
      <c r="BM82" s="388">
        <f t="shared" si="225"/>
        <v>0</v>
      </c>
      <c r="BN82" s="388">
        <f t="shared" si="225"/>
        <v>0</v>
      </c>
      <c r="BO82" s="388">
        <f t="shared" si="225"/>
        <v>0</v>
      </c>
      <c r="BP82" s="387">
        <f t="shared" si="225"/>
        <v>0</v>
      </c>
      <c r="CE82" s="290" t="s">
        <v>913</v>
      </c>
      <c r="CF82" s="12"/>
    </row>
    <row r="83" spans="1:84" s="384" customFormat="1" ht="15.6">
      <c r="A83" s="618" t="s">
        <v>633</v>
      </c>
      <c r="B83" s="12" t="s">
        <v>502</v>
      </c>
      <c r="C83" s="386"/>
      <c r="D83" s="384">
        <f t="shared" ref="D83:O83" si="226">SUM(D84:D93)</f>
        <v>0</v>
      </c>
      <c r="E83" s="384">
        <f t="shared" si="226"/>
        <v>0</v>
      </c>
      <c r="F83" s="384">
        <f t="shared" si="226"/>
        <v>0</v>
      </c>
      <c r="G83" s="384">
        <f t="shared" si="226"/>
        <v>0</v>
      </c>
      <c r="H83" s="384">
        <f t="shared" si="226"/>
        <v>0</v>
      </c>
      <c r="I83" s="384">
        <f t="shared" si="226"/>
        <v>-57.00887557160317</v>
      </c>
      <c r="J83" s="384">
        <f t="shared" si="226"/>
        <v>-109.97786859611242</v>
      </c>
      <c r="K83" s="384">
        <f t="shared" si="226"/>
        <v>-116.23226208745541</v>
      </c>
      <c r="L83" s="384">
        <f t="shared" si="226"/>
        <v>-122.54320792964062</v>
      </c>
      <c r="M83" s="384">
        <f t="shared" si="226"/>
        <v>-128.95077939534582</v>
      </c>
      <c r="N83" s="384">
        <f t="shared" si="226"/>
        <v>-135.41334351549656</v>
      </c>
      <c r="O83" s="384">
        <f t="shared" si="226"/>
        <v>-136.52851914146706</v>
      </c>
      <c r="P83" s="385">
        <f t="shared" ref="P83:P94" si="227">SUM(D83:O83)</f>
        <v>-806.65485623712107</v>
      </c>
      <c r="Q83" s="384">
        <f t="shared" ref="Q83:AB83" si="228">SUM(Q84:Q93)</f>
        <v>-286.27620229032465</v>
      </c>
      <c r="R83" s="384">
        <f t="shared" si="228"/>
        <v>-306.26154248791022</v>
      </c>
      <c r="S83" s="384">
        <f t="shared" si="228"/>
        <v>-326.41934309847414</v>
      </c>
      <c r="T83" s="384">
        <f t="shared" si="228"/>
        <v>-346.75837648312807</v>
      </c>
      <c r="U83" s="384">
        <f t="shared" si="228"/>
        <v>-367.2728950747732</v>
      </c>
      <c r="V83" s="384">
        <f t="shared" si="228"/>
        <v>-387.95693371201025</v>
      </c>
      <c r="W83" s="384">
        <f t="shared" si="228"/>
        <v>-408.80432329585199</v>
      </c>
      <c r="X83" s="384">
        <f t="shared" si="228"/>
        <v>-430.36924095325753</v>
      </c>
      <c r="Y83" s="384">
        <f t="shared" si="228"/>
        <v>-452.10310651766025</v>
      </c>
      <c r="Z83" s="384">
        <f t="shared" si="228"/>
        <v>-473.99846831878682</v>
      </c>
      <c r="AA83" s="384">
        <f t="shared" si="228"/>
        <v>-496.04770980801641</v>
      </c>
      <c r="AB83" s="384">
        <f t="shared" si="228"/>
        <v>-499.82449288489465</v>
      </c>
      <c r="AC83" s="385">
        <f t="shared" ref="AC83:AC94" si="229">SUM(Q83:AB83)</f>
        <v>-4782.0926349250885</v>
      </c>
      <c r="AD83" s="384">
        <f t="shared" ref="AD83:AO83" si="230">SUM(AD84:AD93)</f>
        <v>-456.86847048008178</v>
      </c>
      <c r="AE83" s="384">
        <f t="shared" si="230"/>
        <v>-485.42954827115773</v>
      </c>
      <c r="AF83" s="384">
        <f t="shared" si="230"/>
        <v>-513.73657838752706</v>
      </c>
      <c r="AG83" s="384">
        <f t="shared" si="230"/>
        <v>-542.26422897557643</v>
      </c>
      <c r="AH83" s="384">
        <f t="shared" si="230"/>
        <v>-571.00391480931171</v>
      </c>
      <c r="AI83" s="384">
        <f t="shared" si="230"/>
        <v>-599.94685182499188</v>
      </c>
      <c r="AJ83" s="384">
        <f t="shared" si="230"/>
        <v>-629.08407744851615</v>
      </c>
      <c r="AK83" s="384">
        <f t="shared" si="230"/>
        <v>-658.4064710868397</v>
      </c>
      <c r="AL83" s="384">
        <f t="shared" si="230"/>
        <v>-687.90477471967051</v>
      </c>
      <c r="AM83" s="384">
        <f t="shared" si="230"/>
        <v>-717.56961352823282</v>
      </c>
      <c r="AN83" s="384">
        <f t="shared" si="230"/>
        <v>-747.39151649866767</v>
      </c>
      <c r="AO83" s="384">
        <f t="shared" si="230"/>
        <v>-750.95587138888709</v>
      </c>
      <c r="AP83" s="385">
        <f t="shared" ref="AP83:AP94" si="231">SUM(AD83:AO83)</f>
        <v>-7360.5619174194608</v>
      </c>
      <c r="AQ83" s="384">
        <f t="shared" ref="AQ83:BB83" si="232">SUM(AQ84:AQ93)</f>
        <v>-561.16121017942839</v>
      </c>
      <c r="AR83" s="384">
        <f t="shared" si="232"/>
        <v>-591.73735775259752</v>
      </c>
      <c r="AS83" s="384">
        <f t="shared" si="232"/>
        <v>-621.42338881395676</v>
      </c>
      <c r="AT83" s="384">
        <f t="shared" si="232"/>
        <v>-651.29970182755301</v>
      </c>
      <c r="AU83" s="384">
        <f t="shared" si="232"/>
        <v>-681.35855036923795</v>
      </c>
      <c r="AV83" s="384">
        <f t="shared" si="232"/>
        <v>-711.59206828478727</v>
      </c>
      <c r="AW83" s="384">
        <f t="shared" si="232"/>
        <v>-741.99228780259671</v>
      </c>
      <c r="AX83" s="384">
        <f t="shared" si="232"/>
        <v>-772.551157540183</v>
      </c>
      <c r="AY83" s="384">
        <f t="shared" si="232"/>
        <v>-803.26056035258637</v>
      </c>
      <c r="AZ83" s="384">
        <f t="shared" si="232"/>
        <v>-834.11233097235561</v>
      </c>
      <c r="BA83" s="384">
        <f t="shared" si="232"/>
        <v>-865.09827339255207</v>
      </c>
      <c r="BB83" s="384">
        <f t="shared" si="232"/>
        <v>-866.50252086136322</v>
      </c>
      <c r="BC83" s="385">
        <f t="shared" ref="BC83:BC94" si="233">SUM(AQ83:BB83)</f>
        <v>-8702.089408149197</v>
      </c>
      <c r="BD83" s="384">
        <f t="shared" ref="BD83:BO83" si="234">SUM(BD84:BD93)</f>
        <v>-656.86151572874633</v>
      </c>
      <c r="BE83" s="384">
        <f t="shared" si="234"/>
        <v>-690.03279144682131</v>
      </c>
      <c r="BF83" s="384">
        <f t="shared" si="234"/>
        <v>-721.98244585174029</v>
      </c>
      <c r="BG83" s="384">
        <f t="shared" si="234"/>
        <v>-754.12745356929531</v>
      </c>
      <c r="BH83" s="384">
        <f t="shared" si="234"/>
        <v>-786.46022610392561</v>
      </c>
      <c r="BI83" s="384">
        <f t="shared" si="234"/>
        <v>-818.97308981846925</v>
      </c>
      <c r="BJ83" s="384">
        <f t="shared" si="234"/>
        <v>-851.65830348543113</v>
      </c>
      <c r="BK83" s="384">
        <f t="shared" si="234"/>
        <v>-884.50807555274969</v>
      </c>
      <c r="BL83" s="384">
        <f t="shared" si="234"/>
        <v>-917.51458107966221</v>
      </c>
      <c r="BM83" s="384">
        <f t="shared" si="234"/>
        <v>-950.66997830057062</v>
      </c>
      <c r="BN83" s="384">
        <f t="shared" si="234"/>
        <v>-983.96642477722048</v>
      </c>
      <c r="BO83" s="384">
        <f t="shared" si="234"/>
        <v>-983.47898148320451</v>
      </c>
      <c r="BP83" s="385">
        <f t="shared" ref="BP83:BP94" si="235">SUM(BD83:BO83)</f>
        <v>-10000.233867197836</v>
      </c>
      <c r="BR83" s="60">
        <f t="shared" ref="BR83" si="236">(D83+E83+F83)/500*1000</f>
        <v>0</v>
      </c>
      <c r="BS83" s="60">
        <f t="shared" ref="BS83" si="237">(G83+H83+I83)/500*1000</f>
        <v>-114.01775114320634</v>
      </c>
      <c r="BT83" s="60">
        <f t="shared" ref="BT83" si="238">(J83+K83+L83)/500*1000</f>
        <v>-697.50667722641685</v>
      </c>
      <c r="BU83" s="60">
        <f t="shared" ref="BU83" si="239">(M83+N83+O83)/500*1000</f>
        <v>-801.785284104619</v>
      </c>
      <c r="BV83" s="60">
        <f t="shared" ref="BV83" si="240">(SUM(Q83:V83))/500*1000</f>
        <v>-4041.890586293242</v>
      </c>
      <c r="BW83" s="60">
        <f t="shared" ref="BW83" si="241">SUM(W83:AB83)/500*1000</f>
        <v>-5522.2946835569346</v>
      </c>
      <c r="BX83" s="60">
        <f t="shared" ref="BX83" si="242">SUM(AD83:AI83)/500*1000</f>
        <v>-6338.4991854972932</v>
      </c>
      <c r="BY83" s="60">
        <f t="shared" ref="BY83" si="243">SUM(AJ83:AO83)/500*1000</f>
        <v>-8382.6246493416274</v>
      </c>
      <c r="BZ83" s="60">
        <f t="shared" ref="BZ83" si="244">SUM(AQ83:AV83)/500*1000</f>
        <v>-7637.1445544551216</v>
      </c>
      <c r="CA83" s="60">
        <f t="shared" ref="CA83" si="245">SUM(AW83:BB83)/500*1000</f>
        <v>-9767.0342618432733</v>
      </c>
      <c r="CB83" s="60">
        <f t="shared" ref="CB83" si="246">SUM(BD83:BI83)/500*1000</f>
        <v>-8856.8750450379957</v>
      </c>
      <c r="CC83" s="60">
        <f>SUM(BJ83:BO83)/500*1000</f>
        <v>-11143.592689357678</v>
      </c>
      <c r="CE83" s="618" t="s">
        <v>1219</v>
      </c>
      <c r="CF83" s="12" t="s">
        <v>965</v>
      </c>
    </row>
    <row r="84" spans="1:84" s="5" customFormat="1" ht="15.6" outlineLevel="1">
      <c r="A84" s="297" t="s">
        <v>530</v>
      </c>
      <c r="B84" s="12" t="s">
        <v>502</v>
      </c>
      <c r="C84" s="12"/>
      <c r="D84" s="5">
        <f t="shared" ref="D84:O84" si="247">D4*D119/-1000000</f>
        <v>0</v>
      </c>
      <c r="E84" s="5">
        <f t="shared" si="247"/>
        <v>0</v>
      </c>
      <c r="F84" s="5">
        <f t="shared" si="247"/>
        <v>0</v>
      </c>
      <c r="G84" s="5">
        <f t="shared" si="247"/>
        <v>0</v>
      </c>
      <c r="H84" s="5">
        <f t="shared" si="247"/>
        <v>0</v>
      </c>
      <c r="I84" s="5">
        <f t="shared" si="247"/>
        <v>-17.205898059839992</v>
      </c>
      <c r="J84" s="5">
        <f t="shared" si="247"/>
        <v>-17.983842941567993</v>
      </c>
      <c r="K84" s="5">
        <f t="shared" si="247"/>
        <v>-18.76178782329599</v>
      </c>
      <c r="L84" s="5">
        <f t="shared" si="247"/>
        <v>-19.53973270502399</v>
      </c>
      <c r="M84" s="5">
        <f t="shared" si="247"/>
        <v>-20.317677586751991</v>
      </c>
      <c r="N84" s="5">
        <f t="shared" si="247"/>
        <v>-21.095622468479988</v>
      </c>
      <c r="O84" s="5">
        <f t="shared" si="247"/>
        <v>-20.990494781760066</v>
      </c>
      <c r="P84" s="383">
        <f t="shared" si="227"/>
        <v>-135.89505636672001</v>
      </c>
      <c r="Q84" s="5">
        <f t="shared" ref="Q84:AB84" si="248">Q4*Q119/-1000000</f>
        <v>-42.274622675199993</v>
      </c>
      <c r="R84" s="5">
        <f t="shared" si="248"/>
        <v>-44.744350631487997</v>
      </c>
      <c r="S84" s="5">
        <f t="shared" si="248"/>
        <v>-47.214078587776001</v>
      </c>
      <c r="T84" s="5">
        <f t="shared" si="248"/>
        <v>-49.683806544063984</v>
      </c>
      <c r="U84" s="5">
        <f t="shared" si="248"/>
        <v>-52.153534500351988</v>
      </c>
      <c r="V84" s="5">
        <f t="shared" si="248"/>
        <v>-54.623262456639985</v>
      </c>
      <c r="W84" s="5">
        <f t="shared" si="248"/>
        <v>-57.092990412927975</v>
      </c>
      <c r="X84" s="5">
        <f t="shared" si="248"/>
        <v>-59.562718369215972</v>
      </c>
      <c r="Y84" s="5">
        <f t="shared" si="248"/>
        <v>-62.032446325503976</v>
      </c>
      <c r="Z84" s="5">
        <f t="shared" si="248"/>
        <v>-64.502174281791966</v>
      </c>
      <c r="AA84" s="5">
        <f t="shared" si="248"/>
        <v>-66.971902238079963</v>
      </c>
      <c r="AB84" s="5">
        <f t="shared" si="248"/>
        <v>-66.638155216960214</v>
      </c>
      <c r="AC84" s="383">
        <f t="shared" si="229"/>
        <v>-667.49404224000011</v>
      </c>
      <c r="AD84" s="5">
        <f t="shared" ref="AD84:AO84" si="249">AD4*AD119/-1000000</f>
        <v>-56.689456229759998</v>
      </c>
      <c r="AE84" s="5">
        <f t="shared" si="249"/>
        <v>-60.001313935814387</v>
      </c>
      <c r="AF84" s="5">
        <f t="shared" si="249"/>
        <v>-63.313171641868792</v>
      </c>
      <c r="AG84" s="5">
        <f t="shared" si="249"/>
        <v>-66.625029347923189</v>
      </c>
      <c r="AH84" s="5">
        <f t="shared" si="249"/>
        <v>-69.936887053977586</v>
      </c>
      <c r="AI84" s="5">
        <f t="shared" si="249"/>
        <v>-73.248744760031983</v>
      </c>
      <c r="AJ84" s="5">
        <f t="shared" si="249"/>
        <v>-76.56060246608638</v>
      </c>
      <c r="AK84" s="5">
        <f t="shared" si="249"/>
        <v>-79.872460172140762</v>
      </c>
      <c r="AL84" s="5">
        <f t="shared" si="249"/>
        <v>-83.184317878195174</v>
      </c>
      <c r="AM84" s="5">
        <f t="shared" si="249"/>
        <v>-86.496175584249556</v>
      </c>
      <c r="AN84" s="5">
        <f t="shared" si="249"/>
        <v>-89.808033290303968</v>
      </c>
      <c r="AO84" s="5">
        <f t="shared" si="249"/>
        <v>-89.360484951648303</v>
      </c>
      <c r="AP84" s="383">
        <f t="shared" si="231"/>
        <v>-895.096677312</v>
      </c>
      <c r="AQ84" s="5">
        <f t="shared" ref="AQ84:BB84" si="250">AQ4*AQ119/-1000000</f>
        <v>-63.862765564703992</v>
      </c>
      <c r="AR84" s="5">
        <f t="shared" si="250"/>
        <v>-67.59369555295774</v>
      </c>
      <c r="AS84" s="5">
        <f t="shared" si="250"/>
        <v>-71.324625541211503</v>
      </c>
      <c r="AT84" s="5">
        <f t="shared" si="250"/>
        <v>-75.055555529465252</v>
      </c>
      <c r="AU84" s="5">
        <f t="shared" si="250"/>
        <v>-78.786485517719015</v>
      </c>
      <c r="AV84" s="5">
        <f t="shared" si="250"/>
        <v>-82.517415505972764</v>
      </c>
      <c r="AW84" s="5">
        <f t="shared" si="250"/>
        <v>-86.248345494226527</v>
      </c>
      <c r="AX84" s="5">
        <f t="shared" si="250"/>
        <v>-89.979275482480276</v>
      </c>
      <c r="AY84" s="5">
        <f t="shared" si="250"/>
        <v>-93.710205470734024</v>
      </c>
      <c r="AZ84" s="5">
        <f t="shared" si="250"/>
        <v>-97.441135458987773</v>
      </c>
      <c r="BA84" s="5">
        <f t="shared" si="250"/>
        <v>-101.17206544724155</v>
      </c>
      <c r="BB84" s="5">
        <f t="shared" si="250"/>
        <v>-100.66788571909953</v>
      </c>
      <c r="BC84" s="383">
        <f t="shared" si="233"/>
        <v>-1008.3594562848</v>
      </c>
      <c r="BD84" s="5">
        <f t="shared" ref="BD84:BO84" si="251">BD4*BD119/-1000000</f>
        <v>-72.987776092977583</v>
      </c>
      <c r="BE84" s="5">
        <f t="shared" si="251"/>
        <v>-77.251798801567332</v>
      </c>
      <c r="BF84" s="5">
        <f t="shared" si="251"/>
        <v>-81.515821510157068</v>
      </c>
      <c r="BG84" s="5">
        <f t="shared" si="251"/>
        <v>-85.779844218746803</v>
      </c>
      <c r="BH84" s="5">
        <f t="shared" si="251"/>
        <v>-90.043866927336538</v>
      </c>
      <c r="BI84" s="5">
        <f t="shared" si="251"/>
        <v>-94.307889635926273</v>
      </c>
      <c r="BJ84" s="5">
        <f t="shared" si="251"/>
        <v>-98.571912344516008</v>
      </c>
      <c r="BK84" s="5">
        <f t="shared" si="251"/>
        <v>-102.83593505310576</v>
      </c>
      <c r="BL84" s="5">
        <f t="shared" si="251"/>
        <v>-107.09995776169549</v>
      </c>
      <c r="BM84" s="5">
        <f t="shared" si="251"/>
        <v>-111.36398047028524</v>
      </c>
      <c r="BN84" s="5">
        <f t="shared" si="251"/>
        <v>-115.62800317887496</v>
      </c>
      <c r="BO84" s="5">
        <f t="shared" si="251"/>
        <v>-115.05178389393085</v>
      </c>
      <c r="BP84" s="383">
        <f t="shared" si="235"/>
        <v>-1152.4385698891199</v>
      </c>
      <c r="BR84" s="60">
        <f t="shared" ref="BR84:BR94" si="252">(D84+E84+F84)/500*1000</f>
        <v>0</v>
      </c>
      <c r="BS84" s="60">
        <f t="shared" ref="BS84:BS94" si="253">(G84+H84+I84)/500*1000</f>
        <v>-34.411796119679984</v>
      </c>
      <c r="BT84" s="60">
        <f t="shared" ref="BT84:BT94" si="254">(J84+K84+L84)/500*1000</f>
        <v>-112.57072693977594</v>
      </c>
      <c r="BU84" s="60">
        <f t="shared" ref="BU84:BU94" si="255">(M84+N84+O84)/500*1000</f>
        <v>-124.8075896739841</v>
      </c>
      <c r="BV84" s="60">
        <f t="shared" ref="BV84:BV94" si="256">(SUM(Q84:V84))/500*1000</f>
        <v>-581.38731079103991</v>
      </c>
      <c r="BW84" s="60">
        <f t="shared" ref="BW84:BW94" si="257">SUM(W84:AB84)/500*1000</f>
        <v>-753.6007736889602</v>
      </c>
      <c r="BX84" s="60">
        <f t="shared" ref="BX84:BX94" si="258">SUM(AD84:AI84)/500*1000</f>
        <v>-779.62920593875174</v>
      </c>
      <c r="BY84" s="60">
        <f t="shared" ref="BY84:BY94" si="259">SUM(AJ84:AO84)/500*1000</f>
        <v>-1010.5641486852484</v>
      </c>
      <c r="BZ84" s="60">
        <f t="shared" ref="BZ84:BZ94" si="260">SUM(AQ84:AV84)/500*1000</f>
        <v>-878.2810864240605</v>
      </c>
      <c r="CA84" s="60">
        <f t="shared" ref="CA84:CA94" si="261">SUM(AW84:BB84)/500*1000</f>
        <v>-1138.4378261455395</v>
      </c>
      <c r="CB84" s="60">
        <f t="shared" ref="CB84:CB94" si="262">SUM(BD84:BI84)/500*1000</f>
        <v>-1003.7739943734232</v>
      </c>
      <c r="CC84" s="60">
        <f t="shared" ref="CC84:CC94" si="263">SUM(BJ84:BO84)/500*1000</f>
        <v>-1301.1031454048166</v>
      </c>
      <c r="CE84" s="297" t="s">
        <v>989</v>
      </c>
      <c r="CF84" s="12" t="s">
        <v>965</v>
      </c>
    </row>
    <row r="85" spans="1:84" s="5" customFormat="1" ht="15.6" outlineLevel="1">
      <c r="A85" s="297" t="s">
        <v>531</v>
      </c>
      <c r="B85" s="12" t="s">
        <v>502</v>
      </c>
      <c r="C85" s="12"/>
      <c r="D85" s="5">
        <f t="shared" ref="D85:O85" si="264">(D4*D122*D121+D8*D123*D121)/-1000000</f>
        <v>0</v>
      </c>
      <c r="E85" s="5">
        <f t="shared" si="264"/>
        <v>0</v>
      </c>
      <c r="F85" s="5">
        <f t="shared" si="264"/>
        <v>0</v>
      </c>
      <c r="G85" s="5">
        <f t="shared" si="264"/>
        <v>0</v>
      </c>
      <c r="H85" s="5">
        <f t="shared" si="264"/>
        <v>0</v>
      </c>
      <c r="I85" s="5">
        <f t="shared" si="264"/>
        <v>-0.80294190945919963</v>
      </c>
      <c r="J85" s="5">
        <f t="shared" si="264"/>
        <v>-0.96513290453081546</v>
      </c>
      <c r="K85" s="5">
        <f t="shared" si="264"/>
        <v>-1.0068826131835515</v>
      </c>
      <c r="L85" s="5">
        <f t="shared" si="264"/>
        <v>-1.0486323218362876</v>
      </c>
      <c r="M85" s="5">
        <f t="shared" si="264"/>
        <v>-1.0903820304890233</v>
      </c>
      <c r="N85" s="5">
        <f t="shared" si="264"/>
        <v>-1.1321317391417594</v>
      </c>
      <c r="O85" s="5">
        <f t="shared" si="264"/>
        <v>-1.1264898866211237</v>
      </c>
      <c r="P85" s="383">
        <f t="shared" si="227"/>
        <v>-7.172593405261761</v>
      </c>
      <c r="Q85" s="5">
        <f t="shared" ref="Q85:AB85" si="265">(Q4*Q122*Q121+Q8*Q123*Q121)/-1000000</f>
        <v>-2.3180584766901333</v>
      </c>
      <c r="R85" s="5">
        <f t="shared" si="265"/>
        <v>-2.4534818929599251</v>
      </c>
      <c r="S85" s="5">
        <f t="shared" si="265"/>
        <v>-2.588905309229717</v>
      </c>
      <c r="T85" s="5">
        <f t="shared" si="265"/>
        <v>-2.7243287254995083</v>
      </c>
      <c r="U85" s="5">
        <f t="shared" si="265"/>
        <v>-2.8597521417693006</v>
      </c>
      <c r="V85" s="5">
        <f t="shared" si="265"/>
        <v>-2.9951755580390924</v>
      </c>
      <c r="W85" s="5">
        <f t="shared" si="265"/>
        <v>-3.1305989743088838</v>
      </c>
      <c r="X85" s="5">
        <f t="shared" si="265"/>
        <v>-3.266022390578676</v>
      </c>
      <c r="Y85" s="5">
        <f t="shared" si="265"/>
        <v>-3.4014458068484679</v>
      </c>
      <c r="Z85" s="5">
        <f t="shared" si="265"/>
        <v>-3.5368692231182601</v>
      </c>
      <c r="AA85" s="5">
        <f t="shared" si="265"/>
        <v>-3.6722926393880511</v>
      </c>
      <c r="AB85" s="5">
        <f t="shared" si="265"/>
        <v>-3.6539921777299855</v>
      </c>
      <c r="AC85" s="383">
        <f t="shared" si="229"/>
        <v>-36.600923316159999</v>
      </c>
      <c r="AD85" s="5">
        <f t="shared" ref="AD85:AO85" si="266">(AD4*AD122*AD121+AD8*AD123*AD121)/-1000000</f>
        <v>-3.1746095488665595</v>
      </c>
      <c r="AE85" s="5">
        <f t="shared" si="266"/>
        <v>-3.3600735804056057</v>
      </c>
      <c r="AF85" s="5">
        <f t="shared" si="266"/>
        <v>-3.5455376119446522</v>
      </c>
      <c r="AG85" s="5">
        <f t="shared" si="266"/>
        <v>-3.7310016434836983</v>
      </c>
      <c r="AH85" s="5">
        <f t="shared" si="266"/>
        <v>-3.916465675022744</v>
      </c>
      <c r="AI85" s="5">
        <f t="shared" si="266"/>
        <v>-4.1019297065617906</v>
      </c>
      <c r="AJ85" s="5">
        <f t="shared" si="266"/>
        <v>-4.2873937381008371</v>
      </c>
      <c r="AK85" s="5">
        <f t="shared" si="266"/>
        <v>-4.4728577696398828</v>
      </c>
      <c r="AL85" s="5">
        <f t="shared" si="266"/>
        <v>-4.6583218011789285</v>
      </c>
      <c r="AM85" s="5">
        <f t="shared" si="266"/>
        <v>-4.843785832717975</v>
      </c>
      <c r="AN85" s="5">
        <f t="shared" si="266"/>
        <v>-5.0292498642570216</v>
      </c>
      <c r="AO85" s="5">
        <f t="shared" si="266"/>
        <v>-5.0041871572923045</v>
      </c>
      <c r="AP85" s="383">
        <f t="shared" si="231"/>
        <v>-50.125413929472003</v>
      </c>
      <c r="AQ85" s="5">
        <f t="shared" ref="AQ85:BB85" si="267">(AQ4*AQ122*AQ121+AQ8*AQ123*AQ121)/-1000000</f>
        <v>-3.5763148716234241</v>
      </c>
      <c r="AR85" s="5">
        <f t="shared" si="267"/>
        <v>-3.7852469509656341</v>
      </c>
      <c r="AS85" s="5">
        <f t="shared" si="267"/>
        <v>-3.9941790303078437</v>
      </c>
      <c r="AT85" s="5">
        <f t="shared" si="267"/>
        <v>-4.2031111096500542</v>
      </c>
      <c r="AU85" s="5">
        <f t="shared" si="267"/>
        <v>-4.4120431889922651</v>
      </c>
      <c r="AV85" s="5">
        <f t="shared" si="267"/>
        <v>-4.6209752683344743</v>
      </c>
      <c r="AW85" s="5">
        <f t="shared" si="267"/>
        <v>-4.8299073476766852</v>
      </c>
      <c r="AX85" s="5">
        <f t="shared" si="267"/>
        <v>-5.0388394270188952</v>
      </c>
      <c r="AY85" s="5">
        <f t="shared" si="267"/>
        <v>-5.2477715063611061</v>
      </c>
      <c r="AZ85" s="5">
        <f t="shared" si="267"/>
        <v>-5.4567035857033153</v>
      </c>
      <c r="BA85" s="5">
        <f t="shared" si="267"/>
        <v>-5.6656356650455271</v>
      </c>
      <c r="BB85" s="5">
        <f t="shared" si="267"/>
        <v>-5.6374016002695742</v>
      </c>
      <c r="BC85" s="383">
        <f t="shared" si="233"/>
        <v>-56.468129551948799</v>
      </c>
      <c r="BD85" s="5">
        <f t="shared" ref="BD85:BO85" si="268">(BD4*BD122*BD121+BD8*BD123*BD121)/-1000000</f>
        <v>-4.087315461206745</v>
      </c>
      <c r="BE85" s="5">
        <f t="shared" si="268"/>
        <v>-4.3261007328877703</v>
      </c>
      <c r="BF85" s="5">
        <f t="shared" si="268"/>
        <v>-4.5648860045687956</v>
      </c>
      <c r="BG85" s="5">
        <f t="shared" si="268"/>
        <v>-4.8036712762498199</v>
      </c>
      <c r="BH85" s="5">
        <f t="shared" si="268"/>
        <v>-5.042456547930847</v>
      </c>
      <c r="BI85" s="5">
        <f t="shared" si="268"/>
        <v>-5.2812418196118713</v>
      </c>
      <c r="BJ85" s="5">
        <f t="shared" si="268"/>
        <v>-5.5200270912928966</v>
      </c>
      <c r="BK85" s="5">
        <f t="shared" si="268"/>
        <v>-5.7588123629739227</v>
      </c>
      <c r="BL85" s="5">
        <f t="shared" si="268"/>
        <v>-5.997597634654948</v>
      </c>
      <c r="BM85" s="5">
        <f t="shared" si="268"/>
        <v>-6.2363829063359733</v>
      </c>
      <c r="BN85" s="5">
        <f t="shared" si="268"/>
        <v>-6.4751681780169976</v>
      </c>
      <c r="BO85" s="5">
        <f t="shared" si="268"/>
        <v>-6.4428998980601282</v>
      </c>
      <c r="BP85" s="383">
        <f t="shared" si="235"/>
        <v>-64.536559913790725</v>
      </c>
      <c r="BR85" s="60">
        <f t="shared" si="252"/>
        <v>0</v>
      </c>
      <c r="BS85" s="60">
        <f t="shared" si="253"/>
        <v>-1.6058838189183993</v>
      </c>
      <c r="BT85" s="60">
        <f t="shared" si="254"/>
        <v>-6.0412956791013093</v>
      </c>
      <c r="BU85" s="60">
        <f t="shared" si="255"/>
        <v>-6.6980073125038118</v>
      </c>
      <c r="BV85" s="60">
        <f t="shared" si="256"/>
        <v>-31.879404208375352</v>
      </c>
      <c r="BW85" s="60">
        <f t="shared" si="257"/>
        <v>-41.322442423944651</v>
      </c>
      <c r="BX85" s="60">
        <f t="shared" si="258"/>
        <v>-43.659235532570108</v>
      </c>
      <c r="BY85" s="60">
        <f t="shared" si="259"/>
        <v>-56.591592326373899</v>
      </c>
      <c r="BZ85" s="60">
        <f t="shared" si="260"/>
        <v>-49.183740839747387</v>
      </c>
      <c r="CA85" s="60">
        <f t="shared" si="261"/>
        <v>-63.752518264150211</v>
      </c>
      <c r="CB85" s="60">
        <f t="shared" si="262"/>
        <v>-56.211343684911697</v>
      </c>
      <c r="CC85" s="60">
        <f t="shared" si="263"/>
        <v>-72.861776142669726</v>
      </c>
      <c r="CE85" s="297" t="s">
        <v>990</v>
      </c>
      <c r="CF85" s="12" t="s">
        <v>965</v>
      </c>
    </row>
    <row r="86" spans="1:84" s="5" customFormat="1" ht="15.6" outlineLevel="1">
      <c r="A86" s="297" t="s">
        <v>533</v>
      </c>
      <c r="B86" s="12" t="s">
        <v>502</v>
      </c>
      <c r="C86" s="12"/>
      <c r="D86" s="5">
        <f t="shared" ref="D86:O86" si="269">(D4*D125+D8*D126)/-1000000</f>
        <v>0</v>
      </c>
      <c r="E86" s="5">
        <f t="shared" si="269"/>
        <v>0</v>
      </c>
      <c r="F86" s="5">
        <f t="shared" si="269"/>
        <v>0</v>
      </c>
      <c r="G86" s="5">
        <f t="shared" si="269"/>
        <v>0</v>
      </c>
      <c r="H86" s="5">
        <f t="shared" si="269"/>
        <v>0</v>
      </c>
      <c r="I86" s="5">
        <f t="shared" si="269"/>
        <v>-10.323538835903996</v>
      </c>
      <c r="J86" s="5">
        <f t="shared" si="269"/>
        <v>-12.408851629681914</v>
      </c>
      <c r="K86" s="5">
        <f t="shared" si="269"/>
        <v>-12.945633598074233</v>
      </c>
      <c r="L86" s="5">
        <f t="shared" si="269"/>
        <v>-13.482415566466553</v>
      </c>
      <c r="M86" s="5">
        <f t="shared" si="269"/>
        <v>-14.019197534858874</v>
      </c>
      <c r="N86" s="5">
        <f t="shared" si="269"/>
        <v>-14.555979503251192</v>
      </c>
      <c r="O86" s="5">
        <f t="shared" si="269"/>
        <v>-14.483441399414446</v>
      </c>
      <c r="P86" s="383">
        <f t="shared" si="227"/>
        <v>-92.219058067651204</v>
      </c>
      <c r="Q86" s="5">
        <f t="shared" ref="Q86:AB86" si="270">(Q4*Q125+Q8*Q126)/-1000000</f>
        <v>-29.803608986015995</v>
      </c>
      <c r="R86" s="5">
        <f t="shared" si="270"/>
        <v>-31.544767195199036</v>
      </c>
      <c r="S86" s="5">
        <f t="shared" si="270"/>
        <v>-33.285925404382077</v>
      </c>
      <c r="T86" s="5">
        <f t="shared" si="270"/>
        <v>-35.027083613565111</v>
      </c>
      <c r="U86" s="5">
        <f t="shared" si="270"/>
        <v>-36.768241822748145</v>
      </c>
      <c r="V86" s="5">
        <f t="shared" si="270"/>
        <v>-38.509400031931193</v>
      </c>
      <c r="W86" s="5">
        <f t="shared" si="270"/>
        <v>-40.25055824111422</v>
      </c>
      <c r="X86" s="5">
        <f t="shared" si="270"/>
        <v>-41.991716450297261</v>
      </c>
      <c r="Y86" s="5">
        <f t="shared" si="270"/>
        <v>-43.732874659480302</v>
      </c>
      <c r="Z86" s="5">
        <f t="shared" si="270"/>
        <v>-45.474032868663343</v>
      </c>
      <c r="AA86" s="5">
        <f t="shared" si="270"/>
        <v>-47.215191077846377</v>
      </c>
      <c r="AB86" s="5">
        <f t="shared" si="270"/>
        <v>-46.979899427956951</v>
      </c>
      <c r="AC86" s="383">
        <f t="shared" si="229"/>
        <v>-470.58329977920005</v>
      </c>
      <c r="AD86" s="5">
        <f t="shared" ref="AD86:AO86" si="271">(AD4*AD125+AD8*AD126)/-1000000</f>
        <v>-40.816408485427203</v>
      </c>
      <c r="AE86" s="5">
        <f t="shared" si="271"/>
        <v>-43.200946033786359</v>
      </c>
      <c r="AF86" s="5">
        <f t="shared" si="271"/>
        <v>-45.585483582145528</v>
      </c>
      <c r="AG86" s="5">
        <f t="shared" si="271"/>
        <v>-47.970021130504698</v>
      </c>
      <c r="AH86" s="5">
        <f t="shared" si="271"/>
        <v>-50.354558678863853</v>
      </c>
      <c r="AI86" s="5">
        <f t="shared" si="271"/>
        <v>-52.739096227223023</v>
      </c>
      <c r="AJ86" s="5">
        <f t="shared" si="271"/>
        <v>-55.123633775582185</v>
      </c>
      <c r="AK86" s="5">
        <f t="shared" si="271"/>
        <v>-57.508171323941347</v>
      </c>
      <c r="AL86" s="5">
        <f t="shared" si="271"/>
        <v>-59.89270887230051</v>
      </c>
      <c r="AM86" s="5">
        <f t="shared" si="271"/>
        <v>-62.277246420659687</v>
      </c>
      <c r="AN86" s="5">
        <f t="shared" si="271"/>
        <v>-64.661783969018856</v>
      </c>
      <c r="AO86" s="5">
        <f t="shared" si="271"/>
        <v>-64.339549165186781</v>
      </c>
      <c r="AP86" s="383">
        <f t="shared" si="231"/>
        <v>-644.46960766463997</v>
      </c>
      <c r="AQ86" s="5">
        <f t="shared" ref="AQ86:BB86" si="272">(AQ4*AQ125+AQ8*AQ126)/-1000000</f>
        <v>-45.981191206586878</v>
      </c>
      <c r="AR86" s="5">
        <f t="shared" si="272"/>
        <v>-48.667460798129575</v>
      </c>
      <c r="AS86" s="5">
        <f t="shared" si="272"/>
        <v>-51.353730389672279</v>
      </c>
      <c r="AT86" s="5">
        <f t="shared" si="272"/>
        <v>-54.039999981214983</v>
      </c>
      <c r="AU86" s="5">
        <f t="shared" si="272"/>
        <v>-56.726269572757694</v>
      </c>
      <c r="AV86" s="5">
        <f t="shared" si="272"/>
        <v>-59.412539164300391</v>
      </c>
      <c r="AW86" s="5">
        <f t="shared" si="272"/>
        <v>-62.098808755843095</v>
      </c>
      <c r="AX86" s="5">
        <f t="shared" si="272"/>
        <v>-64.785078347385792</v>
      </c>
      <c r="AY86" s="5">
        <f t="shared" si="272"/>
        <v>-67.471347938928503</v>
      </c>
      <c r="AZ86" s="5">
        <f t="shared" si="272"/>
        <v>-70.1576175304712</v>
      </c>
      <c r="BA86" s="5">
        <f t="shared" si="272"/>
        <v>-72.843887122013911</v>
      </c>
      <c r="BB86" s="5">
        <f t="shared" si="272"/>
        <v>-72.480877717751667</v>
      </c>
      <c r="BC86" s="383">
        <f t="shared" si="233"/>
        <v>-726.01880852505599</v>
      </c>
      <c r="BD86" s="5">
        <f t="shared" ref="BD86:BO86" si="273">(BD4*BD125+BD8*BD126)/-1000000</f>
        <v>-52.551198786943857</v>
      </c>
      <c r="BE86" s="5">
        <f t="shared" si="273"/>
        <v>-55.62129513712847</v>
      </c>
      <c r="BF86" s="5">
        <f t="shared" si="273"/>
        <v>-58.691391487313084</v>
      </c>
      <c r="BG86" s="5">
        <f t="shared" si="273"/>
        <v>-61.761487837497697</v>
      </c>
      <c r="BH86" s="5">
        <f t="shared" si="273"/>
        <v>-64.83158418768231</v>
      </c>
      <c r="BI86" s="5">
        <f t="shared" si="273"/>
        <v>-67.901680537866923</v>
      </c>
      <c r="BJ86" s="5">
        <f t="shared" si="273"/>
        <v>-70.971776888051537</v>
      </c>
      <c r="BK86" s="5">
        <f t="shared" si="273"/>
        <v>-74.04187323823615</v>
      </c>
      <c r="BL86" s="5">
        <f t="shared" si="273"/>
        <v>-77.111969588420749</v>
      </c>
      <c r="BM86" s="5">
        <f t="shared" si="273"/>
        <v>-80.182065938605362</v>
      </c>
      <c r="BN86" s="5">
        <f t="shared" si="273"/>
        <v>-83.252162288789989</v>
      </c>
      <c r="BO86" s="5">
        <f t="shared" si="273"/>
        <v>-82.837284403630221</v>
      </c>
      <c r="BP86" s="383">
        <f t="shared" si="235"/>
        <v>-829.75577032016622</v>
      </c>
      <c r="BR86" s="60">
        <f t="shared" si="252"/>
        <v>0</v>
      </c>
      <c r="BS86" s="60">
        <f t="shared" si="253"/>
        <v>-20.647077671807992</v>
      </c>
      <c r="BT86" s="60">
        <f t="shared" si="254"/>
        <v>-77.6738015884454</v>
      </c>
      <c r="BU86" s="60">
        <f t="shared" si="255"/>
        <v>-86.117236875049031</v>
      </c>
      <c r="BV86" s="60">
        <f t="shared" si="256"/>
        <v>-409.87805410768311</v>
      </c>
      <c r="BW86" s="60">
        <f t="shared" si="257"/>
        <v>-531.28854545071692</v>
      </c>
      <c r="BX86" s="60">
        <f t="shared" si="258"/>
        <v>-561.33302827590137</v>
      </c>
      <c r="BY86" s="60">
        <f t="shared" si="259"/>
        <v>-727.60618705337868</v>
      </c>
      <c r="BZ86" s="60">
        <f t="shared" si="260"/>
        <v>-632.36238222532359</v>
      </c>
      <c r="CA86" s="60">
        <f t="shared" si="261"/>
        <v>-819.6752348247885</v>
      </c>
      <c r="CB86" s="60">
        <f t="shared" si="262"/>
        <v>-722.71727594886465</v>
      </c>
      <c r="CC86" s="60">
        <f t="shared" si="263"/>
        <v>-936.79426469146802</v>
      </c>
      <c r="CE86" s="297" t="s">
        <v>991</v>
      </c>
      <c r="CF86" s="12" t="s">
        <v>965</v>
      </c>
    </row>
    <row r="87" spans="1:84" s="5" customFormat="1" ht="15.6" outlineLevel="1">
      <c r="A87" s="297" t="s">
        <v>632</v>
      </c>
      <c r="B87" s="12" t="s">
        <v>502</v>
      </c>
      <c r="C87" s="12"/>
      <c r="D87" s="5">
        <f t="shared" ref="D87:O87" si="274">(D133*D134*D25)/-1000000</f>
        <v>0</v>
      </c>
      <c r="E87" s="5">
        <f t="shared" si="274"/>
        <v>0</v>
      </c>
      <c r="F87" s="5">
        <f t="shared" si="274"/>
        <v>0</v>
      </c>
      <c r="G87" s="5">
        <f t="shared" si="274"/>
        <v>0</v>
      </c>
      <c r="H87" s="5">
        <f t="shared" si="274"/>
        <v>0</v>
      </c>
      <c r="I87" s="5">
        <f t="shared" si="274"/>
        <v>0</v>
      </c>
      <c r="J87" s="5">
        <f t="shared" si="274"/>
        <v>-0.47837022224570852</v>
      </c>
      <c r="K87" s="5">
        <f t="shared" si="274"/>
        <v>-0.97528111234527592</v>
      </c>
      <c r="L87" s="5">
        <f t="shared" si="274"/>
        <v>-1.4901615967371877</v>
      </c>
      <c r="M87" s="5">
        <f t="shared" si="274"/>
        <v>-2.0224159317627364</v>
      </c>
      <c r="N87" s="5">
        <f t="shared" si="274"/>
        <v>-2.5714249938337277</v>
      </c>
      <c r="O87" s="5">
        <f t="shared" si="274"/>
        <v>-3.1130578925686265</v>
      </c>
      <c r="P87" s="383">
        <f t="shared" si="227"/>
        <v>-10.650711749493261</v>
      </c>
      <c r="Q87" s="5">
        <f t="shared" ref="Q87:AB87" si="275">(Q133*Q134*Q25)/-1000000</f>
        <v>-4.4031889443410188</v>
      </c>
      <c r="R87" s="5">
        <f t="shared" si="275"/>
        <v>-5.7587313751889715</v>
      </c>
      <c r="S87" s="5">
        <f t="shared" si="275"/>
        <v>-7.1778717630281088</v>
      </c>
      <c r="T87" s="5">
        <f t="shared" si="275"/>
        <v>-8.6587139827931541</v>
      </c>
      <c r="U87" s="5">
        <f t="shared" si="275"/>
        <v>-10.199283577608941</v>
      </c>
      <c r="V87" s="5">
        <f t="shared" si="275"/>
        <v>-11.797532295192715</v>
      </c>
      <c r="W87" s="5">
        <f t="shared" si="275"/>
        <v>-13.451342774721986</v>
      </c>
      <c r="X87" s="5">
        <f t="shared" si="275"/>
        <v>-15.158533368978739</v>
      </c>
      <c r="Y87" s="5">
        <f t="shared" si="275"/>
        <v>-16.916863086221447</v>
      </c>
      <c r="Z87" s="5">
        <f t="shared" si="275"/>
        <v>-18.724036635941509</v>
      </c>
      <c r="AA87" s="5">
        <f t="shared" si="275"/>
        <v>-20.577709562431959</v>
      </c>
      <c r="AB87" s="5">
        <f t="shared" si="275"/>
        <v>-22.388492276467893</v>
      </c>
      <c r="AC87" s="383">
        <f t="shared" si="229"/>
        <v>-155.21229964291643</v>
      </c>
      <c r="AD87" s="5">
        <f t="shared" ref="AD87:AO87" si="276">(AD133*AD134*AD25)/-1000000</f>
        <v>-24.108027924489296</v>
      </c>
      <c r="AE87" s="5">
        <f t="shared" si="276"/>
        <v>-25.91061614843224</v>
      </c>
      <c r="AF87" s="5">
        <f t="shared" si="276"/>
        <v>-27.793374676585806</v>
      </c>
      <c r="AG87" s="5">
        <f t="shared" si="276"/>
        <v>-29.753338451314988</v>
      </c>
      <c r="AH87" s="5">
        <f t="shared" si="276"/>
        <v>-31.787466635393002</v>
      </c>
      <c r="AI87" s="5">
        <f t="shared" si="276"/>
        <v>-33.892649716700205</v>
      </c>
      <c r="AJ87" s="5">
        <f t="shared" si="276"/>
        <v>-36.065716688696867</v>
      </c>
      <c r="AK87" s="5">
        <f t="shared" si="276"/>
        <v>-38.303442284105294</v>
      </c>
      <c r="AL87" s="5">
        <f t="shared" si="276"/>
        <v>-40.602554239355491</v>
      </c>
      <c r="AM87" s="5">
        <f t="shared" si="276"/>
        <v>-42.959740567554825</v>
      </c>
      <c r="AN87" s="5">
        <f t="shared" si="276"/>
        <v>-45.371656818034957</v>
      </c>
      <c r="AO87" s="5">
        <f t="shared" si="276"/>
        <v>-47.701599699853098</v>
      </c>
      <c r="AP87" s="383">
        <f t="shared" si="231"/>
        <v>-424.25018385051607</v>
      </c>
      <c r="AQ87" s="5">
        <f t="shared" ref="AQ87:BB87" si="277">(AQ133*AQ134*AQ25)/-1000000</f>
        <v>-49.060268724250719</v>
      </c>
      <c r="AR87" s="5">
        <f t="shared" si="277"/>
        <v>-50.50091655307272</v>
      </c>
      <c r="AS87" s="5">
        <f t="shared" si="277"/>
        <v>-52.020544941206239</v>
      </c>
      <c r="AT87" s="5">
        <f t="shared" si="277"/>
        <v>-53.616094139356548</v>
      </c>
      <c r="AU87" s="5">
        <f t="shared" si="277"/>
        <v>-55.284450182125163</v>
      </c>
      <c r="AV87" s="5">
        <f t="shared" si="277"/>
        <v>-57.02245217315464</v>
      </c>
      <c r="AW87" s="5">
        <f t="shared" si="277"/>
        <v>-58.826899545540456</v>
      </c>
      <c r="AX87" s="5">
        <f t="shared" si="277"/>
        <v>-60.694559276211095</v>
      </c>
      <c r="AY87" s="5">
        <f t="shared" si="277"/>
        <v>-62.622173033553601</v>
      </c>
      <c r="AZ87" s="5">
        <f t="shared" si="277"/>
        <v>-64.606464238210521</v>
      </c>
      <c r="BA87" s="5">
        <f t="shared" si="277"/>
        <v>-66.644145017688956</v>
      </c>
      <c r="BB87" s="5">
        <f t="shared" si="277"/>
        <v>-68.581717811592981</v>
      </c>
      <c r="BC87" s="383">
        <f t="shared" si="233"/>
        <v>-699.48068563596371</v>
      </c>
      <c r="BD87" s="5">
        <f t="shared" ref="BD87:BO87" si="278">(BD133*BD134*BD25)/-1000000</f>
        <v>-69.45580799173409</v>
      </c>
      <c r="BE87" s="5">
        <f t="shared" si="278"/>
        <v>-70.42454868544047</v>
      </c>
      <c r="BF87" s="5">
        <f t="shared" si="278"/>
        <v>-71.484604889179266</v>
      </c>
      <c r="BG87" s="5">
        <f t="shared" si="278"/>
        <v>-72.63258800124089</v>
      </c>
      <c r="BH87" s="5">
        <f t="shared" si="278"/>
        <v>-73.865063938896924</v>
      </c>
      <c r="BI87" s="5">
        <f t="shared" si="278"/>
        <v>-75.178561166331434</v>
      </c>
      <c r="BJ87" s="5">
        <f t="shared" si="278"/>
        <v>-76.569578611493</v>
      </c>
      <c r="BK87" s="5">
        <f t="shared" si="278"/>
        <v>-78.034593450948933</v>
      </c>
      <c r="BL87" s="5">
        <f t="shared" si="278"/>
        <v>-79.570068742819544</v>
      </c>
      <c r="BM87" s="5">
        <f t="shared" si="278"/>
        <v>-81.172460888919161</v>
      </c>
      <c r="BN87" s="5">
        <f t="shared" si="278"/>
        <v>-82.838226908329005</v>
      </c>
      <c r="BO87" s="5">
        <f t="shared" si="278"/>
        <v>-84.392164256396413</v>
      </c>
      <c r="BP87" s="383">
        <f t="shared" si="235"/>
        <v>-915.61826753172932</v>
      </c>
      <c r="BR87" s="60">
        <f t="shared" si="252"/>
        <v>0</v>
      </c>
      <c r="BS87" s="60">
        <f t="shared" si="253"/>
        <v>0</v>
      </c>
      <c r="BT87" s="60">
        <f t="shared" si="254"/>
        <v>-5.8876258626563445</v>
      </c>
      <c r="BU87" s="60">
        <f t="shared" si="255"/>
        <v>-15.41379763633018</v>
      </c>
      <c r="BV87" s="60">
        <f t="shared" si="256"/>
        <v>-95.990643876305811</v>
      </c>
      <c r="BW87" s="60">
        <f t="shared" si="257"/>
        <v>-214.43395540952707</v>
      </c>
      <c r="BX87" s="60">
        <f t="shared" si="258"/>
        <v>-346.49094710583108</v>
      </c>
      <c r="BY87" s="60">
        <f t="shared" si="259"/>
        <v>-502.00942059520105</v>
      </c>
      <c r="BZ87" s="60">
        <f t="shared" si="260"/>
        <v>-635.00945342633213</v>
      </c>
      <c r="CA87" s="60">
        <f t="shared" si="261"/>
        <v>-763.95191784559518</v>
      </c>
      <c r="CB87" s="60">
        <f t="shared" si="262"/>
        <v>-866.08234934564621</v>
      </c>
      <c r="CC87" s="60">
        <f t="shared" si="263"/>
        <v>-965.1541857178122</v>
      </c>
      <c r="CE87" s="297" t="s">
        <v>992</v>
      </c>
      <c r="CF87" s="12" t="s">
        <v>965</v>
      </c>
    </row>
    <row r="88" spans="1:84" s="5" customFormat="1" ht="15.6" outlineLevel="1">
      <c r="A88" s="297" t="s">
        <v>631</v>
      </c>
      <c r="B88" s="12" t="s">
        <v>502</v>
      </c>
      <c r="C88" s="12"/>
      <c r="D88" s="5">
        <f t="shared" ref="D88:O88" si="279">D37*D135</f>
        <v>0</v>
      </c>
      <c r="E88" s="5">
        <f t="shared" si="279"/>
        <v>0</v>
      </c>
      <c r="F88" s="5">
        <f t="shared" si="279"/>
        <v>0</v>
      </c>
      <c r="G88" s="5">
        <f t="shared" si="279"/>
        <v>0</v>
      </c>
      <c r="H88" s="5">
        <f t="shared" si="279"/>
        <v>0</v>
      </c>
      <c r="I88" s="5">
        <f t="shared" si="279"/>
        <v>0</v>
      </c>
      <c r="J88" s="5">
        <f t="shared" si="279"/>
        <v>0</v>
      </c>
      <c r="K88" s="5">
        <f t="shared" si="279"/>
        <v>0</v>
      </c>
      <c r="L88" s="5">
        <f t="shared" si="279"/>
        <v>0</v>
      </c>
      <c r="M88" s="5">
        <f t="shared" si="279"/>
        <v>0</v>
      </c>
      <c r="N88" s="5">
        <f t="shared" si="279"/>
        <v>0</v>
      </c>
      <c r="O88" s="5">
        <f t="shared" si="279"/>
        <v>0</v>
      </c>
      <c r="P88" s="383">
        <f t="shared" si="227"/>
        <v>0</v>
      </c>
      <c r="Q88" s="5">
        <f t="shared" ref="Q88:AB88" si="280">Q37*Q135</f>
        <v>0</v>
      </c>
      <c r="R88" s="5">
        <f t="shared" si="280"/>
        <v>0</v>
      </c>
      <c r="S88" s="5">
        <f t="shared" si="280"/>
        <v>0</v>
      </c>
      <c r="T88" s="5">
        <f t="shared" si="280"/>
        <v>0</v>
      </c>
      <c r="U88" s="5">
        <f t="shared" si="280"/>
        <v>0</v>
      </c>
      <c r="V88" s="5">
        <f t="shared" si="280"/>
        <v>0</v>
      </c>
      <c r="W88" s="5">
        <f t="shared" si="280"/>
        <v>0</v>
      </c>
      <c r="X88" s="5">
        <f t="shared" si="280"/>
        <v>0</v>
      </c>
      <c r="Y88" s="5">
        <f t="shared" si="280"/>
        <v>0</v>
      </c>
      <c r="Z88" s="5">
        <f t="shared" si="280"/>
        <v>0</v>
      </c>
      <c r="AA88" s="5">
        <f t="shared" si="280"/>
        <v>0</v>
      </c>
      <c r="AB88" s="5">
        <f t="shared" si="280"/>
        <v>0</v>
      </c>
      <c r="AC88" s="383">
        <f t="shared" si="229"/>
        <v>0</v>
      </c>
      <c r="AD88" s="5">
        <f t="shared" ref="AD88:AO88" si="281">AD37*AD135</f>
        <v>0</v>
      </c>
      <c r="AE88" s="5">
        <f t="shared" si="281"/>
        <v>0</v>
      </c>
      <c r="AF88" s="5">
        <f t="shared" si="281"/>
        <v>0</v>
      </c>
      <c r="AG88" s="5">
        <f t="shared" si="281"/>
        <v>0</v>
      </c>
      <c r="AH88" s="5">
        <f t="shared" si="281"/>
        <v>0</v>
      </c>
      <c r="AI88" s="5">
        <f t="shared" si="281"/>
        <v>0</v>
      </c>
      <c r="AJ88" s="5">
        <f t="shared" si="281"/>
        <v>0</v>
      </c>
      <c r="AK88" s="5">
        <f t="shared" si="281"/>
        <v>0</v>
      </c>
      <c r="AL88" s="5">
        <f t="shared" si="281"/>
        <v>0</v>
      </c>
      <c r="AM88" s="5">
        <f t="shared" si="281"/>
        <v>0</v>
      </c>
      <c r="AN88" s="5">
        <f t="shared" si="281"/>
        <v>0</v>
      </c>
      <c r="AO88" s="5">
        <f t="shared" si="281"/>
        <v>0</v>
      </c>
      <c r="AP88" s="383">
        <f t="shared" si="231"/>
        <v>0</v>
      </c>
      <c r="AQ88" s="5">
        <f t="shared" ref="AQ88:BB88" si="282">AQ37*AQ135</f>
        <v>0</v>
      </c>
      <c r="AR88" s="5">
        <f t="shared" si="282"/>
        <v>0</v>
      </c>
      <c r="AS88" s="5">
        <f t="shared" si="282"/>
        <v>0</v>
      </c>
      <c r="AT88" s="5">
        <f t="shared" si="282"/>
        <v>0</v>
      </c>
      <c r="AU88" s="5">
        <f t="shared" si="282"/>
        <v>0</v>
      </c>
      <c r="AV88" s="5">
        <f t="shared" si="282"/>
        <v>0</v>
      </c>
      <c r="AW88" s="5">
        <f t="shared" si="282"/>
        <v>0</v>
      </c>
      <c r="AX88" s="5">
        <f t="shared" si="282"/>
        <v>0</v>
      </c>
      <c r="AY88" s="5">
        <f t="shared" si="282"/>
        <v>0</v>
      </c>
      <c r="AZ88" s="5">
        <f t="shared" si="282"/>
        <v>0</v>
      </c>
      <c r="BA88" s="5">
        <f t="shared" si="282"/>
        <v>0</v>
      </c>
      <c r="BB88" s="5">
        <f t="shared" si="282"/>
        <v>0</v>
      </c>
      <c r="BC88" s="383">
        <f t="shared" si="233"/>
        <v>0</v>
      </c>
      <c r="BD88" s="5">
        <f t="shared" ref="BD88:BO88" si="283">BD37*BD135</f>
        <v>0</v>
      </c>
      <c r="BE88" s="5">
        <f t="shared" si="283"/>
        <v>0</v>
      </c>
      <c r="BF88" s="5">
        <f t="shared" si="283"/>
        <v>0</v>
      </c>
      <c r="BG88" s="5">
        <f t="shared" si="283"/>
        <v>0</v>
      </c>
      <c r="BH88" s="5">
        <f t="shared" si="283"/>
        <v>0</v>
      </c>
      <c r="BI88" s="5">
        <f t="shared" si="283"/>
        <v>0</v>
      </c>
      <c r="BJ88" s="5">
        <f t="shared" si="283"/>
        <v>0</v>
      </c>
      <c r="BK88" s="5">
        <f t="shared" si="283"/>
        <v>0</v>
      </c>
      <c r="BL88" s="5">
        <f t="shared" si="283"/>
        <v>0</v>
      </c>
      <c r="BM88" s="5">
        <f t="shared" si="283"/>
        <v>0</v>
      </c>
      <c r="BN88" s="5">
        <f t="shared" si="283"/>
        <v>0</v>
      </c>
      <c r="BO88" s="5">
        <f t="shared" si="283"/>
        <v>0</v>
      </c>
      <c r="BP88" s="383">
        <f t="shared" si="235"/>
        <v>0</v>
      </c>
      <c r="BR88" s="60">
        <f t="shared" si="252"/>
        <v>0</v>
      </c>
      <c r="BS88" s="60">
        <f t="shared" si="253"/>
        <v>0</v>
      </c>
      <c r="BT88" s="60">
        <f t="shared" si="254"/>
        <v>0</v>
      </c>
      <c r="BU88" s="60">
        <f t="shared" si="255"/>
        <v>0</v>
      </c>
      <c r="BV88" s="60">
        <f t="shared" si="256"/>
        <v>0</v>
      </c>
      <c r="BW88" s="60">
        <f t="shared" si="257"/>
        <v>0</v>
      </c>
      <c r="BX88" s="60">
        <f t="shared" si="258"/>
        <v>0</v>
      </c>
      <c r="BY88" s="60">
        <f t="shared" si="259"/>
        <v>0</v>
      </c>
      <c r="BZ88" s="60">
        <f t="shared" si="260"/>
        <v>0</v>
      </c>
      <c r="CA88" s="60">
        <f t="shared" si="261"/>
        <v>0</v>
      </c>
      <c r="CB88" s="60">
        <f t="shared" si="262"/>
        <v>0</v>
      </c>
      <c r="CC88" s="60">
        <f t="shared" si="263"/>
        <v>0</v>
      </c>
      <c r="CE88" s="297" t="s">
        <v>993</v>
      </c>
      <c r="CF88" s="12" t="s">
        <v>965</v>
      </c>
    </row>
    <row r="89" spans="1:84" s="5" customFormat="1" ht="15.6" outlineLevel="1">
      <c r="A89" s="297" t="s">
        <v>630</v>
      </c>
      <c r="B89" s="12" t="s">
        <v>502</v>
      </c>
      <c r="C89" s="12"/>
      <c r="D89" s="5">
        <f t="shared" ref="D89:O89" si="284">-D41*D136</f>
        <v>0</v>
      </c>
      <c r="E89" s="5">
        <f t="shared" si="284"/>
        <v>0</v>
      </c>
      <c r="F89" s="5">
        <f t="shared" si="284"/>
        <v>0</v>
      </c>
      <c r="G89" s="5">
        <f t="shared" si="284"/>
        <v>0</v>
      </c>
      <c r="H89" s="5">
        <f t="shared" si="284"/>
        <v>0</v>
      </c>
      <c r="I89" s="5">
        <f t="shared" si="284"/>
        <v>0</v>
      </c>
      <c r="J89" s="5">
        <f t="shared" si="284"/>
        <v>0</v>
      </c>
      <c r="K89" s="5">
        <f t="shared" si="284"/>
        <v>0</v>
      </c>
      <c r="L89" s="5">
        <f t="shared" si="284"/>
        <v>0</v>
      </c>
      <c r="M89" s="5">
        <f t="shared" si="284"/>
        <v>0</v>
      </c>
      <c r="N89" s="5">
        <f t="shared" si="284"/>
        <v>0</v>
      </c>
      <c r="O89" s="5">
        <f t="shared" si="284"/>
        <v>0</v>
      </c>
      <c r="P89" s="383">
        <f t="shared" si="227"/>
        <v>0</v>
      </c>
      <c r="Q89" s="5">
        <f t="shared" ref="Q89:AB89" si="285">-Q41*Q136</f>
        <v>0</v>
      </c>
      <c r="R89" s="5">
        <f t="shared" si="285"/>
        <v>0</v>
      </c>
      <c r="S89" s="5">
        <f t="shared" si="285"/>
        <v>0</v>
      </c>
      <c r="T89" s="5">
        <f t="shared" si="285"/>
        <v>0</v>
      </c>
      <c r="U89" s="5">
        <f t="shared" si="285"/>
        <v>0</v>
      </c>
      <c r="V89" s="5">
        <f t="shared" si="285"/>
        <v>0</v>
      </c>
      <c r="W89" s="5">
        <f t="shared" si="285"/>
        <v>0</v>
      </c>
      <c r="X89" s="5">
        <f t="shared" si="285"/>
        <v>0</v>
      </c>
      <c r="Y89" s="5">
        <f t="shared" si="285"/>
        <v>0</v>
      </c>
      <c r="Z89" s="5">
        <f t="shared" si="285"/>
        <v>0</v>
      </c>
      <c r="AA89" s="5">
        <f t="shared" si="285"/>
        <v>0</v>
      </c>
      <c r="AB89" s="5">
        <f t="shared" si="285"/>
        <v>0</v>
      </c>
      <c r="AC89" s="383">
        <f t="shared" si="229"/>
        <v>0</v>
      </c>
      <c r="AD89" s="5">
        <f t="shared" ref="AD89:AO89" si="286">-AD41*AD136</f>
        <v>0</v>
      </c>
      <c r="AE89" s="5">
        <f t="shared" si="286"/>
        <v>0</v>
      </c>
      <c r="AF89" s="5">
        <f t="shared" si="286"/>
        <v>0</v>
      </c>
      <c r="AG89" s="5">
        <f t="shared" si="286"/>
        <v>0</v>
      </c>
      <c r="AH89" s="5">
        <f t="shared" si="286"/>
        <v>0</v>
      </c>
      <c r="AI89" s="5">
        <f t="shared" si="286"/>
        <v>0</v>
      </c>
      <c r="AJ89" s="5">
        <f t="shared" si="286"/>
        <v>0</v>
      </c>
      <c r="AK89" s="5">
        <f t="shared" si="286"/>
        <v>0</v>
      </c>
      <c r="AL89" s="5">
        <f t="shared" si="286"/>
        <v>0</v>
      </c>
      <c r="AM89" s="5">
        <f t="shared" si="286"/>
        <v>0</v>
      </c>
      <c r="AN89" s="5">
        <f t="shared" si="286"/>
        <v>0</v>
      </c>
      <c r="AO89" s="5">
        <f t="shared" si="286"/>
        <v>0</v>
      </c>
      <c r="AP89" s="383">
        <f t="shared" si="231"/>
        <v>0</v>
      </c>
      <c r="AQ89" s="5">
        <f t="shared" ref="AQ89:BB89" si="287">-AQ41*AQ136</f>
        <v>0</v>
      </c>
      <c r="AR89" s="5">
        <f t="shared" si="287"/>
        <v>0</v>
      </c>
      <c r="AS89" s="5">
        <f t="shared" si="287"/>
        <v>0</v>
      </c>
      <c r="AT89" s="5">
        <f t="shared" si="287"/>
        <v>0</v>
      </c>
      <c r="AU89" s="5">
        <f t="shared" si="287"/>
        <v>0</v>
      </c>
      <c r="AV89" s="5">
        <f t="shared" si="287"/>
        <v>0</v>
      </c>
      <c r="AW89" s="5">
        <f t="shared" si="287"/>
        <v>0</v>
      </c>
      <c r="AX89" s="5">
        <f t="shared" si="287"/>
        <v>0</v>
      </c>
      <c r="AY89" s="5">
        <f t="shared" si="287"/>
        <v>0</v>
      </c>
      <c r="AZ89" s="5">
        <f t="shared" si="287"/>
        <v>0</v>
      </c>
      <c r="BA89" s="5">
        <f t="shared" si="287"/>
        <v>0</v>
      </c>
      <c r="BB89" s="5">
        <f t="shared" si="287"/>
        <v>0</v>
      </c>
      <c r="BC89" s="383">
        <f t="shared" si="233"/>
        <v>0</v>
      </c>
      <c r="BD89" s="5">
        <f t="shared" ref="BD89:BO89" si="288">-BD41*BD136</f>
        <v>0</v>
      </c>
      <c r="BE89" s="5">
        <f t="shared" si="288"/>
        <v>0</v>
      </c>
      <c r="BF89" s="5">
        <f t="shared" si="288"/>
        <v>0</v>
      </c>
      <c r="BG89" s="5">
        <f t="shared" si="288"/>
        <v>0</v>
      </c>
      <c r="BH89" s="5">
        <f t="shared" si="288"/>
        <v>0</v>
      </c>
      <c r="BI89" s="5">
        <f t="shared" si="288"/>
        <v>0</v>
      </c>
      <c r="BJ89" s="5">
        <f t="shared" si="288"/>
        <v>0</v>
      </c>
      <c r="BK89" s="5">
        <f t="shared" si="288"/>
        <v>0</v>
      </c>
      <c r="BL89" s="5">
        <f t="shared" si="288"/>
        <v>0</v>
      </c>
      <c r="BM89" s="5">
        <f t="shared" si="288"/>
        <v>0</v>
      </c>
      <c r="BN89" s="5">
        <f t="shared" si="288"/>
        <v>0</v>
      </c>
      <c r="BO89" s="5">
        <f t="shared" si="288"/>
        <v>0</v>
      </c>
      <c r="BP89" s="383">
        <f t="shared" si="235"/>
        <v>0</v>
      </c>
      <c r="BR89" s="60">
        <f t="shared" si="252"/>
        <v>0</v>
      </c>
      <c r="BS89" s="60">
        <f t="shared" si="253"/>
        <v>0</v>
      </c>
      <c r="BT89" s="60">
        <f t="shared" si="254"/>
        <v>0</v>
      </c>
      <c r="BU89" s="60">
        <f t="shared" si="255"/>
        <v>0</v>
      </c>
      <c r="BV89" s="60">
        <f t="shared" si="256"/>
        <v>0</v>
      </c>
      <c r="BW89" s="60">
        <f t="shared" si="257"/>
        <v>0</v>
      </c>
      <c r="BX89" s="60">
        <f t="shared" si="258"/>
        <v>0</v>
      </c>
      <c r="BY89" s="60">
        <f t="shared" si="259"/>
        <v>0</v>
      </c>
      <c r="BZ89" s="60">
        <f t="shared" si="260"/>
        <v>0</v>
      </c>
      <c r="CA89" s="60">
        <f t="shared" si="261"/>
        <v>0</v>
      </c>
      <c r="CB89" s="60">
        <f t="shared" si="262"/>
        <v>0</v>
      </c>
      <c r="CC89" s="60">
        <f t="shared" si="263"/>
        <v>0</v>
      </c>
      <c r="CE89" s="297" t="s">
        <v>994</v>
      </c>
      <c r="CF89" s="12" t="s">
        <v>965</v>
      </c>
    </row>
    <row r="90" spans="1:84" s="5" customFormat="1" ht="15.6" outlineLevel="1">
      <c r="A90" s="297" t="s">
        <v>629</v>
      </c>
      <c r="B90" s="12" t="s">
        <v>502</v>
      </c>
      <c r="C90" s="12"/>
      <c r="D90" s="5">
        <f t="shared" ref="D90:O90" si="289">D37*D137</f>
        <v>0</v>
      </c>
      <c r="E90" s="5">
        <f t="shared" si="289"/>
        <v>0</v>
      </c>
      <c r="F90" s="5">
        <f t="shared" si="289"/>
        <v>0</v>
      </c>
      <c r="G90" s="5">
        <f t="shared" si="289"/>
        <v>0</v>
      </c>
      <c r="H90" s="5">
        <f t="shared" si="289"/>
        <v>0</v>
      </c>
      <c r="I90" s="5">
        <f t="shared" si="289"/>
        <v>0</v>
      </c>
      <c r="J90" s="5">
        <f t="shared" si="289"/>
        <v>-0.96101160719003942</v>
      </c>
      <c r="K90" s="5">
        <f t="shared" si="289"/>
        <v>-2.0233375322443998</v>
      </c>
      <c r="L90" s="5">
        <f t="shared" si="289"/>
        <v>-3.1242462138486289</v>
      </c>
      <c r="M90" s="5">
        <f t="shared" si="289"/>
        <v>-4.3044066683392757</v>
      </c>
      <c r="N90" s="5">
        <f t="shared" si="289"/>
        <v>-5.5228050502299508</v>
      </c>
      <c r="O90" s="5">
        <f t="shared" si="289"/>
        <v>-6.7308284093825135</v>
      </c>
      <c r="P90" s="383">
        <f t="shared" si="227"/>
        <v>-22.66663548123481</v>
      </c>
      <c r="Q90" s="5">
        <f t="shared" ref="Q90:AB90" si="290">Q37*Q137</f>
        <v>-7.5529868066108419</v>
      </c>
      <c r="R90" s="5">
        <f t="shared" si="290"/>
        <v>-10.156719864995633</v>
      </c>
      <c r="S90" s="5">
        <f t="shared" si="290"/>
        <v>-12.869315379367679</v>
      </c>
      <c r="T90" s="5">
        <f t="shared" si="290"/>
        <v>-15.70144183590372</v>
      </c>
      <c r="U90" s="5">
        <f t="shared" si="290"/>
        <v>-18.649326124380256</v>
      </c>
      <c r="V90" s="5">
        <f t="shared" si="290"/>
        <v>-21.70905133568073</v>
      </c>
      <c r="W90" s="5">
        <f t="shared" si="290"/>
        <v>-24.876565731640412</v>
      </c>
      <c r="X90" s="5">
        <f t="shared" si="290"/>
        <v>-28.708228086436371</v>
      </c>
      <c r="Y90" s="5">
        <f t="shared" si="290"/>
        <v>-32.657699225243576</v>
      </c>
      <c r="Z90" s="5">
        <f t="shared" si="290"/>
        <v>-36.71982276829727</v>
      </c>
      <c r="AA90" s="5">
        <f t="shared" si="290"/>
        <v>-40.889326622683662</v>
      </c>
      <c r="AB90" s="5">
        <f t="shared" si="290"/>
        <v>-45.02101140557194</v>
      </c>
      <c r="AC90" s="383">
        <f t="shared" si="229"/>
        <v>-295.51149518681206</v>
      </c>
      <c r="AD90" s="5">
        <f t="shared" ref="AD90:AO90" si="291">AD37*AD137</f>
        <v>-39.184444437778751</v>
      </c>
      <c r="AE90" s="5">
        <f t="shared" si="291"/>
        <v>-42.94980990434486</v>
      </c>
      <c r="AF90" s="5">
        <f t="shared" si="291"/>
        <v>-46.38095739199354</v>
      </c>
      <c r="AG90" s="5">
        <f t="shared" si="291"/>
        <v>-49.955520104746753</v>
      </c>
      <c r="AH90" s="5">
        <f t="shared" si="291"/>
        <v>-53.667953653837081</v>
      </c>
      <c r="AI90" s="5">
        <f t="shared" si="291"/>
        <v>-57.512583487642999</v>
      </c>
      <c r="AJ90" s="5">
        <f t="shared" si="291"/>
        <v>-61.483618038603609</v>
      </c>
      <c r="AK90" s="5">
        <f t="shared" si="291"/>
        <v>-65.57516198095189</v>
      </c>
      <c r="AL90" s="5">
        <f t="shared" si="291"/>
        <v>-69.781229557965418</v>
      </c>
      <c r="AM90" s="5">
        <f t="shared" si="291"/>
        <v>-74.095757937761405</v>
      </c>
      <c r="AN90" s="5">
        <f t="shared" si="291"/>
        <v>-78.512620557149177</v>
      </c>
      <c r="AO90" s="5">
        <f t="shared" si="291"/>
        <v>-82.854211498057126</v>
      </c>
      <c r="AP90" s="383">
        <f t="shared" si="231"/>
        <v>-721.95386855083257</v>
      </c>
      <c r="AQ90" s="5">
        <f t="shared" ref="AQ90:BB90" si="292">AQ37*AQ137</f>
        <v>-68.723047727959425</v>
      </c>
      <c r="AR90" s="5">
        <f t="shared" si="292"/>
        <v>-71.955944207190228</v>
      </c>
      <c r="AS90" s="5">
        <f t="shared" si="292"/>
        <v>-74.219743615299564</v>
      </c>
      <c r="AT90" s="5">
        <f t="shared" si="292"/>
        <v>-76.59790416562906</v>
      </c>
      <c r="AU90" s="5">
        <f t="shared" si="292"/>
        <v>-79.085793399428923</v>
      </c>
      <c r="AV90" s="5">
        <f t="shared" si="292"/>
        <v>-81.678706058832447</v>
      </c>
      <c r="AW90" s="5">
        <f t="shared" si="292"/>
        <v>-84.371874939139701</v>
      </c>
      <c r="AX90" s="5">
        <f t="shared" si="292"/>
        <v>-87.160481680938886</v>
      </c>
      <c r="AY90" s="5">
        <f t="shared" si="292"/>
        <v>-90.03966747088333</v>
      </c>
      <c r="AZ90" s="5">
        <f t="shared" si="292"/>
        <v>-93.004543620879289</v>
      </c>
      <c r="BA90" s="5">
        <f t="shared" si="292"/>
        <v>-96.050201996480936</v>
      </c>
      <c r="BB90" s="5">
        <f t="shared" si="292"/>
        <v>-99.017228463968507</v>
      </c>
      <c r="BC90" s="383">
        <f t="shared" si="233"/>
        <v>-1001.9051373466305</v>
      </c>
      <c r="BD90" s="5">
        <f t="shared" ref="BD90:BO90" si="293">BD37*BD137</f>
        <v>-80.675907582166474</v>
      </c>
      <c r="BE90" s="5">
        <f t="shared" si="293"/>
        <v>-83.274754281699501</v>
      </c>
      <c r="BF90" s="5">
        <f t="shared" si="293"/>
        <v>-84.56066415804402</v>
      </c>
      <c r="BG90" s="5">
        <f t="shared" si="293"/>
        <v>-85.954000438701712</v>
      </c>
      <c r="BH90" s="5">
        <f t="shared" si="293"/>
        <v>-87.450608710840271</v>
      </c>
      <c r="BI90" s="5">
        <f t="shared" si="293"/>
        <v>-89.046286873113715</v>
      </c>
      <c r="BJ90" s="5">
        <f t="shared" si="293"/>
        <v>-90.736794770078333</v>
      </c>
      <c r="BK90" s="5">
        <f t="shared" si="293"/>
        <v>-92.517863673105168</v>
      </c>
      <c r="BL90" s="5">
        <f t="shared" si="293"/>
        <v>-94.385205583311475</v>
      </c>
      <c r="BM90" s="5">
        <f t="shared" si="293"/>
        <v>-96.334522333284426</v>
      </c>
      <c r="BN90" s="5">
        <f t="shared" si="293"/>
        <v>-98.361514465688927</v>
      </c>
      <c r="BO90" s="5">
        <f t="shared" si="293"/>
        <v>-100.32063224587742</v>
      </c>
      <c r="BP90" s="383">
        <f t="shared" si="235"/>
        <v>-1083.6187551159117</v>
      </c>
      <c r="BR90" s="60">
        <f t="shared" si="252"/>
        <v>0</v>
      </c>
      <c r="BS90" s="60">
        <f t="shared" si="253"/>
        <v>0</v>
      </c>
      <c r="BT90" s="60">
        <f t="shared" si="254"/>
        <v>-12.217190706566136</v>
      </c>
      <c r="BU90" s="60">
        <f t="shared" si="255"/>
        <v>-33.116080255903483</v>
      </c>
      <c r="BV90" s="60">
        <f t="shared" si="256"/>
        <v>-173.27768269387772</v>
      </c>
      <c r="BW90" s="60">
        <f t="shared" si="257"/>
        <v>-417.74530767974647</v>
      </c>
      <c r="BX90" s="60">
        <f t="shared" si="258"/>
        <v>-579.30253796068803</v>
      </c>
      <c r="BY90" s="60">
        <f t="shared" si="259"/>
        <v>-864.60519914097722</v>
      </c>
      <c r="BZ90" s="60">
        <f t="shared" si="260"/>
        <v>-904.52227834867938</v>
      </c>
      <c r="CA90" s="60">
        <f t="shared" si="261"/>
        <v>-1099.2879963445814</v>
      </c>
      <c r="CB90" s="60">
        <f t="shared" si="262"/>
        <v>-1021.9244440891315</v>
      </c>
      <c r="CC90" s="60">
        <f t="shared" si="263"/>
        <v>-1145.3130661426915</v>
      </c>
      <c r="CE90" s="297" t="s">
        <v>995</v>
      </c>
      <c r="CF90" s="12" t="s">
        <v>965</v>
      </c>
    </row>
    <row r="91" spans="1:84" s="5" customFormat="1" ht="15.6" outlineLevel="1">
      <c r="A91" s="297" t="s">
        <v>536</v>
      </c>
      <c r="B91" s="12" t="s">
        <v>502</v>
      </c>
      <c r="C91" s="12"/>
      <c r="D91" s="5">
        <f t="shared" ref="D91:O91" si="294">D4*D118/-1000000</f>
        <v>0</v>
      </c>
      <c r="E91" s="5">
        <f t="shared" si="294"/>
        <v>0</v>
      </c>
      <c r="F91" s="5">
        <f t="shared" si="294"/>
        <v>0</v>
      </c>
      <c r="G91" s="5">
        <f t="shared" si="294"/>
        <v>0</v>
      </c>
      <c r="H91" s="5">
        <f t="shared" si="294"/>
        <v>0</v>
      </c>
      <c r="I91" s="5">
        <f t="shared" si="294"/>
        <v>-28.676496766399985</v>
      </c>
      <c r="J91" s="5">
        <f t="shared" si="294"/>
        <v>-29.973071569279988</v>
      </c>
      <c r="K91" s="5">
        <f t="shared" si="294"/>
        <v>-31.269646372159983</v>
      </c>
      <c r="L91" s="5">
        <f t="shared" si="294"/>
        <v>-32.566221175039985</v>
      </c>
      <c r="M91" s="5">
        <f t="shared" si="294"/>
        <v>-33.86279597791998</v>
      </c>
      <c r="N91" s="5">
        <f t="shared" si="294"/>
        <v>-35.159370780799982</v>
      </c>
      <c r="O91" s="5">
        <f t="shared" si="294"/>
        <v>-34.984157969600112</v>
      </c>
      <c r="P91" s="383">
        <f t="shared" si="227"/>
        <v>-226.49176061120002</v>
      </c>
      <c r="Q91" s="5">
        <f t="shared" ref="Q91:AB91" si="295">Q4*Q118/-1000000</f>
        <v>-70.457704458666655</v>
      </c>
      <c r="R91" s="5">
        <f t="shared" si="295"/>
        <v>-74.57391771914665</v>
      </c>
      <c r="S91" s="5">
        <f t="shared" si="295"/>
        <v>-78.690130979626659</v>
      </c>
      <c r="T91" s="5">
        <f t="shared" si="295"/>
        <v>-82.80634424010664</v>
      </c>
      <c r="U91" s="5">
        <f t="shared" si="295"/>
        <v>-86.922557500586649</v>
      </c>
      <c r="V91" s="5">
        <f t="shared" si="295"/>
        <v>-91.038770761066644</v>
      </c>
      <c r="W91" s="5">
        <f t="shared" si="295"/>
        <v>-95.154984021546639</v>
      </c>
      <c r="X91" s="5">
        <f t="shared" si="295"/>
        <v>-99.27119728202662</v>
      </c>
      <c r="Y91" s="5">
        <f t="shared" si="295"/>
        <v>-103.38741054250661</v>
      </c>
      <c r="Z91" s="5">
        <f t="shared" si="295"/>
        <v>-107.50362380298662</v>
      </c>
      <c r="AA91" s="5">
        <f t="shared" si="295"/>
        <v>-111.6198370634666</v>
      </c>
      <c r="AB91" s="5">
        <f t="shared" si="295"/>
        <v>-111.06359202826704</v>
      </c>
      <c r="AC91" s="383">
        <f t="shared" si="229"/>
        <v>-1112.4900703999999</v>
      </c>
      <c r="AD91" s="5">
        <f t="shared" ref="AD91:AO91" si="296">AD4*AD118/-1000000</f>
        <v>-94.482427049599991</v>
      </c>
      <c r="AE91" s="5">
        <f t="shared" si="296"/>
        <v>-100.00218989302398</v>
      </c>
      <c r="AF91" s="5">
        <f t="shared" si="296"/>
        <v>-105.52195273644799</v>
      </c>
      <c r="AG91" s="5">
        <f t="shared" si="296"/>
        <v>-111.04171557987198</v>
      </c>
      <c r="AH91" s="5">
        <f t="shared" si="296"/>
        <v>-116.56147842329597</v>
      </c>
      <c r="AI91" s="5">
        <f t="shared" si="296"/>
        <v>-122.08124126671997</v>
      </c>
      <c r="AJ91" s="5">
        <f t="shared" si="296"/>
        <v>-127.60100411014396</v>
      </c>
      <c r="AK91" s="5">
        <f t="shared" si="296"/>
        <v>-133.12076695356797</v>
      </c>
      <c r="AL91" s="5">
        <f t="shared" si="296"/>
        <v>-138.64052979699196</v>
      </c>
      <c r="AM91" s="5">
        <f t="shared" si="296"/>
        <v>-144.16029264041595</v>
      </c>
      <c r="AN91" s="5">
        <f t="shared" si="296"/>
        <v>-149.68005548383994</v>
      </c>
      <c r="AO91" s="5">
        <f t="shared" si="296"/>
        <v>-148.93414158608053</v>
      </c>
      <c r="AP91" s="383">
        <f t="shared" si="231"/>
        <v>-1491.8277955200003</v>
      </c>
      <c r="AQ91" s="5">
        <f t="shared" ref="AQ91:BB91" si="297">AQ4*AQ118/-1000000</f>
        <v>-106.43794260783999</v>
      </c>
      <c r="AR91" s="5">
        <f t="shared" si="297"/>
        <v>-112.65615925492958</v>
      </c>
      <c r="AS91" s="5">
        <f t="shared" si="297"/>
        <v>-118.87437590201915</v>
      </c>
      <c r="AT91" s="5">
        <f t="shared" si="297"/>
        <v>-125.09259254910876</v>
      </c>
      <c r="AU91" s="5">
        <f t="shared" si="297"/>
        <v>-131.31080919619836</v>
      </c>
      <c r="AV91" s="5">
        <f t="shared" si="297"/>
        <v>-137.52902584328794</v>
      </c>
      <c r="AW91" s="5">
        <f t="shared" si="297"/>
        <v>-143.74724249037754</v>
      </c>
      <c r="AX91" s="5">
        <f t="shared" si="297"/>
        <v>-149.96545913746712</v>
      </c>
      <c r="AY91" s="5">
        <f t="shared" si="297"/>
        <v>-156.18367578455673</v>
      </c>
      <c r="AZ91" s="5">
        <f t="shared" si="297"/>
        <v>-162.40189243164627</v>
      </c>
      <c r="BA91" s="5">
        <f t="shared" si="297"/>
        <v>-168.62010907873588</v>
      </c>
      <c r="BB91" s="5">
        <f t="shared" si="297"/>
        <v>-167.77980953183254</v>
      </c>
      <c r="BC91" s="383">
        <f t="shared" si="233"/>
        <v>-1680.5990938079999</v>
      </c>
      <c r="BD91" s="5">
        <f t="shared" ref="BD91:BO91" si="298">BD4*BD118/-1000000</f>
        <v>-121.64629348829598</v>
      </c>
      <c r="BE91" s="5">
        <f t="shared" si="298"/>
        <v>-128.7529980026122</v>
      </c>
      <c r="BF91" s="5">
        <f t="shared" si="298"/>
        <v>-135.85970251692842</v>
      </c>
      <c r="BG91" s="5">
        <f t="shared" si="298"/>
        <v>-142.96640703124467</v>
      </c>
      <c r="BH91" s="5">
        <f t="shared" si="298"/>
        <v>-150.07311154556089</v>
      </c>
      <c r="BI91" s="5">
        <f t="shared" si="298"/>
        <v>-157.17981605987714</v>
      </c>
      <c r="BJ91" s="5">
        <f t="shared" si="298"/>
        <v>-164.28652057419336</v>
      </c>
      <c r="BK91" s="5">
        <f t="shared" si="298"/>
        <v>-171.39322508850958</v>
      </c>
      <c r="BL91" s="5">
        <f t="shared" si="298"/>
        <v>-178.49992960282583</v>
      </c>
      <c r="BM91" s="5">
        <f t="shared" si="298"/>
        <v>-185.60663411714205</v>
      </c>
      <c r="BN91" s="5">
        <f t="shared" si="298"/>
        <v>-192.71333863145827</v>
      </c>
      <c r="BO91" s="5">
        <f t="shared" si="298"/>
        <v>-191.75297315655143</v>
      </c>
      <c r="BP91" s="383">
        <f t="shared" si="235"/>
        <v>-1920.7309498151999</v>
      </c>
      <c r="BR91" s="60">
        <f t="shared" si="252"/>
        <v>0</v>
      </c>
      <c r="BS91" s="60">
        <f t="shared" si="253"/>
        <v>-57.352993532799971</v>
      </c>
      <c r="BT91" s="60">
        <f t="shared" si="254"/>
        <v>-187.61787823295992</v>
      </c>
      <c r="BU91" s="60">
        <f t="shared" si="255"/>
        <v>-208.01264945664013</v>
      </c>
      <c r="BV91" s="60">
        <f t="shared" si="256"/>
        <v>-968.97885131839973</v>
      </c>
      <c r="BW91" s="60">
        <f t="shared" si="257"/>
        <v>-1256.0012894816005</v>
      </c>
      <c r="BX91" s="60">
        <f t="shared" si="258"/>
        <v>-1299.3820098979197</v>
      </c>
      <c r="BY91" s="60">
        <f t="shared" si="259"/>
        <v>-1684.2735811420805</v>
      </c>
      <c r="BZ91" s="60">
        <f t="shared" si="260"/>
        <v>-1463.8018107067676</v>
      </c>
      <c r="CA91" s="60">
        <f t="shared" si="261"/>
        <v>-1897.3963769092325</v>
      </c>
      <c r="CB91" s="60">
        <f t="shared" si="262"/>
        <v>-1672.9566572890385</v>
      </c>
      <c r="CC91" s="60">
        <f t="shared" si="263"/>
        <v>-2168.5052423413613</v>
      </c>
      <c r="CE91" s="297" t="s">
        <v>996</v>
      </c>
      <c r="CF91" s="12" t="s">
        <v>965</v>
      </c>
    </row>
    <row r="92" spans="1:84" s="5" customFormat="1" ht="15.6" outlineLevel="1">
      <c r="A92" s="297" t="s">
        <v>534</v>
      </c>
      <c r="B92" s="12" t="s">
        <v>502</v>
      </c>
      <c r="C92" s="12"/>
      <c r="D92" s="5">
        <f t="shared" ref="D92:O92" si="299">D10*D127*D128/-1000000</f>
        <v>0</v>
      </c>
      <c r="E92" s="5">
        <f t="shared" si="299"/>
        <v>0</v>
      </c>
      <c r="F92" s="5">
        <f t="shared" si="299"/>
        <v>0</v>
      </c>
      <c r="G92" s="5">
        <f t="shared" si="299"/>
        <v>0</v>
      </c>
      <c r="H92" s="5">
        <f t="shared" si="299"/>
        <v>0</v>
      </c>
      <c r="I92" s="5">
        <f t="shared" si="299"/>
        <v>0</v>
      </c>
      <c r="J92" s="5">
        <f t="shared" si="299"/>
        <v>-31.471725147743978</v>
      </c>
      <c r="K92" s="5">
        <f t="shared" si="299"/>
        <v>-32.833128690767978</v>
      </c>
      <c r="L92" s="5">
        <f t="shared" si="299"/>
        <v>-34.194532233791982</v>
      </c>
      <c r="M92" s="5">
        <f t="shared" si="299"/>
        <v>-35.555935776815971</v>
      </c>
      <c r="N92" s="5">
        <f t="shared" si="299"/>
        <v>-36.917339319839975</v>
      </c>
      <c r="O92" s="5">
        <f t="shared" si="299"/>
        <v>-36.733365868080114</v>
      </c>
      <c r="P92" s="383">
        <f t="shared" si="227"/>
        <v>-207.70602703704</v>
      </c>
      <c r="Q92" s="5">
        <f t="shared" ref="Q92:AB92" si="300">Q10*Q127*Q128/-1000000</f>
        <v>-86.310687961866648</v>
      </c>
      <c r="R92" s="5">
        <f t="shared" si="300"/>
        <v>-91.353049205954662</v>
      </c>
      <c r="S92" s="5">
        <f t="shared" si="300"/>
        <v>-96.395410450042633</v>
      </c>
      <c r="T92" s="5">
        <f t="shared" si="300"/>
        <v>-101.43777169413063</v>
      </c>
      <c r="U92" s="5">
        <f t="shared" si="300"/>
        <v>-106.48013293821862</v>
      </c>
      <c r="V92" s="5">
        <f t="shared" si="300"/>
        <v>-111.52249418230662</v>
      </c>
      <c r="W92" s="5">
        <f t="shared" si="300"/>
        <v>-116.56485542639459</v>
      </c>
      <c r="X92" s="5">
        <f t="shared" si="300"/>
        <v>-121.60721667048259</v>
      </c>
      <c r="Y92" s="5">
        <f t="shared" si="300"/>
        <v>-126.6495779145706</v>
      </c>
      <c r="Z92" s="5">
        <f t="shared" si="300"/>
        <v>-131.69193915865858</v>
      </c>
      <c r="AA92" s="5">
        <f t="shared" si="300"/>
        <v>-136.73430040274656</v>
      </c>
      <c r="AB92" s="5">
        <f t="shared" si="300"/>
        <v>-136.05290023462709</v>
      </c>
      <c r="AC92" s="383">
        <f t="shared" si="229"/>
        <v>-1362.8003362399998</v>
      </c>
      <c r="AD92" s="5">
        <f t="shared" ref="AD92:AO92" si="301">AD10*AD127*AD128/-1000000</f>
        <v>-132.27539786943998</v>
      </c>
      <c r="AE92" s="5">
        <f t="shared" si="301"/>
        <v>-140.00306585023355</v>
      </c>
      <c r="AF92" s="5">
        <f t="shared" si="301"/>
        <v>-147.73073383102718</v>
      </c>
      <c r="AG92" s="5">
        <f t="shared" si="301"/>
        <v>-155.45840181182075</v>
      </c>
      <c r="AH92" s="5">
        <f t="shared" si="301"/>
        <v>-163.18606979261432</v>
      </c>
      <c r="AI92" s="5">
        <f t="shared" si="301"/>
        <v>-170.91373777340792</v>
      </c>
      <c r="AJ92" s="5">
        <f t="shared" si="301"/>
        <v>-178.64140575420151</v>
      </c>
      <c r="AK92" s="5">
        <f t="shared" si="301"/>
        <v>-186.36907373499506</v>
      </c>
      <c r="AL92" s="5">
        <f t="shared" si="301"/>
        <v>-194.09674171578865</v>
      </c>
      <c r="AM92" s="5">
        <f t="shared" si="301"/>
        <v>-201.82440969658225</v>
      </c>
      <c r="AN92" s="5">
        <f t="shared" si="301"/>
        <v>-209.55207767737588</v>
      </c>
      <c r="AO92" s="5">
        <f t="shared" si="301"/>
        <v>-208.50779822051265</v>
      </c>
      <c r="AP92" s="383">
        <f t="shared" si="231"/>
        <v>-2088.5589137279999</v>
      </c>
      <c r="AQ92" s="5">
        <f t="shared" ref="AQ92:BB92" si="302">AQ10*AQ127*AQ128/-1000000</f>
        <v>-149.01311965097594</v>
      </c>
      <c r="AR92" s="5">
        <f t="shared" si="302"/>
        <v>-157.71862295690138</v>
      </c>
      <c r="AS92" s="5">
        <f t="shared" si="302"/>
        <v>-166.4241262628268</v>
      </c>
      <c r="AT92" s="5">
        <f t="shared" si="302"/>
        <v>-175.12962956875219</v>
      </c>
      <c r="AU92" s="5">
        <f t="shared" si="302"/>
        <v>-183.8351328746777</v>
      </c>
      <c r="AV92" s="5">
        <f t="shared" si="302"/>
        <v>-192.54063618060306</v>
      </c>
      <c r="AW92" s="5">
        <f t="shared" si="302"/>
        <v>-201.24613948652851</v>
      </c>
      <c r="AX92" s="5">
        <f t="shared" si="302"/>
        <v>-209.95164279245395</v>
      </c>
      <c r="AY92" s="5">
        <f t="shared" si="302"/>
        <v>-218.65714609837937</v>
      </c>
      <c r="AZ92" s="5">
        <f t="shared" si="302"/>
        <v>-227.36264940430479</v>
      </c>
      <c r="BA92" s="5">
        <f t="shared" si="302"/>
        <v>-236.06815271023021</v>
      </c>
      <c r="BB92" s="5">
        <f t="shared" si="302"/>
        <v>-234.89173334456555</v>
      </c>
      <c r="BC92" s="383">
        <f t="shared" si="233"/>
        <v>-2352.8387313311996</v>
      </c>
      <c r="BD92" s="5">
        <f t="shared" ref="BD92:BO92" si="303">BD10*BD127*BD128/-1000000</f>
        <v>-170.30481088361435</v>
      </c>
      <c r="BE92" s="5">
        <f t="shared" si="303"/>
        <v>-180.25419720365707</v>
      </c>
      <c r="BF92" s="5">
        <f t="shared" si="303"/>
        <v>-190.20358352369979</v>
      </c>
      <c r="BG92" s="5">
        <f t="shared" si="303"/>
        <v>-200.15296984374248</v>
      </c>
      <c r="BH92" s="5">
        <f t="shared" si="303"/>
        <v>-210.10235616378523</v>
      </c>
      <c r="BI92" s="5">
        <f t="shared" si="303"/>
        <v>-220.05174248382795</v>
      </c>
      <c r="BJ92" s="5">
        <f t="shared" si="303"/>
        <v>-230.00112880387067</v>
      </c>
      <c r="BK92" s="5">
        <f t="shared" si="303"/>
        <v>-239.95051512391339</v>
      </c>
      <c r="BL92" s="5">
        <f t="shared" si="303"/>
        <v>-249.89990144395611</v>
      </c>
      <c r="BM92" s="5">
        <f t="shared" si="303"/>
        <v>-259.84928776399886</v>
      </c>
      <c r="BN92" s="5">
        <f t="shared" si="303"/>
        <v>-269.79867408404158</v>
      </c>
      <c r="BO92" s="5">
        <f t="shared" si="303"/>
        <v>-268.45416241917195</v>
      </c>
      <c r="BP92" s="383">
        <f t="shared" si="235"/>
        <v>-2689.0233297412797</v>
      </c>
      <c r="BR92" s="60">
        <f t="shared" si="252"/>
        <v>0</v>
      </c>
      <c r="BS92" s="60">
        <f t="shared" si="253"/>
        <v>0</v>
      </c>
      <c r="BT92" s="60">
        <f t="shared" si="254"/>
        <v>-196.99877214460787</v>
      </c>
      <c r="BU92" s="60">
        <f t="shared" si="255"/>
        <v>-218.41328192947213</v>
      </c>
      <c r="BV92" s="60">
        <f t="shared" si="256"/>
        <v>-1186.9990928650395</v>
      </c>
      <c r="BW92" s="60">
        <f t="shared" si="257"/>
        <v>-1538.60157961496</v>
      </c>
      <c r="BX92" s="60">
        <f t="shared" si="258"/>
        <v>-1819.1348138570872</v>
      </c>
      <c r="BY92" s="60">
        <f t="shared" si="259"/>
        <v>-2357.9830135989123</v>
      </c>
      <c r="BZ92" s="60">
        <f t="shared" si="260"/>
        <v>-2049.3225349894742</v>
      </c>
      <c r="CA92" s="60">
        <f t="shared" si="261"/>
        <v>-2656.354927672925</v>
      </c>
      <c r="CB92" s="60">
        <f t="shared" si="262"/>
        <v>-2342.1393202046538</v>
      </c>
      <c r="CC92" s="60">
        <f t="shared" si="263"/>
        <v>-3035.9073392779051</v>
      </c>
      <c r="CE92" s="297" t="s">
        <v>997</v>
      </c>
      <c r="CF92" s="12" t="s">
        <v>965</v>
      </c>
    </row>
    <row r="93" spans="1:84" s="5" customFormat="1" ht="15.6" outlineLevel="1">
      <c r="A93" s="297" t="s">
        <v>535</v>
      </c>
      <c r="B93" s="12" t="s">
        <v>502</v>
      </c>
      <c r="C93" s="12"/>
      <c r="D93" s="5">
        <f t="shared" ref="D93:O93" si="304">D12*D129*D130/-1000000</f>
        <v>0</v>
      </c>
      <c r="E93" s="5">
        <f t="shared" si="304"/>
        <v>0</v>
      </c>
      <c r="F93" s="5">
        <f t="shared" si="304"/>
        <v>0</v>
      </c>
      <c r="G93" s="5">
        <f t="shared" si="304"/>
        <v>0</v>
      </c>
      <c r="H93" s="5">
        <f t="shared" si="304"/>
        <v>0</v>
      </c>
      <c r="I93" s="5">
        <f t="shared" si="304"/>
        <v>0</v>
      </c>
      <c r="J93" s="5">
        <f t="shared" si="304"/>
        <v>-15.735862573871989</v>
      </c>
      <c r="K93" s="5">
        <f t="shared" si="304"/>
        <v>-16.416564345383989</v>
      </c>
      <c r="L93" s="5">
        <f t="shared" si="304"/>
        <v>-17.097266116895991</v>
      </c>
      <c r="M93" s="5">
        <f t="shared" si="304"/>
        <v>-17.777967888407986</v>
      </c>
      <c r="N93" s="5">
        <f t="shared" si="304"/>
        <v>-18.458669659919988</v>
      </c>
      <c r="O93" s="5">
        <f t="shared" si="304"/>
        <v>-18.366682934040057</v>
      </c>
      <c r="P93" s="383">
        <f t="shared" si="227"/>
        <v>-103.85301351852</v>
      </c>
      <c r="Q93" s="5">
        <f t="shared" ref="Q93:AB93" si="305">Q12*Q129*Q130/-1000000</f>
        <v>-43.155343980933324</v>
      </c>
      <c r="R93" s="5">
        <f t="shared" si="305"/>
        <v>-45.676524602977331</v>
      </c>
      <c r="S93" s="5">
        <f t="shared" si="305"/>
        <v>-48.197705225021316</v>
      </c>
      <c r="T93" s="5">
        <f t="shared" si="305"/>
        <v>-50.718885847065316</v>
      </c>
      <c r="U93" s="5">
        <f t="shared" si="305"/>
        <v>-53.240066469109308</v>
      </c>
      <c r="V93" s="5">
        <f t="shared" si="305"/>
        <v>-55.761247091153308</v>
      </c>
      <c r="W93" s="5">
        <f t="shared" si="305"/>
        <v>-58.282427713197293</v>
      </c>
      <c r="X93" s="5">
        <f t="shared" si="305"/>
        <v>-60.803608335241293</v>
      </c>
      <c r="Y93" s="5">
        <f t="shared" si="305"/>
        <v>-63.3247889572853</v>
      </c>
      <c r="Z93" s="5">
        <f t="shared" si="305"/>
        <v>-65.845969579329292</v>
      </c>
      <c r="AA93" s="5">
        <f t="shared" si="305"/>
        <v>-68.367150201373278</v>
      </c>
      <c r="AB93" s="5">
        <f t="shared" si="305"/>
        <v>-68.026450117313544</v>
      </c>
      <c r="AC93" s="383">
        <f t="shared" si="229"/>
        <v>-681.40016811999988</v>
      </c>
      <c r="AD93" s="5">
        <f t="shared" ref="AD93:AO93" si="306">AD12*AD129*AD130/-1000000</f>
        <v>-66.137698934719992</v>
      </c>
      <c r="AE93" s="5">
        <f t="shared" si="306"/>
        <v>-70.001532925116777</v>
      </c>
      <c r="AF93" s="5">
        <f t="shared" si="306"/>
        <v>-73.86536691551359</v>
      </c>
      <c r="AG93" s="5">
        <f t="shared" si="306"/>
        <v>-77.729200905910375</v>
      </c>
      <c r="AH93" s="5">
        <f t="shared" si="306"/>
        <v>-81.593034896307159</v>
      </c>
      <c r="AI93" s="5">
        <f t="shared" si="306"/>
        <v>-85.456868886703958</v>
      </c>
      <c r="AJ93" s="5">
        <f t="shared" si="306"/>
        <v>-89.320702877100757</v>
      </c>
      <c r="AK93" s="5">
        <f t="shared" si="306"/>
        <v>-93.184536867497528</v>
      </c>
      <c r="AL93" s="5">
        <f t="shared" si="306"/>
        <v>-97.048370857894326</v>
      </c>
      <c r="AM93" s="5">
        <f t="shared" si="306"/>
        <v>-100.91220484829113</v>
      </c>
      <c r="AN93" s="5">
        <f t="shared" si="306"/>
        <v>-104.77603883868794</v>
      </c>
      <c r="AO93" s="5">
        <f t="shared" si="306"/>
        <v>-104.25389911025633</v>
      </c>
      <c r="AP93" s="383">
        <f t="shared" si="231"/>
        <v>-1044.2794568639999</v>
      </c>
      <c r="AQ93" s="5">
        <f t="shared" ref="AQ93:BB93" si="307">AQ12*AQ129*AQ130/-1000000</f>
        <v>-74.506559825487969</v>
      </c>
      <c r="AR93" s="5">
        <f t="shared" si="307"/>
        <v>-78.859311478450692</v>
      </c>
      <c r="AS93" s="5">
        <f t="shared" si="307"/>
        <v>-83.212063131413402</v>
      </c>
      <c r="AT93" s="5">
        <f t="shared" si="307"/>
        <v>-87.564814784376097</v>
      </c>
      <c r="AU93" s="5">
        <f t="shared" si="307"/>
        <v>-91.917566437338849</v>
      </c>
      <c r="AV93" s="5">
        <f t="shared" si="307"/>
        <v>-96.270318090301529</v>
      </c>
      <c r="AW93" s="5">
        <f t="shared" si="307"/>
        <v>-100.62306974326425</v>
      </c>
      <c r="AX93" s="5">
        <f t="shared" si="307"/>
        <v>-104.97582139622698</v>
      </c>
      <c r="AY93" s="5">
        <f t="shared" si="307"/>
        <v>-109.32857304918969</v>
      </c>
      <c r="AZ93" s="5">
        <f t="shared" si="307"/>
        <v>-113.68132470215239</v>
      </c>
      <c r="BA93" s="5">
        <f t="shared" si="307"/>
        <v>-118.0340763551151</v>
      </c>
      <c r="BB93" s="5">
        <f t="shared" si="307"/>
        <v>-117.44586667228278</v>
      </c>
      <c r="BC93" s="383">
        <f t="shared" si="233"/>
        <v>-1176.4193656655998</v>
      </c>
      <c r="BD93" s="5">
        <f t="shared" ref="BD93:BO93" si="308">BD12*BD129*BD130/-1000000</f>
        <v>-85.152405441807176</v>
      </c>
      <c r="BE93" s="5">
        <f t="shared" si="308"/>
        <v>-90.127098601828536</v>
      </c>
      <c r="BF93" s="5">
        <f t="shared" si="308"/>
        <v>-95.101791761849896</v>
      </c>
      <c r="BG93" s="5">
        <f t="shared" si="308"/>
        <v>-100.07648492187124</v>
      </c>
      <c r="BH93" s="5">
        <f t="shared" si="308"/>
        <v>-105.05117808189262</v>
      </c>
      <c r="BI93" s="5">
        <f t="shared" si="308"/>
        <v>-110.02587124191398</v>
      </c>
      <c r="BJ93" s="5">
        <f t="shared" si="308"/>
        <v>-115.00056440193534</v>
      </c>
      <c r="BK93" s="5">
        <f t="shared" si="308"/>
        <v>-119.9752575619567</v>
      </c>
      <c r="BL93" s="5">
        <f t="shared" si="308"/>
        <v>-124.94995072197806</v>
      </c>
      <c r="BM93" s="5">
        <f t="shared" si="308"/>
        <v>-129.92464388199943</v>
      </c>
      <c r="BN93" s="5">
        <f t="shared" si="308"/>
        <v>-134.89933704202079</v>
      </c>
      <c r="BO93" s="5">
        <f t="shared" si="308"/>
        <v>-134.22708120958598</v>
      </c>
      <c r="BP93" s="383">
        <f t="shared" si="235"/>
        <v>-1344.5116648706398</v>
      </c>
      <c r="BR93" s="60">
        <f t="shared" si="252"/>
        <v>0</v>
      </c>
      <c r="BS93" s="60">
        <f t="shared" si="253"/>
        <v>0</v>
      </c>
      <c r="BT93" s="60">
        <f t="shared" si="254"/>
        <v>-98.499386072303935</v>
      </c>
      <c r="BU93" s="60">
        <f t="shared" si="255"/>
        <v>-109.20664096473607</v>
      </c>
      <c r="BV93" s="60">
        <f t="shared" si="256"/>
        <v>-593.49954643251976</v>
      </c>
      <c r="BW93" s="60">
        <f t="shared" si="257"/>
        <v>-769.30078980747999</v>
      </c>
      <c r="BX93" s="60">
        <f t="shared" si="258"/>
        <v>-909.56740692854362</v>
      </c>
      <c r="BY93" s="60">
        <f t="shared" si="259"/>
        <v>-1178.9915067994561</v>
      </c>
      <c r="BZ93" s="60">
        <f t="shared" si="260"/>
        <v>-1024.6612674947371</v>
      </c>
      <c r="CA93" s="60">
        <f t="shared" si="261"/>
        <v>-1328.1774638364625</v>
      </c>
      <c r="CB93" s="60">
        <f t="shared" si="262"/>
        <v>-1171.0696601023269</v>
      </c>
      <c r="CC93" s="60">
        <f t="shared" si="263"/>
        <v>-1517.9536696389525</v>
      </c>
      <c r="CE93" s="297" t="s">
        <v>998</v>
      </c>
      <c r="CF93" s="12" t="s">
        <v>965</v>
      </c>
    </row>
    <row r="94" spans="1:84" s="363" customFormat="1" ht="15.6">
      <c r="A94" s="363" t="s">
        <v>539</v>
      </c>
      <c r="B94" s="12" t="s">
        <v>502</v>
      </c>
      <c r="C94" s="382"/>
      <c r="D94" s="363">
        <f>D57+D64+D65+D73+D74+D81+D83</f>
        <v>0</v>
      </c>
      <c r="E94" s="363">
        <f t="shared" ref="E94:O94" si="309">E57+E64+E65+E73+E74+E81+E83</f>
        <v>0</v>
      </c>
      <c r="F94" s="363">
        <f t="shared" si="309"/>
        <v>0</v>
      </c>
      <c r="G94" s="363">
        <f t="shared" si="309"/>
        <v>0</v>
      </c>
      <c r="H94" s="363">
        <f t="shared" si="309"/>
        <v>0</v>
      </c>
      <c r="I94" s="363">
        <f>I57+I64+I65+I73+I74+I81+I83</f>
        <v>-57.00887557160317</v>
      </c>
      <c r="J94" s="363">
        <f t="shared" si="309"/>
        <v>-111.42100261272437</v>
      </c>
      <c r="K94" s="363">
        <f t="shared" si="309"/>
        <v>-119.68955887860305</v>
      </c>
      <c r="L94" s="363">
        <f t="shared" si="309"/>
        <v>-128.75850327975189</v>
      </c>
      <c r="M94" s="363">
        <f t="shared" si="309"/>
        <v>-138.0376744653</v>
      </c>
      <c r="N94" s="363">
        <f t="shared" si="309"/>
        <v>-147.08809571333902</v>
      </c>
      <c r="O94" s="363">
        <f t="shared" si="309"/>
        <v>-151.21581002254385</v>
      </c>
      <c r="P94" s="381">
        <f t="shared" si="227"/>
        <v>-853.21952054386543</v>
      </c>
      <c r="Q94" s="363">
        <f t="shared" ref="Q94:AB94" si="310">Q57+Q64+Q65+Q73+Q74+Q81+Q83</f>
        <v>-239.98787698668454</v>
      </c>
      <c r="R94" s="363">
        <f t="shared" si="310"/>
        <v>-243.30969793230432</v>
      </c>
      <c r="S94" s="363">
        <f t="shared" si="310"/>
        <v>-251.45896171836205</v>
      </c>
      <c r="T94" s="363">
        <f t="shared" si="310"/>
        <v>-255.46159262669576</v>
      </c>
      <c r="U94" s="363">
        <f t="shared" si="310"/>
        <v>-261.67144074071513</v>
      </c>
      <c r="V94" s="363">
        <f t="shared" si="310"/>
        <v>-263.9036743952214</v>
      </c>
      <c r="W94" s="363">
        <f t="shared" si="310"/>
        <v>-285.2813034422681</v>
      </c>
      <c r="X94" s="363">
        <f t="shared" si="310"/>
        <v>-301.98047735346177</v>
      </c>
      <c r="Y94" s="363">
        <f t="shared" si="310"/>
        <v>-313.87831233293366</v>
      </c>
      <c r="Z94" s="363">
        <f t="shared" si="310"/>
        <v>-334.37777989870585</v>
      </c>
      <c r="AA94" s="363">
        <f t="shared" si="310"/>
        <v>-343.70740898328864</v>
      </c>
      <c r="AB94" s="363">
        <f t="shared" si="310"/>
        <v>-346.98034236024102</v>
      </c>
      <c r="AC94" s="381">
        <f t="shared" si="229"/>
        <v>-3441.9988687708819</v>
      </c>
      <c r="AD94" s="363">
        <f t="shared" ref="AD94:AO94" si="311">AD57+AD64+AD65+AD73+AD74+AD81+AD83</f>
        <v>56.899905631593469</v>
      </c>
      <c r="AE94" s="363">
        <f t="shared" si="311"/>
        <v>105.51540381873417</v>
      </c>
      <c r="AF94" s="363">
        <f t="shared" si="311"/>
        <v>91.387604418750243</v>
      </c>
      <c r="AG94" s="363">
        <f t="shared" si="311"/>
        <v>113.79265018913975</v>
      </c>
      <c r="AH94" s="363">
        <f t="shared" si="311"/>
        <v>118.23318912176364</v>
      </c>
      <c r="AI94" s="363">
        <f t="shared" si="311"/>
        <v>146.0330331940047</v>
      </c>
      <c r="AJ94" s="363">
        <f t="shared" si="311"/>
        <v>152.384486039526</v>
      </c>
      <c r="AK94" s="363">
        <f t="shared" si="311"/>
        <v>172.13929694318597</v>
      </c>
      <c r="AL94" s="363">
        <f t="shared" si="311"/>
        <v>207.93157579085516</v>
      </c>
      <c r="AM94" s="363">
        <f t="shared" si="311"/>
        <v>216.86213409401353</v>
      </c>
      <c r="AN94" s="363">
        <f t="shared" si="311"/>
        <v>257.85649549294953</v>
      </c>
      <c r="AO94" s="363">
        <f t="shared" si="311"/>
        <v>292.4648687604556</v>
      </c>
      <c r="AP94" s="381">
        <f t="shared" si="231"/>
        <v>1931.5006434949719</v>
      </c>
      <c r="AQ94" s="363">
        <f t="shared" ref="AQ94:BB94" si="312">AQ57+AQ64+AQ65+AQ73+AQ74+AQ81+AQ83</f>
        <v>709.95371343364366</v>
      </c>
      <c r="AR94" s="363">
        <f t="shared" si="312"/>
        <v>816.78708646259452</v>
      </c>
      <c r="AS94" s="363">
        <f t="shared" si="312"/>
        <v>784.57251935732597</v>
      </c>
      <c r="AT94" s="363">
        <f t="shared" si="312"/>
        <v>819.64997669573654</v>
      </c>
      <c r="AU94" s="363">
        <f t="shared" si="312"/>
        <v>823.37160680944112</v>
      </c>
      <c r="AV94" s="363">
        <f t="shared" si="312"/>
        <v>863.77799561775646</v>
      </c>
      <c r="AW94" s="363">
        <f t="shared" si="312"/>
        <v>871.12161278278597</v>
      </c>
      <c r="AX94" s="363">
        <f t="shared" si="312"/>
        <v>898.23770523731071</v>
      </c>
      <c r="AY94" s="363">
        <f t="shared" si="312"/>
        <v>946.32965242528837</v>
      </c>
      <c r="AZ94" s="363">
        <f t="shared" si="312"/>
        <v>958.69708784614352</v>
      </c>
      <c r="BA94" s="363">
        <f t="shared" si="312"/>
        <v>1011.6519197413666</v>
      </c>
      <c r="BB94" s="363">
        <f t="shared" si="312"/>
        <v>1053.5426652549982</v>
      </c>
      <c r="BC94" s="381">
        <f t="shared" si="233"/>
        <v>10557.693541664392</v>
      </c>
      <c r="BD94" s="363">
        <f t="shared" ref="BD94:BO94" si="313">BD57+BD64+BD65+BD73+BD74+BD81+BD83</f>
        <v>1470.8791728473338</v>
      </c>
      <c r="BE94" s="363">
        <f t="shared" si="313"/>
        <v>1598.3040456028966</v>
      </c>
      <c r="BF94" s="363">
        <f t="shared" si="313"/>
        <v>1555.4692074346201</v>
      </c>
      <c r="BG94" s="363">
        <f t="shared" si="313"/>
        <v>1587.3552830193328</v>
      </c>
      <c r="BH94" s="363">
        <f t="shared" si="313"/>
        <v>1586.365200556819</v>
      </c>
      <c r="BI94" s="363">
        <f t="shared" si="313"/>
        <v>1624.0621252608303</v>
      </c>
      <c r="BJ94" s="363">
        <f t="shared" si="313"/>
        <v>1628.7475574472828</v>
      </c>
      <c r="BK94" s="363">
        <f t="shared" si="313"/>
        <v>1654.0807064903643</v>
      </c>
      <c r="BL94" s="363">
        <f t="shared" si="313"/>
        <v>1700.0309153786934</v>
      </c>
      <c r="BM94" s="363">
        <f t="shared" si="313"/>
        <v>1712.6748221356793</v>
      </c>
      <c r="BN94" s="363">
        <f t="shared" si="313"/>
        <v>1763.7619615174301</v>
      </c>
      <c r="BO94" s="363">
        <f t="shared" si="313"/>
        <v>1810.9315264262439</v>
      </c>
      <c r="BP94" s="381">
        <f t="shared" si="235"/>
        <v>19692.662524117528</v>
      </c>
      <c r="BR94" s="60">
        <f t="shared" si="252"/>
        <v>0</v>
      </c>
      <c r="BS94" s="60">
        <f t="shared" si="253"/>
        <v>-114.01775114320634</v>
      </c>
      <c r="BT94" s="60">
        <f t="shared" si="254"/>
        <v>-719.73812954215862</v>
      </c>
      <c r="BU94" s="60">
        <f t="shared" si="255"/>
        <v>-872.68316040236573</v>
      </c>
      <c r="BV94" s="60">
        <f t="shared" si="256"/>
        <v>-3031.586488799966</v>
      </c>
      <c r="BW94" s="60">
        <f t="shared" si="257"/>
        <v>-3852.4112487417979</v>
      </c>
      <c r="BX94" s="60">
        <f t="shared" si="258"/>
        <v>1263.723572747972</v>
      </c>
      <c r="BY94" s="60">
        <f t="shared" si="259"/>
        <v>2599.2777142419718</v>
      </c>
      <c r="BZ94" s="60">
        <f t="shared" si="260"/>
        <v>9636.2257967529968</v>
      </c>
      <c r="CA94" s="60">
        <f t="shared" si="261"/>
        <v>11479.161286575785</v>
      </c>
      <c r="CB94" s="60">
        <f t="shared" si="262"/>
        <v>18844.870069443667</v>
      </c>
      <c r="CC94" s="60">
        <f t="shared" si="263"/>
        <v>20540.454978791389</v>
      </c>
      <c r="CE94" s="363" t="str">
        <f>Presentation!A40</f>
        <v>Net income before tax</v>
      </c>
      <c r="CF94" s="12" t="s">
        <v>965</v>
      </c>
    </row>
    <row r="95" spans="1:84" s="299" customFormat="1" ht="15.6">
      <c r="A95" s="299" t="s">
        <v>539</v>
      </c>
      <c r="B95" s="380" t="s">
        <v>628</v>
      </c>
      <c r="D95" s="299">
        <f t="shared" ref="D95:AI95" si="314">D94/500*1000</f>
        <v>0</v>
      </c>
      <c r="E95" s="299">
        <f t="shared" si="314"/>
        <v>0</v>
      </c>
      <c r="F95" s="299">
        <f t="shared" si="314"/>
        <v>0</v>
      </c>
      <c r="G95" s="299">
        <f t="shared" si="314"/>
        <v>0</v>
      </c>
      <c r="H95" s="299">
        <f t="shared" si="314"/>
        <v>0</v>
      </c>
      <c r="I95" s="299">
        <f>I94/500*1000</f>
        <v>-114.01775114320634</v>
      </c>
      <c r="J95" s="299">
        <f t="shared" si="314"/>
        <v>-222.84200522544873</v>
      </c>
      <c r="K95" s="299">
        <f t="shared" si="314"/>
        <v>-239.3791177572061</v>
      </c>
      <c r="L95" s="299">
        <f t="shared" si="314"/>
        <v>-257.51700655950378</v>
      </c>
      <c r="M95" s="299">
        <f t="shared" si="314"/>
        <v>-276.0753489306</v>
      </c>
      <c r="N95" s="299">
        <f t="shared" si="314"/>
        <v>-294.17619142667803</v>
      </c>
      <c r="O95" s="299">
        <f t="shared" si="314"/>
        <v>-302.4316200450877</v>
      </c>
      <c r="P95" s="299">
        <f t="shared" si="314"/>
        <v>-1706.4390410877309</v>
      </c>
      <c r="Q95" s="299">
        <f t="shared" si="314"/>
        <v>-479.97575397336908</v>
      </c>
      <c r="R95" s="299">
        <f t="shared" si="314"/>
        <v>-486.61939586460863</v>
      </c>
      <c r="S95" s="299">
        <f t="shared" si="314"/>
        <v>-502.91792343672415</v>
      </c>
      <c r="T95" s="299">
        <f t="shared" si="314"/>
        <v>-510.92318525339152</v>
      </c>
      <c r="U95" s="299">
        <f t="shared" si="314"/>
        <v>-523.34288148143025</v>
      </c>
      <c r="V95" s="299">
        <f t="shared" si="314"/>
        <v>-527.8073487904428</v>
      </c>
      <c r="W95" s="299">
        <f t="shared" si="314"/>
        <v>-570.56260688453619</v>
      </c>
      <c r="X95" s="299">
        <f t="shared" si="314"/>
        <v>-603.96095470692353</v>
      </c>
      <c r="Y95" s="299">
        <f t="shared" si="314"/>
        <v>-627.75662466586732</v>
      </c>
      <c r="Z95" s="299">
        <f t="shared" si="314"/>
        <v>-668.75555979741171</v>
      </c>
      <c r="AA95" s="299">
        <f t="shared" si="314"/>
        <v>-687.41481796657729</v>
      </c>
      <c r="AB95" s="299">
        <f t="shared" si="314"/>
        <v>-693.96068472048205</v>
      </c>
      <c r="AC95" s="299">
        <f t="shared" si="314"/>
        <v>-6883.9977375417639</v>
      </c>
      <c r="AD95" s="299">
        <f t="shared" si="314"/>
        <v>113.79981126318694</v>
      </c>
      <c r="AE95" s="299">
        <f t="shared" si="314"/>
        <v>211.03080763746834</v>
      </c>
      <c r="AF95" s="299">
        <f t="shared" si="314"/>
        <v>182.77520883750049</v>
      </c>
      <c r="AG95" s="299">
        <f t="shared" si="314"/>
        <v>227.5853003782795</v>
      </c>
      <c r="AH95" s="299">
        <f t="shared" si="314"/>
        <v>236.46637824352729</v>
      </c>
      <c r="AI95" s="299">
        <f t="shared" si="314"/>
        <v>292.0660663880094</v>
      </c>
      <c r="AJ95" s="299">
        <f t="shared" ref="AJ95:BO95" si="315">AJ94/500*1000</f>
        <v>304.76897207905199</v>
      </c>
      <c r="AK95" s="299">
        <f t="shared" si="315"/>
        <v>344.27859388637194</v>
      </c>
      <c r="AL95" s="299">
        <f t="shared" si="315"/>
        <v>415.86315158171033</v>
      </c>
      <c r="AM95" s="299">
        <f t="shared" si="315"/>
        <v>433.72426818802705</v>
      </c>
      <c r="AN95" s="299">
        <f t="shared" si="315"/>
        <v>515.71299098589907</v>
      </c>
      <c r="AO95" s="299">
        <f t="shared" si="315"/>
        <v>584.9297375209112</v>
      </c>
      <c r="AP95" s="299">
        <f t="shared" si="315"/>
        <v>3863.0012869899438</v>
      </c>
      <c r="AQ95" s="299">
        <f t="shared" si="315"/>
        <v>1419.9074268672873</v>
      </c>
      <c r="AR95" s="299">
        <f t="shared" si="315"/>
        <v>1633.574172925189</v>
      </c>
      <c r="AS95" s="299">
        <f t="shared" si="315"/>
        <v>1569.1450387146519</v>
      </c>
      <c r="AT95" s="299">
        <f t="shared" si="315"/>
        <v>1639.2999533914731</v>
      </c>
      <c r="AU95" s="299">
        <f t="shared" si="315"/>
        <v>1646.7432136188822</v>
      </c>
      <c r="AV95" s="299">
        <f t="shared" si="315"/>
        <v>1727.5559912355129</v>
      </c>
      <c r="AW95" s="299">
        <f t="shared" si="315"/>
        <v>1742.2432255655719</v>
      </c>
      <c r="AX95" s="299">
        <f t="shared" si="315"/>
        <v>1796.4754104746214</v>
      </c>
      <c r="AY95" s="299">
        <f t="shared" si="315"/>
        <v>1892.6593048505767</v>
      </c>
      <c r="AZ95" s="299">
        <f t="shared" si="315"/>
        <v>1917.394175692287</v>
      </c>
      <c r="BA95" s="299">
        <f t="shared" si="315"/>
        <v>2023.3038394827329</v>
      </c>
      <c r="BB95" s="299">
        <f t="shared" si="315"/>
        <v>2107.0853305099963</v>
      </c>
      <c r="BC95" s="299">
        <f t="shared" si="315"/>
        <v>21115.387083328784</v>
      </c>
      <c r="BD95" s="299">
        <f t="shared" si="315"/>
        <v>2941.7583456946677</v>
      </c>
      <c r="BE95" s="299">
        <f t="shared" si="315"/>
        <v>3196.6080912057932</v>
      </c>
      <c r="BF95" s="299">
        <f t="shared" si="315"/>
        <v>3110.9384148692402</v>
      </c>
      <c r="BG95" s="299">
        <f t="shared" si="315"/>
        <v>3174.7105660386655</v>
      </c>
      <c r="BH95" s="299">
        <f t="shared" si="315"/>
        <v>3172.730401113638</v>
      </c>
      <c r="BI95" s="299">
        <f t="shared" si="315"/>
        <v>3248.1242505216605</v>
      </c>
      <c r="BJ95" s="299">
        <f t="shared" si="315"/>
        <v>3257.4951148945656</v>
      </c>
      <c r="BK95" s="299">
        <f t="shared" si="315"/>
        <v>3308.1614129807285</v>
      </c>
      <c r="BL95" s="299">
        <f t="shared" si="315"/>
        <v>3400.0618307573868</v>
      </c>
      <c r="BM95" s="299">
        <f t="shared" si="315"/>
        <v>3425.3496442713586</v>
      </c>
      <c r="BN95" s="299">
        <f t="shared" si="315"/>
        <v>3527.5239230348602</v>
      </c>
      <c r="BO95" s="299">
        <f t="shared" si="315"/>
        <v>3621.8630528524877</v>
      </c>
      <c r="BP95" s="299">
        <f t="shared" ref="BP95" si="316">BP94/500*1000</f>
        <v>39385.325048235056</v>
      </c>
      <c r="BR95" s="60">
        <f>D95+E95+F95</f>
        <v>0</v>
      </c>
      <c r="BS95" s="60">
        <f>G95+H95+I95</f>
        <v>-114.01775114320634</v>
      </c>
      <c r="BT95" s="60">
        <f>J95+K95+L95</f>
        <v>-719.73812954215862</v>
      </c>
      <c r="BU95" s="60">
        <f>M95+N95+O95</f>
        <v>-872.68316040236573</v>
      </c>
      <c r="BV95" s="60">
        <f>SUM(Q95:V95)</f>
        <v>-3031.586488799966</v>
      </c>
      <c r="BW95" s="60">
        <f>SUM(W95:AB95)</f>
        <v>-3852.4112487417979</v>
      </c>
      <c r="BX95" s="60">
        <f>SUM(AD95:AI95)</f>
        <v>1263.723572747972</v>
      </c>
      <c r="BY95" s="60">
        <f>SUM(AJ95:AO95)</f>
        <v>2599.2777142419718</v>
      </c>
      <c r="BZ95" s="60">
        <f>SUM(AQ95:AV95)</f>
        <v>9636.2257967529968</v>
      </c>
      <c r="CA95" s="60">
        <f>SUM(AW95:BB95)</f>
        <v>11479.161286575785</v>
      </c>
      <c r="CB95" s="60">
        <f>SUM(BD95:BI95)</f>
        <v>18844.870069443667</v>
      </c>
      <c r="CC95" s="60">
        <f>SUM(BJ95:BO95)</f>
        <v>20540.454978791389</v>
      </c>
      <c r="CD95" s="301"/>
      <c r="CE95" s="299" t="str">
        <f>CE94</f>
        <v>Net income before tax</v>
      </c>
      <c r="CF95" s="380" t="s">
        <v>967</v>
      </c>
    </row>
    <row r="96" spans="1:84" s="60" customFormat="1" ht="15.6">
      <c r="A96" s="377" t="s">
        <v>627</v>
      </c>
      <c r="B96" s="379" t="s">
        <v>130</v>
      </c>
      <c r="C96" s="378"/>
      <c r="D96" s="377"/>
      <c r="E96" s="377"/>
      <c r="F96" s="377"/>
      <c r="G96" s="377"/>
      <c r="H96" s="377"/>
      <c r="I96" s="377"/>
      <c r="J96" s="377"/>
      <c r="K96" s="377"/>
      <c r="L96" s="377"/>
      <c r="M96" s="377"/>
      <c r="N96" s="377"/>
      <c r="O96" s="377"/>
      <c r="P96" s="376">
        <f>P94*1000000/AVERAGE(C25:O25)</f>
        <v>-72899.331233131757</v>
      </c>
      <c r="Q96" s="377"/>
      <c r="R96" s="377"/>
      <c r="S96" s="377"/>
      <c r="T96" s="377"/>
      <c r="U96" s="377"/>
      <c r="V96" s="377"/>
      <c r="W96" s="377"/>
      <c r="X96" s="377"/>
      <c r="Y96" s="377"/>
      <c r="Z96" s="377"/>
      <c r="AA96" s="377"/>
      <c r="AB96" s="377"/>
      <c r="AC96" s="376">
        <f>AC94*1000000/AVERAGE(P25:AB25)</f>
        <v>-19783.432163603266</v>
      </c>
      <c r="AD96" s="377"/>
      <c r="AE96" s="377"/>
      <c r="AF96" s="377"/>
      <c r="AG96" s="377"/>
      <c r="AH96" s="377"/>
      <c r="AI96" s="377"/>
      <c r="AJ96" s="377"/>
      <c r="AK96" s="377"/>
      <c r="AL96" s="377"/>
      <c r="AM96" s="377"/>
      <c r="AN96" s="377"/>
      <c r="AO96" s="377"/>
      <c r="AP96" s="376">
        <f>AP94*1000000/AVERAGE(AC25:AO25)</f>
        <v>3935.3188148012114</v>
      </c>
      <c r="AQ96" s="377"/>
      <c r="AR96" s="377"/>
      <c r="AS96" s="377"/>
      <c r="AT96" s="377"/>
      <c r="AU96" s="377"/>
      <c r="AV96" s="377"/>
      <c r="AW96" s="377"/>
      <c r="AX96" s="377"/>
      <c r="AY96" s="377"/>
      <c r="AZ96" s="377"/>
      <c r="BA96" s="377"/>
      <c r="BB96" s="377"/>
      <c r="BC96" s="376">
        <f>BC94*1000000/AVERAGE(AP25:BB25)</f>
        <v>12858.309560426158</v>
      </c>
      <c r="BD96" s="377"/>
      <c r="BE96" s="377"/>
      <c r="BF96" s="377"/>
      <c r="BG96" s="377"/>
      <c r="BH96" s="377"/>
      <c r="BI96" s="377"/>
      <c r="BJ96" s="377"/>
      <c r="BK96" s="377"/>
      <c r="BL96" s="377"/>
      <c r="BM96" s="377"/>
      <c r="BN96" s="377"/>
      <c r="BO96" s="377"/>
      <c r="BP96" s="376">
        <f>BP94*1000000/AVERAGE(BC25:BO25)</f>
        <v>18208.009717350014</v>
      </c>
      <c r="BR96" s="60">
        <f>BR94/AVERAGE(BC25:BO25)*1000000</f>
        <v>0</v>
      </c>
      <c r="BS96" s="60">
        <f>BR96/500</f>
        <v>0</v>
      </c>
      <c r="CE96" s="377" t="s">
        <v>988</v>
      </c>
      <c r="CF96" s="379" t="s">
        <v>966</v>
      </c>
    </row>
    <row r="97" spans="1:84" s="374" customFormat="1" ht="15.6">
      <c r="A97" s="374" t="s">
        <v>627</v>
      </c>
      <c r="B97" s="12" t="s">
        <v>626</v>
      </c>
      <c r="C97" s="12"/>
      <c r="P97" s="375">
        <f>P96/Funnel!E5</f>
        <v>-145.79866246626352</v>
      </c>
      <c r="AC97" s="375">
        <f>AC96/Funnel!F5</f>
        <v>-39.566864327206531</v>
      </c>
      <c r="AP97" s="375">
        <f>AP96/Funnel!G5</f>
        <v>7.870637629602423</v>
      </c>
      <c r="BC97" s="375">
        <f>BC96/Funnel!H5</f>
        <v>25.716619120852314</v>
      </c>
      <c r="BP97" s="375">
        <f>BP96/Funnel!I5</f>
        <v>36.416019434700026</v>
      </c>
      <c r="CE97" s="374" t="str">
        <f>CE96</f>
        <v>Net income per 1 active client per year</v>
      </c>
      <c r="CF97" s="12" t="s">
        <v>131</v>
      </c>
    </row>
    <row r="98" spans="1:84" s="374" customFormat="1" ht="15.6">
      <c r="B98" s="12"/>
      <c r="C98" s="12"/>
      <c r="P98" s="375"/>
      <c r="AC98" s="375"/>
      <c r="AP98" s="375"/>
      <c r="BC98" s="375"/>
      <c r="BP98" s="375"/>
      <c r="CF98" s="12"/>
    </row>
    <row r="99" spans="1:84" s="60" customFormat="1" ht="15.6">
      <c r="A99" s="60" t="s">
        <v>625</v>
      </c>
      <c r="B99" s="12"/>
      <c r="C99" s="373"/>
      <c r="P99" s="372"/>
      <c r="AC99" s="372"/>
      <c r="AP99" s="372"/>
      <c r="BC99" s="372"/>
      <c r="BP99" s="372"/>
      <c r="CE99" s="60" t="s">
        <v>999</v>
      </c>
      <c r="CF99" s="12"/>
    </row>
    <row r="100" spans="1:84" s="65" customFormat="1">
      <c r="A100" s="76" t="s">
        <v>624</v>
      </c>
      <c r="B100" s="285" t="s">
        <v>231</v>
      </c>
      <c r="C100" s="285"/>
      <c r="D100" s="357">
        <f>P100</f>
        <v>0.7</v>
      </c>
      <c r="E100" s="357">
        <f t="shared" ref="E100:O100" si="317">D100</f>
        <v>0.7</v>
      </c>
      <c r="F100" s="357">
        <f t="shared" si="317"/>
        <v>0.7</v>
      </c>
      <c r="G100" s="357">
        <f t="shared" si="317"/>
        <v>0.7</v>
      </c>
      <c r="H100" s="357">
        <f t="shared" si="317"/>
        <v>0.7</v>
      </c>
      <c r="I100" s="357">
        <f t="shared" si="317"/>
        <v>0.7</v>
      </c>
      <c r="J100" s="357">
        <f t="shared" si="317"/>
        <v>0.7</v>
      </c>
      <c r="K100" s="357">
        <f t="shared" si="317"/>
        <v>0.7</v>
      </c>
      <c r="L100" s="357">
        <f t="shared" si="317"/>
        <v>0.7</v>
      </c>
      <c r="M100" s="357">
        <f t="shared" si="317"/>
        <v>0.7</v>
      </c>
      <c r="N100" s="357">
        <f t="shared" si="317"/>
        <v>0.7</v>
      </c>
      <c r="O100" s="357">
        <f t="shared" si="317"/>
        <v>0.7</v>
      </c>
      <c r="P100" s="371">
        <v>0.7</v>
      </c>
      <c r="Q100" s="357">
        <f>AC100</f>
        <v>0.7</v>
      </c>
      <c r="R100" s="357">
        <f t="shared" ref="R100:AB100" si="318">Q100</f>
        <v>0.7</v>
      </c>
      <c r="S100" s="357">
        <f t="shared" si="318"/>
        <v>0.7</v>
      </c>
      <c r="T100" s="357">
        <f t="shared" si="318"/>
        <v>0.7</v>
      </c>
      <c r="U100" s="357">
        <f t="shared" si="318"/>
        <v>0.7</v>
      </c>
      <c r="V100" s="357">
        <f t="shared" si="318"/>
        <v>0.7</v>
      </c>
      <c r="W100" s="357">
        <f t="shared" si="318"/>
        <v>0.7</v>
      </c>
      <c r="X100" s="357">
        <f t="shared" si="318"/>
        <v>0.7</v>
      </c>
      <c r="Y100" s="357">
        <f t="shared" si="318"/>
        <v>0.7</v>
      </c>
      <c r="Z100" s="357">
        <f t="shared" si="318"/>
        <v>0.7</v>
      </c>
      <c r="AA100" s="357">
        <f t="shared" si="318"/>
        <v>0.7</v>
      </c>
      <c r="AB100" s="357">
        <f t="shared" si="318"/>
        <v>0.7</v>
      </c>
      <c r="AC100" s="371">
        <f>P100</f>
        <v>0.7</v>
      </c>
      <c r="AD100" s="357">
        <f>AP100</f>
        <v>0.7</v>
      </c>
      <c r="AE100" s="357">
        <f t="shared" ref="AE100:AO100" si="319">AD100</f>
        <v>0.7</v>
      </c>
      <c r="AF100" s="357">
        <f t="shared" si="319"/>
        <v>0.7</v>
      </c>
      <c r="AG100" s="357">
        <f t="shared" si="319"/>
        <v>0.7</v>
      </c>
      <c r="AH100" s="357">
        <f t="shared" si="319"/>
        <v>0.7</v>
      </c>
      <c r="AI100" s="357">
        <f t="shared" si="319"/>
        <v>0.7</v>
      </c>
      <c r="AJ100" s="357">
        <f t="shared" si="319"/>
        <v>0.7</v>
      </c>
      <c r="AK100" s="357">
        <f t="shared" si="319"/>
        <v>0.7</v>
      </c>
      <c r="AL100" s="357">
        <f t="shared" si="319"/>
        <v>0.7</v>
      </c>
      <c r="AM100" s="357">
        <f t="shared" si="319"/>
        <v>0.7</v>
      </c>
      <c r="AN100" s="357">
        <f t="shared" si="319"/>
        <v>0.7</v>
      </c>
      <c r="AO100" s="357">
        <f t="shared" si="319"/>
        <v>0.7</v>
      </c>
      <c r="AP100" s="371">
        <f>AC100</f>
        <v>0.7</v>
      </c>
      <c r="AQ100" s="357">
        <f>BC100</f>
        <v>0.7</v>
      </c>
      <c r="AR100" s="357">
        <f t="shared" ref="AR100:BB100" si="320">AQ100</f>
        <v>0.7</v>
      </c>
      <c r="AS100" s="357">
        <f t="shared" si="320"/>
        <v>0.7</v>
      </c>
      <c r="AT100" s="357">
        <f t="shared" si="320"/>
        <v>0.7</v>
      </c>
      <c r="AU100" s="357">
        <f t="shared" si="320"/>
        <v>0.7</v>
      </c>
      <c r="AV100" s="357">
        <f t="shared" si="320"/>
        <v>0.7</v>
      </c>
      <c r="AW100" s="357">
        <f t="shared" si="320"/>
        <v>0.7</v>
      </c>
      <c r="AX100" s="357">
        <f t="shared" si="320"/>
        <v>0.7</v>
      </c>
      <c r="AY100" s="357">
        <f t="shared" si="320"/>
        <v>0.7</v>
      </c>
      <c r="AZ100" s="357">
        <f t="shared" si="320"/>
        <v>0.7</v>
      </c>
      <c r="BA100" s="357">
        <f t="shared" si="320"/>
        <v>0.7</v>
      </c>
      <c r="BB100" s="357">
        <f t="shared" si="320"/>
        <v>0.7</v>
      </c>
      <c r="BC100" s="371">
        <f>AP100</f>
        <v>0.7</v>
      </c>
      <c r="BD100" s="357">
        <f>BP100</f>
        <v>0.7</v>
      </c>
      <c r="BE100" s="357">
        <f t="shared" ref="BE100:BO100" si="321">BD100</f>
        <v>0.7</v>
      </c>
      <c r="BF100" s="357">
        <f t="shared" si="321"/>
        <v>0.7</v>
      </c>
      <c r="BG100" s="357">
        <f t="shared" si="321"/>
        <v>0.7</v>
      </c>
      <c r="BH100" s="357">
        <f t="shared" si="321"/>
        <v>0.7</v>
      </c>
      <c r="BI100" s="357">
        <f t="shared" si="321"/>
        <v>0.7</v>
      </c>
      <c r="BJ100" s="357">
        <f t="shared" si="321"/>
        <v>0.7</v>
      </c>
      <c r="BK100" s="357">
        <f t="shared" si="321"/>
        <v>0.7</v>
      </c>
      <c r="BL100" s="357">
        <f t="shared" si="321"/>
        <v>0.7</v>
      </c>
      <c r="BM100" s="357">
        <f t="shared" si="321"/>
        <v>0.7</v>
      </c>
      <c r="BN100" s="357">
        <f t="shared" si="321"/>
        <v>0.7</v>
      </c>
      <c r="BO100" s="357">
        <f t="shared" si="321"/>
        <v>0.7</v>
      </c>
      <c r="BP100" s="371">
        <f>BC100</f>
        <v>0.7</v>
      </c>
      <c r="CE100" s="76" t="str">
        <f>CE9</f>
        <v>% emissions with plastic</v>
      </c>
      <c r="CF100" s="285" t="s">
        <v>231</v>
      </c>
    </row>
    <row r="101" spans="1:84" s="65" customFormat="1">
      <c r="A101" s="76" t="s">
        <v>623</v>
      </c>
      <c r="B101" s="285" t="s">
        <v>231</v>
      </c>
      <c r="C101" s="285"/>
      <c r="D101" s="357">
        <f>P101</f>
        <v>1</v>
      </c>
      <c r="E101" s="357">
        <f t="shared" ref="E101:O101" si="322">D101</f>
        <v>1</v>
      </c>
      <c r="F101" s="357">
        <f t="shared" si="322"/>
        <v>1</v>
      </c>
      <c r="G101" s="357">
        <f t="shared" si="322"/>
        <v>1</v>
      </c>
      <c r="H101" s="357">
        <f t="shared" si="322"/>
        <v>1</v>
      </c>
      <c r="I101" s="357">
        <f t="shared" si="322"/>
        <v>1</v>
      </c>
      <c r="J101" s="357">
        <f t="shared" si="322"/>
        <v>1</v>
      </c>
      <c r="K101" s="357">
        <f t="shared" si="322"/>
        <v>1</v>
      </c>
      <c r="L101" s="357">
        <f t="shared" si="322"/>
        <v>1</v>
      </c>
      <c r="M101" s="357">
        <f t="shared" si="322"/>
        <v>1</v>
      </c>
      <c r="N101" s="357">
        <f t="shared" si="322"/>
        <v>1</v>
      </c>
      <c r="O101" s="357">
        <f t="shared" si="322"/>
        <v>1</v>
      </c>
      <c r="P101" s="371">
        <v>1</v>
      </c>
      <c r="Q101" s="357">
        <f>AC101</f>
        <v>1</v>
      </c>
      <c r="R101" s="357">
        <f t="shared" ref="R101:AB101" si="323">Q101</f>
        <v>1</v>
      </c>
      <c r="S101" s="357">
        <f t="shared" si="323"/>
        <v>1</v>
      </c>
      <c r="T101" s="357">
        <f t="shared" si="323"/>
        <v>1</v>
      </c>
      <c r="U101" s="357">
        <f t="shared" si="323"/>
        <v>1</v>
      </c>
      <c r="V101" s="357">
        <f t="shared" si="323"/>
        <v>1</v>
      </c>
      <c r="W101" s="357">
        <f t="shared" si="323"/>
        <v>1</v>
      </c>
      <c r="X101" s="357">
        <f t="shared" si="323"/>
        <v>1</v>
      </c>
      <c r="Y101" s="357">
        <f t="shared" si="323"/>
        <v>1</v>
      </c>
      <c r="Z101" s="357">
        <f t="shared" si="323"/>
        <v>1</v>
      </c>
      <c r="AA101" s="357">
        <f t="shared" si="323"/>
        <v>1</v>
      </c>
      <c r="AB101" s="357">
        <f t="shared" si="323"/>
        <v>1</v>
      </c>
      <c r="AC101" s="371">
        <f>P101</f>
        <v>1</v>
      </c>
      <c r="AD101" s="357">
        <f>AP101</f>
        <v>1</v>
      </c>
      <c r="AE101" s="357">
        <f t="shared" ref="AE101:AO101" si="324">AD101</f>
        <v>1</v>
      </c>
      <c r="AF101" s="357">
        <f t="shared" si="324"/>
        <v>1</v>
      </c>
      <c r="AG101" s="357">
        <f t="shared" si="324"/>
        <v>1</v>
      </c>
      <c r="AH101" s="357">
        <f t="shared" si="324"/>
        <v>1</v>
      </c>
      <c r="AI101" s="357">
        <f t="shared" si="324"/>
        <v>1</v>
      </c>
      <c r="AJ101" s="357">
        <f t="shared" si="324"/>
        <v>1</v>
      </c>
      <c r="AK101" s="357">
        <f t="shared" si="324"/>
        <v>1</v>
      </c>
      <c r="AL101" s="357">
        <f t="shared" si="324"/>
        <v>1</v>
      </c>
      <c r="AM101" s="357">
        <f t="shared" si="324"/>
        <v>1</v>
      </c>
      <c r="AN101" s="357">
        <f t="shared" si="324"/>
        <v>1</v>
      </c>
      <c r="AO101" s="357">
        <f t="shared" si="324"/>
        <v>1</v>
      </c>
      <c r="AP101" s="371">
        <f>AC101</f>
        <v>1</v>
      </c>
      <c r="AQ101" s="357">
        <f>BC101</f>
        <v>1</v>
      </c>
      <c r="AR101" s="357">
        <f t="shared" ref="AR101:BB101" si="325">AQ101</f>
        <v>1</v>
      </c>
      <c r="AS101" s="357">
        <f t="shared" si="325"/>
        <v>1</v>
      </c>
      <c r="AT101" s="357">
        <f t="shared" si="325"/>
        <v>1</v>
      </c>
      <c r="AU101" s="357">
        <f t="shared" si="325"/>
        <v>1</v>
      </c>
      <c r="AV101" s="357">
        <f t="shared" si="325"/>
        <v>1</v>
      </c>
      <c r="AW101" s="357">
        <f t="shared" si="325"/>
        <v>1</v>
      </c>
      <c r="AX101" s="357">
        <f t="shared" si="325"/>
        <v>1</v>
      </c>
      <c r="AY101" s="357">
        <f t="shared" si="325"/>
        <v>1</v>
      </c>
      <c r="AZ101" s="357">
        <f t="shared" si="325"/>
        <v>1</v>
      </c>
      <c r="BA101" s="357">
        <f t="shared" si="325"/>
        <v>1</v>
      </c>
      <c r="BB101" s="357">
        <f t="shared" si="325"/>
        <v>1</v>
      </c>
      <c r="BC101" s="371">
        <f>AP101</f>
        <v>1</v>
      </c>
      <c r="BD101" s="357">
        <f>BP101</f>
        <v>1</v>
      </c>
      <c r="BE101" s="357">
        <f t="shared" ref="BE101:BO101" si="326">BD101</f>
        <v>1</v>
      </c>
      <c r="BF101" s="357">
        <f t="shared" si="326"/>
        <v>1</v>
      </c>
      <c r="BG101" s="357">
        <f t="shared" si="326"/>
        <v>1</v>
      </c>
      <c r="BH101" s="357">
        <f t="shared" si="326"/>
        <v>1</v>
      </c>
      <c r="BI101" s="357">
        <f t="shared" si="326"/>
        <v>1</v>
      </c>
      <c r="BJ101" s="357">
        <f t="shared" si="326"/>
        <v>1</v>
      </c>
      <c r="BK101" s="357">
        <f t="shared" si="326"/>
        <v>1</v>
      </c>
      <c r="BL101" s="357">
        <f t="shared" si="326"/>
        <v>1</v>
      </c>
      <c r="BM101" s="357">
        <f t="shared" si="326"/>
        <v>1</v>
      </c>
      <c r="BN101" s="357">
        <f t="shared" si="326"/>
        <v>1</v>
      </c>
      <c r="BO101" s="357">
        <f t="shared" si="326"/>
        <v>1</v>
      </c>
      <c r="BP101" s="371">
        <f>BC101</f>
        <v>1</v>
      </c>
      <c r="CE101" s="76" t="str">
        <f>CE11</f>
        <v>% of card delivery</v>
      </c>
      <c r="CF101" s="285" t="s">
        <v>231</v>
      </c>
    </row>
    <row r="102" spans="1:84" s="357" customFormat="1" ht="5.0999999999999996" customHeight="1">
      <c r="A102" s="360"/>
      <c r="B102" s="359"/>
      <c r="C102" s="359"/>
      <c r="P102" s="358"/>
      <c r="AC102" s="358"/>
      <c r="AP102" s="358"/>
      <c r="BC102" s="358"/>
      <c r="BP102" s="358"/>
      <c r="CE102" s="360"/>
      <c r="CF102" s="359"/>
    </row>
    <row r="103" spans="1:84" s="65" customFormat="1">
      <c r="A103" s="370" t="s">
        <v>622</v>
      </c>
      <c r="B103" s="285" t="s">
        <v>231</v>
      </c>
      <c r="C103" s="366">
        <v>0</v>
      </c>
      <c r="D103" s="365">
        <f>(P103-C103)/12+C103</f>
        <v>8.3333333333333332E-3</v>
      </c>
      <c r="E103" s="365">
        <f>(P103-C103)/12+D103</f>
        <v>1.6666666666666666E-2</v>
      </c>
      <c r="F103" s="365">
        <f>(P103-C103)/12+E103</f>
        <v>2.5000000000000001E-2</v>
      </c>
      <c r="G103" s="365">
        <f>(P103-C103)/12+F103</f>
        <v>3.3333333333333333E-2</v>
      </c>
      <c r="H103" s="365">
        <f>(P103-C103)/12+G103</f>
        <v>4.1666666666666664E-2</v>
      </c>
      <c r="I103" s="365">
        <f>(P103-C103)/12+H103</f>
        <v>4.9999999999999996E-2</v>
      </c>
      <c r="J103" s="365">
        <f>(P103-C103)/12+I103</f>
        <v>5.8333333333333327E-2</v>
      </c>
      <c r="K103" s="365">
        <f>(P103-C103)/12+J103</f>
        <v>6.6666666666666666E-2</v>
      </c>
      <c r="L103" s="365">
        <f>(P103-C103)/12+K103</f>
        <v>7.4999999999999997E-2</v>
      </c>
      <c r="M103" s="365">
        <f>(P103-C103)/12+L103</f>
        <v>8.3333333333333329E-2</v>
      </c>
      <c r="N103" s="365">
        <f>(P103-C103)/12+M103</f>
        <v>9.166666666666666E-2</v>
      </c>
      <c r="O103" s="365">
        <f>(P103-C103)/12+N103</f>
        <v>9.9999999999999992E-2</v>
      </c>
      <c r="P103" s="364">
        <v>0.1</v>
      </c>
      <c r="Q103" s="365">
        <f>(AC103-P103)/12+P103</f>
        <v>0.10250000000000001</v>
      </c>
      <c r="R103" s="365">
        <f>(AC103-P103)/12+Q103</f>
        <v>0.10500000000000001</v>
      </c>
      <c r="S103" s="365">
        <f>(AC103-P103)/12+R103</f>
        <v>0.10750000000000001</v>
      </c>
      <c r="T103" s="365">
        <f>(AC103-P103)/12+S103</f>
        <v>0.11000000000000001</v>
      </c>
      <c r="U103" s="365">
        <f>(AC103-P103)/12+T103</f>
        <v>0.11250000000000002</v>
      </c>
      <c r="V103" s="365">
        <f>(AC103-P103)/12+U103</f>
        <v>0.11500000000000002</v>
      </c>
      <c r="W103" s="365">
        <f>(AC103-P103)/12+V103</f>
        <v>0.11750000000000002</v>
      </c>
      <c r="X103" s="365">
        <f>(AC103-P103)/12+W103</f>
        <v>0.12000000000000002</v>
      </c>
      <c r="Y103" s="365">
        <f>(AC103-P103)/12+X103</f>
        <v>0.12250000000000003</v>
      </c>
      <c r="Z103" s="365">
        <f>(AC103-P103)/12+Y103</f>
        <v>0.12500000000000003</v>
      </c>
      <c r="AA103" s="365">
        <f>(AC103-P103)/12+Z103</f>
        <v>0.12750000000000003</v>
      </c>
      <c r="AB103" s="365">
        <f>(AC103-P103)/12+AA103</f>
        <v>0.13000000000000003</v>
      </c>
      <c r="AC103" s="364">
        <f>P103+3%</f>
        <v>0.13</v>
      </c>
      <c r="AD103" s="365">
        <f>(AP103-AC103)/12+AC103</f>
        <v>0.13250000000000001</v>
      </c>
      <c r="AE103" s="365">
        <f>(AP103-AC103)/12+AD103</f>
        <v>0.13500000000000001</v>
      </c>
      <c r="AF103" s="365">
        <f>(AP103-AC103)/12+AE103</f>
        <v>0.13750000000000001</v>
      </c>
      <c r="AG103" s="365">
        <f>(AP103-AC103)/12+AF103</f>
        <v>0.14000000000000001</v>
      </c>
      <c r="AH103" s="365">
        <f>(AP103-AC103)/12+AG103</f>
        <v>0.14250000000000002</v>
      </c>
      <c r="AI103" s="365">
        <f>(AP103-AC103)/12+AH103</f>
        <v>0.14500000000000002</v>
      </c>
      <c r="AJ103" s="365">
        <f>(AP103-AC103)/12+AI103</f>
        <v>0.14750000000000002</v>
      </c>
      <c r="AK103" s="365">
        <f>(AP103-AC103)/12+AJ103</f>
        <v>0.15000000000000002</v>
      </c>
      <c r="AL103" s="365">
        <f>(AP103-AC103)/12+AK103</f>
        <v>0.15250000000000002</v>
      </c>
      <c r="AM103" s="365">
        <f>(AP103-AC103)/12+AL103</f>
        <v>0.15500000000000003</v>
      </c>
      <c r="AN103" s="365">
        <f>(AP103-AC103)/12+AM103</f>
        <v>0.15750000000000003</v>
      </c>
      <c r="AO103" s="365">
        <f>(AP103-AC103)/12+AN103</f>
        <v>0.16000000000000003</v>
      </c>
      <c r="AP103" s="364">
        <f>AC103+3%</f>
        <v>0.16</v>
      </c>
      <c r="AQ103" s="365">
        <f>(BC103-AP103)/12+AP103</f>
        <v>0.16250000000000001</v>
      </c>
      <c r="AR103" s="365">
        <f>(BC103-AP103)/12+AQ103</f>
        <v>0.16500000000000001</v>
      </c>
      <c r="AS103" s="365">
        <f>(BC103-AP103)/12+AR103</f>
        <v>0.16750000000000001</v>
      </c>
      <c r="AT103" s="365">
        <f>(BC103-AP103)/12+AS103</f>
        <v>0.17</v>
      </c>
      <c r="AU103" s="365">
        <f>(BC103-AP103)/12+AT103</f>
        <v>0.17250000000000001</v>
      </c>
      <c r="AV103" s="365">
        <f>(BC103-AP103)/12+AU103</f>
        <v>0.17500000000000002</v>
      </c>
      <c r="AW103" s="365">
        <f>(BC103-AP103)/12+AV103</f>
        <v>0.17750000000000002</v>
      </c>
      <c r="AX103" s="365">
        <f>(BC103-AP103)/12+AW103</f>
        <v>0.18000000000000002</v>
      </c>
      <c r="AY103" s="365">
        <f>(BC103-AP103)/12+AX103</f>
        <v>0.18250000000000002</v>
      </c>
      <c r="AZ103" s="365">
        <f>(BC103-AP103)/12+AY103</f>
        <v>0.18500000000000003</v>
      </c>
      <c r="BA103" s="365">
        <f>(BC103-AP103)/12+AZ103</f>
        <v>0.18750000000000003</v>
      </c>
      <c r="BB103" s="365">
        <f>(BC103-AP103)/12+BA103</f>
        <v>0.19000000000000003</v>
      </c>
      <c r="BC103" s="364">
        <f>AP103+3%</f>
        <v>0.19</v>
      </c>
      <c r="BD103" s="365">
        <f>(BP103-BC103)/12+BC103</f>
        <v>0.1925</v>
      </c>
      <c r="BE103" s="365">
        <f>(BP103-BC103)/12+BD103</f>
        <v>0.19500000000000001</v>
      </c>
      <c r="BF103" s="365">
        <f>(BP103-BC103)/12+BE103</f>
        <v>0.19750000000000001</v>
      </c>
      <c r="BG103" s="365">
        <f>(BP103-BC103)/12+BF103</f>
        <v>0.2</v>
      </c>
      <c r="BH103" s="365">
        <f>(BP103-BC103)/12+BG103</f>
        <v>0.20250000000000001</v>
      </c>
      <c r="BI103" s="365">
        <f>(BP103-BC103)/12+BH103</f>
        <v>0.20500000000000002</v>
      </c>
      <c r="BJ103" s="365">
        <f>(BP103-BC103)/12+BI103</f>
        <v>0.20750000000000002</v>
      </c>
      <c r="BK103" s="365">
        <f>(BP103-BC103)/12+BJ103</f>
        <v>0.21000000000000002</v>
      </c>
      <c r="BL103" s="365">
        <f>(BP103-BC103)/12+BK103</f>
        <v>0.21250000000000002</v>
      </c>
      <c r="BM103" s="365">
        <f>(BP103-BC103)/12+BL103</f>
        <v>0.21500000000000002</v>
      </c>
      <c r="BN103" s="365">
        <f>(BP103-BC103)/12+BM103</f>
        <v>0.21750000000000003</v>
      </c>
      <c r="BO103" s="365">
        <f>(BP103-BC103)/12+BN103</f>
        <v>0.22000000000000003</v>
      </c>
      <c r="BP103" s="364">
        <f>BC103+3%</f>
        <v>0.22</v>
      </c>
      <c r="CE103" s="370" t="s">
        <v>1000</v>
      </c>
      <c r="CF103" s="285" t="s">
        <v>231</v>
      </c>
    </row>
    <row r="104" spans="1:84" s="65" customFormat="1">
      <c r="A104" s="370" t="s">
        <v>621</v>
      </c>
      <c r="B104" s="285" t="s">
        <v>231</v>
      </c>
      <c r="C104" s="369">
        <f t="shared" ref="C104:AH104" si="327">100%-C103</f>
        <v>1</v>
      </c>
      <c r="D104" s="369">
        <f t="shared" si="327"/>
        <v>0.9916666666666667</v>
      </c>
      <c r="E104" s="369">
        <f t="shared" si="327"/>
        <v>0.98333333333333328</v>
      </c>
      <c r="F104" s="369">
        <f t="shared" si="327"/>
        <v>0.97499999999999998</v>
      </c>
      <c r="G104" s="369">
        <f t="shared" si="327"/>
        <v>0.96666666666666667</v>
      </c>
      <c r="H104" s="369">
        <f t="shared" si="327"/>
        <v>0.95833333333333337</v>
      </c>
      <c r="I104" s="369">
        <f t="shared" si="327"/>
        <v>0.95</v>
      </c>
      <c r="J104" s="369">
        <f t="shared" si="327"/>
        <v>0.94166666666666665</v>
      </c>
      <c r="K104" s="369">
        <f t="shared" si="327"/>
        <v>0.93333333333333335</v>
      </c>
      <c r="L104" s="369">
        <f t="shared" si="327"/>
        <v>0.92500000000000004</v>
      </c>
      <c r="M104" s="369">
        <f t="shared" si="327"/>
        <v>0.91666666666666663</v>
      </c>
      <c r="N104" s="369">
        <f t="shared" si="327"/>
        <v>0.90833333333333333</v>
      </c>
      <c r="O104" s="369">
        <f t="shared" si="327"/>
        <v>0.9</v>
      </c>
      <c r="P104" s="368">
        <f t="shared" si="327"/>
        <v>0.9</v>
      </c>
      <c r="Q104" s="369">
        <f t="shared" si="327"/>
        <v>0.89749999999999996</v>
      </c>
      <c r="R104" s="369">
        <f t="shared" si="327"/>
        <v>0.89500000000000002</v>
      </c>
      <c r="S104" s="369">
        <f t="shared" si="327"/>
        <v>0.89249999999999996</v>
      </c>
      <c r="T104" s="369">
        <f t="shared" si="327"/>
        <v>0.89</v>
      </c>
      <c r="U104" s="369">
        <f t="shared" si="327"/>
        <v>0.88749999999999996</v>
      </c>
      <c r="V104" s="369">
        <f t="shared" si="327"/>
        <v>0.88500000000000001</v>
      </c>
      <c r="W104" s="369">
        <f t="shared" si="327"/>
        <v>0.88249999999999995</v>
      </c>
      <c r="X104" s="369">
        <f t="shared" si="327"/>
        <v>0.88</v>
      </c>
      <c r="Y104" s="369">
        <f t="shared" si="327"/>
        <v>0.87749999999999995</v>
      </c>
      <c r="Z104" s="369">
        <f t="shared" si="327"/>
        <v>0.875</v>
      </c>
      <c r="AA104" s="369">
        <f t="shared" si="327"/>
        <v>0.87249999999999994</v>
      </c>
      <c r="AB104" s="369">
        <f t="shared" si="327"/>
        <v>0.87</v>
      </c>
      <c r="AC104" s="368">
        <f t="shared" si="327"/>
        <v>0.87</v>
      </c>
      <c r="AD104" s="369">
        <f t="shared" si="327"/>
        <v>0.86749999999999994</v>
      </c>
      <c r="AE104" s="369">
        <f t="shared" si="327"/>
        <v>0.86499999999999999</v>
      </c>
      <c r="AF104" s="369">
        <f t="shared" si="327"/>
        <v>0.86250000000000004</v>
      </c>
      <c r="AG104" s="369">
        <f t="shared" si="327"/>
        <v>0.86</v>
      </c>
      <c r="AH104" s="369">
        <f t="shared" si="327"/>
        <v>0.85749999999999993</v>
      </c>
      <c r="AI104" s="369">
        <f t="shared" ref="AI104:BN104" si="328">100%-AI103</f>
        <v>0.85499999999999998</v>
      </c>
      <c r="AJ104" s="369">
        <f t="shared" si="328"/>
        <v>0.85250000000000004</v>
      </c>
      <c r="AK104" s="369">
        <f t="shared" si="328"/>
        <v>0.85</v>
      </c>
      <c r="AL104" s="369">
        <f t="shared" si="328"/>
        <v>0.84749999999999992</v>
      </c>
      <c r="AM104" s="369">
        <f t="shared" si="328"/>
        <v>0.84499999999999997</v>
      </c>
      <c r="AN104" s="369">
        <f t="shared" si="328"/>
        <v>0.84250000000000003</v>
      </c>
      <c r="AO104" s="369">
        <f t="shared" si="328"/>
        <v>0.84</v>
      </c>
      <c r="AP104" s="368">
        <f t="shared" si="328"/>
        <v>0.84</v>
      </c>
      <c r="AQ104" s="369">
        <f t="shared" si="328"/>
        <v>0.83750000000000002</v>
      </c>
      <c r="AR104" s="369">
        <f t="shared" si="328"/>
        <v>0.83499999999999996</v>
      </c>
      <c r="AS104" s="369">
        <f t="shared" si="328"/>
        <v>0.83250000000000002</v>
      </c>
      <c r="AT104" s="369">
        <f t="shared" si="328"/>
        <v>0.83</v>
      </c>
      <c r="AU104" s="369">
        <f t="shared" si="328"/>
        <v>0.82750000000000001</v>
      </c>
      <c r="AV104" s="369">
        <f t="shared" si="328"/>
        <v>0.82499999999999996</v>
      </c>
      <c r="AW104" s="369">
        <f t="shared" si="328"/>
        <v>0.82250000000000001</v>
      </c>
      <c r="AX104" s="369">
        <f t="shared" si="328"/>
        <v>0.82</v>
      </c>
      <c r="AY104" s="369">
        <f t="shared" si="328"/>
        <v>0.8175</v>
      </c>
      <c r="AZ104" s="369">
        <f t="shared" si="328"/>
        <v>0.81499999999999995</v>
      </c>
      <c r="BA104" s="369">
        <f t="shared" si="328"/>
        <v>0.8125</v>
      </c>
      <c r="BB104" s="369">
        <f t="shared" si="328"/>
        <v>0.80999999999999994</v>
      </c>
      <c r="BC104" s="368">
        <f t="shared" si="328"/>
        <v>0.81</v>
      </c>
      <c r="BD104" s="369">
        <f t="shared" si="328"/>
        <v>0.8075</v>
      </c>
      <c r="BE104" s="369">
        <f t="shared" si="328"/>
        <v>0.80499999999999994</v>
      </c>
      <c r="BF104" s="369">
        <f t="shared" si="328"/>
        <v>0.80249999999999999</v>
      </c>
      <c r="BG104" s="369">
        <f t="shared" si="328"/>
        <v>0.8</v>
      </c>
      <c r="BH104" s="369">
        <f t="shared" si="328"/>
        <v>0.79749999999999999</v>
      </c>
      <c r="BI104" s="369">
        <f t="shared" si="328"/>
        <v>0.79499999999999993</v>
      </c>
      <c r="BJ104" s="369">
        <f t="shared" si="328"/>
        <v>0.79249999999999998</v>
      </c>
      <c r="BK104" s="369">
        <f t="shared" si="328"/>
        <v>0.79</v>
      </c>
      <c r="BL104" s="369">
        <f t="shared" si="328"/>
        <v>0.78749999999999998</v>
      </c>
      <c r="BM104" s="369">
        <f t="shared" si="328"/>
        <v>0.78499999999999992</v>
      </c>
      <c r="BN104" s="369">
        <f t="shared" si="328"/>
        <v>0.78249999999999997</v>
      </c>
      <c r="BO104" s="369">
        <f t="shared" ref="BO104:BP104" si="329">100%-BO103</f>
        <v>0.78</v>
      </c>
      <c r="BP104" s="368">
        <f t="shared" si="329"/>
        <v>0.78</v>
      </c>
      <c r="BR104" s="352"/>
      <c r="CE104" s="370" t="s">
        <v>1001</v>
      </c>
      <c r="CF104" s="285" t="s">
        <v>231</v>
      </c>
    </row>
    <row r="105" spans="1:84" s="65" customFormat="1">
      <c r="A105" s="367" t="s">
        <v>138</v>
      </c>
      <c r="B105" s="285" t="s">
        <v>231</v>
      </c>
      <c r="C105" s="369">
        <f t="shared" ref="C105:AH105" si="330">100%-C106-C107-C108</f>
        <v>0.10000000000000009</v>
      </c>
      <c r="D105" s="369">
        <f t="shared" si="330"/>
        <v>0.10000000000000009</v>
      </c>
      <c r="E105" s="369">
        <f t="shared" si="330"/>
        <v>0.10000000000000009</v>
      </c>
      <c r="F105" s="369">
        <f t="shared" si="330"/>
        <v>0.10000000000000009</v>
      </c>
      <c r="G105" s="369">
        <f t="shared" si="330"/>
        <v>0.10000000000000009</v>
      </c>
      <c r="H105" s="369">
        <f t="shared" si="330"/>
        <v>0.10000000000000009</v>
      </c>
      <c r="I105" s="369">
        <f t="shared" si="330"/>
        <v>0.10000000000000009</v>
      </c>
      <c r="J105" s="369">
        <f t="shared" si="330"/>
        <v>0.10000000000000009</v>
      </c>
      <c r="K105" s="369">
        <f t="shared" si="330"/>
        <v>0.10000000000000009</v>
      </c>
      <c r="L105" s="369">
        <f t="shared" si="330"/>
        <v>0.10000000000000009</v>
      </c>
      <c r="M105" s="369">
        <f t="shared" si="330"/>
        <v>0.10000000000000009</v>
      </c>
      <c r="N105" s="369">
        <f t="shared" si="330"/>
        <v>0.10000000000000009</v>
      </c>
      <c r="O105" s="369">
        <f t="shared" si="330"/>
        <v>0.10000000000000009</v>
      </c>
      <c r="P105" s="368">
        <f t="shared" si="330"/>
        <v>0.10000000000000009</v>
      </c>
      <c r="Q105" s="369">
        <f t="shared" si="330"/>
        <v>0.10000000000000009</v>
      </c>
      <c r="R105" s="369">
        <f t="shared" si="330"/>
        <v>0.10000000000000009</v>
      </c>
      <c r="S105" s="369">
        <f t="shared" si="330"/>
        <v>0.10000000000000009</v>
      </c>
      <c r="T105" s="369">
        <f t="shared" si="330"/>
        <v>0.10000000000000009</v>
      </c>
      <c r="U105" s="369">
        <f t="shared" si="330"/>
        <v>0.10000000000000009</v>
      </c>
      <c r="V105" s="369">
        <f t="shared" si="330"/>
        <v>0.10000000000000009</v>
      </c>
      <c r="W105" s="369">
        <f t="shared" si="330"/>
        <v>0.10000000000000009</v>
      </c>
      <c r="X105" s="369">
        <f t="shared" si="330"/>
        <v>0.10000000000000009</v>
      </c>
      <c r="Y105" s="369">
        <f t="shared" si="330"/>
        <v>0.10000000000000009</v>
      </c>
      <c r="Z105" s="369">
        <f t="shared" si="330"/>
        <v>0.10000000000000009</v>
      </c>
      <c r="AA105" s="369">
        <f t="shared" si="330"/>
        <v>0.10000000000000009</v>
      </c>
      <c r="AB105" s="369">
        <f t="shared" si="330"/>
        <v>0.10000000000000009</v>
      </c>
      <c r="AC105" s="368">
        <f t="shared" si="330"/>
        <v>0.10000000000000009</v>
      </c>
      <c r="AD105" s="369">
        <f t="shared" si="330"/>
        <v>0.10000000000000009</v>
      </c>
      <c r="AE105" s="369">
        <f t="shared" si="330"/>
        <v>0.10000000000000009</v>
      </c>
      <c r="AF105" s="369">
        <f t="shared" si="330"/>
        <v>0.10000000000000009</v>
      </c>
      <c r="AG105" s="369">
        <f t="shared" si="330"/>
        <v>0.10000000000000009</v>
      </c>
      <c r="AH105" s="369">
        <f t="shared" si="330"/>
        <v>0.10000000000000009</v>
      </c>
      <c r="AI105" s="369">
        <f t="shared" ref="AI105:BN105" si="331">100%-AI106-AI107-AI108</f>
        <v>0.10000000000000009</v>
      </c>
      <c r="AJ105" s="369">
        <f t="shared" si="331"/>
        <v>0.10000000000000009</v>
      </c>
      <c r="AK105" s="369">
        <f t="shared" si="331"/>
        <v>0.10000000000000009</v>
      </c>
      <c r="AL105" s="369">
        <f t="shared" si="331"/>
        <v>0.10000000000000009</v>
      </c>
      <c r="AM105" s="369">
        <f t="shared" si="331"/>
        <v>0.10000000000000009</v>
      </c>
      <c r="AN105" s="369">
        <f t="shared" si="331"/>
        <v>0.10000000000000009</v>
      </c>
      <c r="AO105" s="369">
        <f t="shared" si="331"/>
        <v>0.10000000000000009</v>
      </c>
      <c r="AP105" s="368">
        <f t="shared" si="331"/>
        <v>0.10000000000000009</v>
      </c>
      <c r="AQ105" s="369">
        <f t="shared" si="331"/>
        <v>0.10000000000000009</v>
      </c>
      <c r="AR105" s="369">
        <f t="shared" si="331"/>
        <v>0.10000000000000009</v>
      </c>
      <c r="AS105" s="369">
        <f t="shared" si="331"/>
        <v>0.10000000000000009</v>
      </c>
      <c r="AT105" s="369">
        <f t="shared" si="331"/>
        <v>0.10000000000000009</v>
      </c>
      <c r="AU105" s="369">
        <f t="shared" si="331"/>
        <v>0.10000000000000009</v>
      </c>
      <c r="AV105" s="369">
        <f t="shared" si="331"/>
        <v>0.10000000000000009</v>
      </c>
      <c r="AW105" s="369">
        <f t="shared" si="331"/>
        <v>0.10000000000000009</v>
      </c>
      <c r="AX105" s="369">
        <f t="shared" si="331"/>
        <v>0.10000000000000009</v>
      </c>
      <c r="AY105" s="369">
        <f t="shared" si="331"/>
        <v>0.10000000000000009</v>
      </c>
      <c r="AZ105" s="369">
        <f t="shared" si="331"/>
        <v>0.10000000000000009</v>
      </c>
      <c r="BA105" s="369">
        <f t="shared" si="331"/>
        <v>0.10000000000000009</v>
      </c>
      <c r="BB105" s="369">
        <f t="shared" si="331"/>
        <v>0.10000000000000009</v>
      </c>
      <c r="BC105" s="368">
        <f t="shared" si="331"/>
        <v>0.10000000000000009</v>
      </c>
      <c r="BD105" s="369">
        <f t="shared" si="331"/>
        <v>0.10000000000000009</v>
      </c>
      <c r="BE105" s="369">
        <f t="shared" si="331"/>
        <v>0.10000000000000009</v>
      </c>
      <c r="BF105" s="369">
        <f t="shared" si="331"/>
        <v>0.10000000000000009</v>
      </c>
      <c r="BG105" s="369">
        <f t="shared" si="331"/>
        <v>0.10000000000000009</v>
      </c>
      <c r="BH105" s="369">
        <f t="shared" si="331"/>
        <v>0.10000000000000009</v>
      </c>
      <c r="BI105" s="369">
        <f t="shared" si="331"/>
        <v>0.10000000000000009</v>
      </c>
      <c r="BJ105" s="369">
        <f t="shared" si="331"/>
        <v>0.10000000000000009</v>
      </c>
      <c r="BK105" s="369">
        <f t="shared" si="331"/>
        <v>0.10000000000000009</v>
      </c>
      <c r="BL105" s="369">
        <f t="shared" si="331"/>
        <v>0.10000000000000009</v>
      </c>
      <c r="BM105" s="369">
        <f t="shared" si="331"/>
        <v>0.10000000000000009</v>
      </c>
      <c r="BN105" s="369">
        <f t="shared" si="331"/>
        <v>0.10000000000000009</v>
      </c>
      <c r="BO105" s="369">
        <f t="shared" ref="BO105:BP105" si="332">100%-BO106-BO107-BO108</f>
        <v>0.10000000000000009</v>
      </c>
      <c r="BP105" s="368">
        <f t="shared" si="332"/>
        <v>0.10000000000000009</v>
      </c>
      <c r="CE105" s="367" t="s">
        <v>1002</v>
      </c>
      <c r="CF105" s="285" t="s">
        <v>231</v>
      </c>
    </row>
    <row r="106" spans="1:84" s="363" customFormat="1" ht="15.6">
      <c r="A106" s="367" t="s">
        <v>142</v>
      </c>
      <c r="B106" s="285" t="s">
        <v>231</v>
      </c>
      <c r="C106" s="366">
        <v>0.2</v>
      </c>
      <c r="D106" s="365">
        <f>(P106-C106)/12+C106</f>
        <v>0.2</v>
      </c>
      <c r="E106" s="365">
        <f>(P106-C106)/12+D106</f>
        <v>0.2</v>
      </c>
      <c r="F106" s="365">
        <f>(P106-C106)/12+E106</f>
        <v>0.2</v>
      </c>
      <c r="G106" s="365">
        <f>(P106-C106)/12+F106</f>
        <v>0.2</v>
      </c>
      <c r="H106" s="365">
        <f>(P106-C106)/12+G106</f>
        <v>0.2</v>
      </c>
      <c r="I106" s="365">
        <f>(P106-C106)/12+H106</f>
        <v>0.2</v>
      </c>
      <c r="J106" s="365">
        <f>(P106-C106)/12+I106</f>
        <v>0.2</v>
      </c>
      <c r="K106" s="365">
        <f>(P106-C106)/12+J106</f>
        <v>0.2</v>
      </c>
      <c r="L106" s="365">
        <f>(P106-C106)/12+K106</f>
        <v>0.2</v>
      </c>
      <c r="M106" s="365">
        <f>(P106-C106)/12+L106</f>
        <v>0.2</v>
      </c>
      <c r="N106" s="365">
        <f>(P106-C106)/12+M106</f>
        <v>0.2</v>
      </c>
      <c r="O106" s="365">
        <f>(P106-C106)/12+N106</f>
        <v>0.2</v>
      </c>
      <c r="P106" s="364">
        <f>C106</f>
        <v>0.2</v>
      </c>
      <c r="Q106" s="365">
        <f>(AC106-P106)/12+P106</f>
        <v>0.2</v>
      </c>
      <c r="R106" s="365">
        <f>(AC106-P106)/12+Q106</f>
        <v>0.2</v>
      </c>
      <c r="S106" s="365">
        <f>(AC106-P106)/12+R106</f>
        <v>0.2</v>
      </c>
      <c r="T106" s="365">
        <f>(AC106-P106)/12+S106</f>
        <v>0.2</v>
      </c>
      <c r="U106" s="365">
        <f>(AC106-P106)/12+T106</f>
        <v>0.2</v>
      </c>
      <c r="V106" s="365">
        <f>(AC106-P106)/12+U106</f>
        <v>0.2</v>
      </c>
      <c r="W106" s="365">
        <f>(AC106-P106)/12+V106</f>
        <v>0.2</v>
      </c>
      <c r="X106" s="365">
        <f>(AC106-P106)/12+W106</f>
        <v>0.2</v>
      </c>
      <c r="Y106" s="365">
        <f>(AC106-P106)/12+X106</f>
        <v>0.2</v>
      </c>
      <c r="Z106" s="365">
        <f>(AC106-P106)/12+Y106</f>
        <v>0.2</v>
      </c>
      <c r="AA106" s="365">
        <f>(AC106-P106)/12+Z106</f>
        <v>0.2</v>
      </c>
      <c r="AB106" s="365">
        <f>(AC106-P106)/12+AA106</f>
        <v>0.2</v>
      </c>
      <c r="AC106" s="364">
        <f>P106</f>
        <v>0.2</v>
      </c>
      <c r="AD106" s="365">
        <f>(AP106-AC106)/12+AC106</f>
        <v>0.2</v>
      </c>
      <c r="AE106" s="365">
        <f>(AP106-AC106)/12+AD106</f>
        <v>0.2</v>
      </c>
      <c r="AF106" s="365">
        <f>(AP106-AC106)/12+AE106</f>
        <v>0.2</v>
      </c>
      <c r="AG106" s="365">
        <f>(AP106-AC106)/12+AF106</f>
        <v>0.2</v>
      </c>
      <c r="AH106" s="365">
        <f>(AP106-AC106)/12+AG106</f>
        <v>0.2</v>
      </c>
      <c r="AI106" s="365">
        <f>(AP106-AC106)/12+AH106</f>
        <v>0.2</v>
      </c>
      <c r="AJ106" s="365">
        <f>(AP106-AC106)/12+AI106</f>
        <v>0.2</v>
      </c>
      <c r="AK106" s="365">
        <f>(AP106-AC106)/12+AJ106</f>
        <v>0.2</v>
      </c>
      <c r="AL106" s="365">
        <f>(AP106-AC106)/12+AK106</f>
        <v>0.2</v>
      </c>
      <c r="AM106" s="365">
        <f>(AP106-AC106)/12+AL106</f>
        <v>0.2</v>
      </c>
      <c r="AN106" s="365">
        <f>(AP106-AC106)/12+AM106</f>
        <v>0.2</v>
      </c>
      <c r="AO106" s="365">
        <f>(AP106-AC106)/12+AN106</f>
        <v>0.2</v>
      </c>
      <c r="AP106" s="364">
        <f>AC106</f>
        <v>0.2</v>
      </c>
      <c r="AQ106" s="365">
        <f>(BC106-AP106)/12+AP106</f>
        <v>0.2</v>
      </c>
      <c r="AR106" s="365">
        <f>(BC106-AP106)/12+AQ106</f>
        <v>0.2</v>
      </c>
      <c r="AS106" s="365">
        <f>(BC106-AP106)/12+AR106</f>
        <v>0.2</v>
      </c>
      <c r="AT106" s="365">
        <f>(BC106-AP106)/12+AS106</f>
        <v>0.2</v>
      </c>
      <c r="AU106" s="365">
        <f>(BC106-AP106)/12+AT106</f>
        <v>0.2</v>
      </c>
      <c r="AV106" s="365">
        <f>(BC106-AP106)/12+AU106</f>
        <v>0.2</v>
      </c>
      <c r="AW106" s="365">
        <f>(BC106-AP106)/12+AV106</f>
        <v>0.2</v>
      </c>
      <c r="AX106" s="365">
        <f>(BC106-AP106)/12+AW106</f>
        <v>0.2</v>
      </c>
      <c r="AY106" s="365">
        <f>(BC106-AP106)/12+AX106</f>
        <v>0.2</v>
      </c>
      <c r="AZ106" s="365">
        <f>(BC106-AP106)/12+AY106</f>
        <v>0.2</v>
      </c>
      <c r="BA106" s="365">
        <f>(BC106-AP106)/12+AZ106</f>
        <v>0.2</v>
      </c>
      <c r="BB106" s="365">
        <f>(BC106-AP106)/12+BA106</f>
        <v>0.2</v>
      </c>
      <c r="BC106" s="364">
        <f>AP106</f>
        <v>0.2</v>
      </c>
      <c r="BD106" s="365">
        <f>(BP106-BC106)/12+BC106</f>
        <v>0.2</v>
      </c>
      <c r="BE106" s="365">
        <f>(BP106-BC106)/12+BD106</f>
        <v>0.2</v>
      </c>
      <c r="BF106" s="365">
        <f>(BP106-BC106)/12+BE106</f>
        <v>0.2</v>
      </c>
      <c r="BG106" s="365">
        <f>(BP106-BC106)/12+BF106</f>
        <v>0.2</v>
      </c>
      <c r="BH106" s="365">
        <f>(BP106-BC106)/12+BG106</f>
        <v>0.2</v>
      </c>
      <c r="BI106" s="365">
        <f>(BP106-BC106)/12+BH106</f>
        <v>0.2</v>
      </c>
      <c r="BJ106" s="365">
        <f>(BP106-BC106)/12+BI106</f>
        <v>0.2</v>
      </c>
      <c r="BK106" s="365">
        <f>(BP106-BC106)/12+BJ106</f>
        <v>0.2</v>
      </c>
      <c r="BL106" s="365">
        <f>(BP106-BC106)/12+BK106</f>
        <v>0.2</v>
      </c>
      <c r="BM106" s="365">
        <f>(BP106-BC106)/12+BL106</f>
        <v>0.2</v>
      </c>
      <c r="BN106" s="365">
        <f>(BP106-BC106)/12+BM106</f>
        <v>0.2</v>
      </c>
      <c r="BO106" s="365">
        <f>(BP106-BC106)/12+BN106</f>
        <v>0.2</v>
      </c>
      <c r="BP106" s="364">
        <f>BC106</f>
        <v>0.2</v>
      </c>
      <c r="CE106" s="367" t="s">
        <v>1003</v>
      </c>
      <c r="CF106" s="285" t="s">
        <v>231</v>
      </c>
    </row>
    <row r="107" spans="1:84" s="363" customFormat="1" ht="15.6">
      <c r="A107" s="367" t="s">
        <v>145</v>
      </c>
      <c r="B107" s="285" t="s">
        <v>231</v>
      </c>
      <c r="C107" s="366">
        <v>0.2</v>
      </c>
      <c r="D107" s="365">
        <f>(P107-C107)/12+C107</f>
        <v>0.2</v>
      </c>
      <c r="E107" s="365">
        <f>(P107-C107)/12+D107</f>
        <v>0.2</v>
      </c>
      <c r="F107" s="365">
        <f>(P107-C107)/12+E107</f>
        <v>0.2</v>
      </c>
      <c r="G107" s="365">
        <f>(P107-C107)/12+F107</f>
        <v>0.2</v>
      </c>
      <c r="H107" s="365">
        <f>(P107-C107)/12+G107</f>
        <v>0.2</v>
      </c>
      <c r="I107" s="365">
        <f>(P107-C107)/12+H107</f>
        <v>0.2</v>
      </c>
      <c r="J107" s="365">
        <f>(P107-C107)/12+I107</f>
        <v>0.2</v>
      </c>
      <c r="K107" s="365">
        <f>(P107-C107)/12+J107</f>
        <v>0.2</v>
      </c>
      <c r="L107" s="365">
        <f>(P107-C107)/12+K107</f>
        <v>0.2</v>
      </c>
      <c r="M107" s="365">
        <f>(P107-C107)/12+L107</f>
        <v>0.2</v>
      </c>
      <c r="N107" s="365">
        <f>(P107-C107)/12+M107</f>
        <v>0.2</v>
      </c>
      <c r="O107" s="365">
        <f>(P107-C107)/12+N107</f>
        <v>0.2</v>
      </c>
      <c r="P107" s="364">
        <f>C107</f>
        <v>0.2</v>
      </c>
      <c r="Q107" s="365">
        <f>(AC107-P107)/12+P107</f>
        <v>0.2</v>
      </c>
      <c r="R107" s="365">
        <f>(AC107-P107)/12+Q107</f>
        <v>0.2</v>
      </c>
      <c r="S107" s="365">
        <f>(AC107-P107)/12+R107</f>
        <v>0.2</v>
      </c>
      <c r="T107" s="365">
        <f>(AC107-P107)/12+S107</f>
        <v>0.2</v>
      </c>
      <c r="U107" s="365">
        <f>(AC107-P107)/12+T107</f>
        <v>0.2</v>
      </c>
      <c r="V107" s="365">
        <f>(AC107-P107)/12+U107</f>
        <v>0.2</v>
      </c>
      <c r="W107" s="365">
        <f>(AC107-P107)/12+V107</f>
        <v>0.2</v>
      </c>
      <c r="X107" s="365">
        <f>(AC107-P107)/12+W107</f>
        <v>0.2</v>
      </c>
      <c r="Y107" s="365">
        <f>(AC107-P107)/12+X107</f>
        <v>0.2</v>
      </c>
      <c r="Z107" s="365">
        <f>(AC107-P107)/12+Y107</f>
        <v>0.2</v>
      </c>
      <c r="AA107" s="365">
        <f>(AC107-P107)/12+Z107</f>
        <v>0.2</v>
      </c>
      <c r="AB107" s="365">
        <f>(AC107-P107)/12+AA107</f>
        <v>0.2</v>
      </c>
      <c r="AC107" s="364">
        <f>P107</f>
        <v>0.2</v>
      </c>
      <c r="AD107" s="365">
        <f>(AP107-AC107)/12+AC107</f>
        <v>0.2</v>
      </c>
      <c r="AE107" s="365">
        <f>(AP107-AC107)/12+AD107</f>
        <v>0.2</v>
      </c>
      <c r="AF107" s="365">
        <f>(AP107-AC107)/12+AE107</f>
        <v>0.2</v>
      </c>
      <c r="AG107" s="365">
        <f>(AP107-AC107)/12+AF107</f>
        <v>0.2</v>
      </c>
      <c r="AH107" s="365">
        <f>(AP107-AC107)/12+AG107</f>
        <v>0.2</v>
      </c>
      <c r="AI107" s="365">
        <f>(AP107-AC107)/12+AH107</f>
        <v>0.2</v>
      </c>
      <c r="AJ107" s="365">
        <f>(AP107-AC107)/12+AI107</f>
        <v>0.2</v>
      </c>
      <c r="AK107" s="365">
        <f>(AP107-AC107)/12+AJ107</f>
        <v>0.2</v>
      </c>
      <c r="AL107" s="365">
        <f>(AP107-AC107)/12+AK107</f>
        <v>0.2</v>
      </c>
      <c r="AM107" s="365">
        <f>(AP107-AC107)/12+AL107</f>
        <v>0.2</v>
      </c>
      <c r="AN107" s="365">
        <f>(AP107-AC107)/12+AM107</f>
        <v>0.2</v>
      </c>
      <c r="AO107" s="365">
        <f>(AP107-AC107)/12+AN107</f>
        <v>0.2</v>
      </c>
      <c r="AP107" s="364">
        <f>AC107</f>
        <v>0.2</v>
      </c>
      <c r="AQ107" s="365">
        <f>(BC107-AP107)/12+AP107</f>
        <v>0.2</v>
      </c>
      <c r="AR107" s="365">
        <f>(BC107-AP107)/12+AQ107</f>
        <v>0.2</v>
      </c>
      <c r="AS107" s="365">
        <f>(BC107-AP107)/12+AR107</f>
        <v>0.2</v>
      </c>
      <c r="AT107" s="365">
        <f>(BC107-AP107)/12+AS107</f>
        <v>0.2</v>
      </c>
      <c r="AU107" s="365">
        <f>(BC107-AP107)/12+AT107</f>
        <v>0.2</v>
      </c>
      <c r="AV107" s="365">
        <f>(BC107-AP107)/12+AU107</f>
        <v>0.2</v>
      </c>
      <c r="AW107" s="365">
        <f>(BC107-AP107)/12+AV107</f>
        <v>0.2</v>
      </c>
      <c r="AX107" s="365">
        <f>(BC107-AP107)/12+AW107</f>
        <v>0.2</v>
      </c>
      <c r="AY107" s="365">
        <f>(BC107-AP107)/12+AX107</f>
        <v>0.2</v>
      </c>
      <c r="AZ107" s="365">
        <f>(BC107-AP107)/12+AY107</f>
        <v>0.2</v>
      </c>
      <c r="BA107" s="365">
        <f>(BC107-AP107)/12+AZ107</f>
        <v>0.2</v>
      </c>
      <c r="BB107" s="365">
        <f>(BC107-AP107)/12+BA107</f>
        <v>0.2</v>
      </c>
      <c r="BC107" s="364">
        <f>AP107</f>
        <v>0.2</v>
      </c>
      <c r="BD107" s="365">
        <f>(BP107-BC107)/12+BC107</f>
        <v>0.2</v>
      </c>
      <c r="BE107" s="365">
        <f>(BP107-BC107)/12+BD107</f>
        <v>0.2</v>
      </c>
      <c r="BF107" s="365">
        <f>(BP107-BC107)/12+BE107</f>
        <v>0.2</v>
      </c>
      <c r="BG107" s="365">
        <f>(BP107-BC107)/12+BF107</f>
        <v>0.2</v>
      </c>
      <c r="BH107" s="365">
        <f>(BP107-BC107)/12+BG107</f>
        <v>0.2</v>
      </c>
      <c r="BI107" s="365">
        <f>(BP107-BC107)/12+BH107</f>
        <v>0.2</v>
      </c>
      <c r="BJ107" s="365">
        <f>(BP107-BC107)/12+BI107</f>
        <v>0.2</v>
      </c>
      <c r="BK107" s="365">
        <f>(BP107-BC107)/12+BJ107</f>
        <v>0.2</v>
      </c>
      <c r="BL107" s="365">
        <f>(BP107-BC107)/12+BK107</f>
        <v>0.2</v>
      </c>
      <c r="BM107" s="365">
        <f>(BP107-BC107)/12+BL107</f>
        <v>0.2</v>
      </c>
      <c r="BN107" s="365">
        <f>(BP107-BC107)/12+BM107</f>
        <v>0.2</v>
      </c>
      <c r="BO107" s="365">
        <f>(BP107-BC107)/12+BN107</f>
        <v>0.2</v>
      </c>
      <c r="BP107" s="364">
        <f>BC107</f>
        <v>0.2</v>
      </c>
      <c r="CE107" s="367" t="s">
        <v>1004</v>
      </c>
      <c r="CF107" s="285" t="s">
        <v>231</v>
      </c>
    </row>
    <row r="108" spans="1:84" s="363" customFormat="1" ht="15.6">
      <c r="A108" s="367" t="s">
        <v>620</v>
      </c>
      <c r="B108" s="285" t="s">
        <v>231</v>
      </c>
      <c r="C108" s="366">
        <v>0.5</v>
      </c>
      <c r="D108" s="365">
        <f>(P108-C108)/12+C108</f>
        <v>0.5</v>
      </c>
      <c r="E108" s="365">
        <f>(P108-C108)/12+D108</f>
        <v>0.5</v>
      </c>
      <c r="F108" s="365">
        <f>(P108-C108)/12+E108</f>
        <v>0.5</v>
      </c>
      <c r="G108" s="365">
        <f>(P108-C108)/12+F108</f>
        <v>0.5</v>
      </c>
      <c r="H108" s="365">
        <f>(P108-C108)/12+G108</f>
        <v>0.5</v>
      </c>
      <c r="I108" s="365">
        <f>(P108-C108)/12+H108</f>
        <v>0.5</v>
      </c>
      <c r="J108" s="365">
        <f>(P108-C108)/12+I108</f>
        <v>0.5</v>
      </c>
      <c r="K108" s="365">
        <f>(P108-C108)/12+J108</f>
        <v>0.5</v>
      </c>
      <c r="L108" s="365">
        <f>(P108-C108)/12+K108</f>
        <v>0.5</v>
      </c>
      <c r="M108" s="365">
        <f>(P108-C108)/12+L108</f>
        <v>0.5</v>
      </c>
      <c r="N108" s="365">
        <f>(P108-C108)/12+M108</f>
        <v>0.5</v>
      </c>
      <c r="O108" s="365">
        <f>(P108-C108)/12+N108</f>
        <v>0.5</v>
      </c>
      <c r="P108" s="364">
        <f>C108</f>
        <v>0.5</v>
      </c>
      <c r="Q108" s="365">
        <f>(AC108-P108)/12+P108</f>
        <v>0.5</v>
      </c>
      <c r="R108" s="365">
        <f>(AC108-P108)/12+Q108</f>
        <v>0.5</v>
      </c>
      <c r="S108" s="365">
        <f>(AC108-P108)/12+R108</f>
        <v>0.5</v>
      </c>
      <c r="T108" s="365">
        <f>(AC108-P108)/12+S108</f>
        <v>0.5</v>
      </c>
      <c r="U108" s="365">
        <f>(AC108-P108)/12+T108</f>
        <v>0.5</v>
      </c>
      <c r="V108" s="365">
        <f>(AC108-P108)/12+U108</f>
        <v>0.5</v>
      </c>
      <c r="W108" s="365">
        <f>(AC108-P108)/12+V108</f>
        <v>0.5</v>
      </c>
      <c r="X108" s="365">
        <f>(AC108-P108)/12+W108</f>
        <v>0.5</v>
      </c>
      <c r="Y108" s="365">
        <f>(AC108-P108)/12+X108</f>
        <v>0.5</v>
      </c>
      <c r="Z108" s="365">
        <f>(AC108-P108)/12+Y108</f>
        <v>0.5</v>
      </c>
      <c r="AA108" s="365">
        <f>(AC108-P108)/12+Z108</f>
        <v>0.5</v>
      </c>
      <c r="AB108" s="365">
        <f>(AC108-P108)/12+AA108</f>
        <v>0.5</v>
      </c>
      <c r="AC108" s="364">
        <f>P108</f>
        <v>0.5</v>
      </c>
      <c r="AD108" s="365">
        <f>(AP108-AC108)/12+AC108</f>
        <v>0.5</v>
      </c>
      <c r="AE108" s="365">
        <f>(AP108-AC108)/12+AD108</f>
        <v>0.5</v>
      </c>
      <c r="AF108" s="365">
        <f>(AP108-AC108)/12+AE108</f>
        <v>0.5</v>
      </c>
      <c r="AG108" s="365">
        <f>(AP108-AC108)/12+AF108</f>
        <v>0.5</v>
      </c>
      <c r="AH108" s="365">
        <f>(AP108-AC108)/12+AG108</f>
        <v>0.5</v>
      </c>
      <c r="AI108" s="365">
        <f>(AP108-AC108)/12+AH108</f>
        <v>0.5</v>
      </c>
      <c r="AJ108" s="365">
        <f>(AP108-AC108)/12+AI108</f>
        <v>0.5</v>
      </c>
      <c r="AK108" s="365">
        <f>(AP108-AC108)/12+AJ108</f>
        <v>0.5</v>
      </c>
      <c r="AL108" s="365">
        <f>(AP108-AC108)/12+AK108</f>
        <v>0.5</v>
      </c>
      <c r="AM108" s="365">
        <f>(AP108-AC108)/12+AL108</f>
        <v>0.5</v>
      </c>
      <c r="AN108" s="365">
        <f>(AP108-AC108)/12+AM108</f>
        <v>0.5</v>
      </c>
      <c r="AO108" s="365">
        <f>(AP108-AC108)/12+AN108</f>
        <v>0.5</v>
      </c>
      <c r="AP108" s="364">
        <f>AC108</f>
        <v>0.5</v>
      </c>
      <c r="AQ108" s="365">
        <f>(BC108-AP108)/12+AP108</f>
        <v>0.5</v>
      </c>
      <c r="AR108" s="365">
        <f>(BC108-AP108)/12+AQ108</f>
        <v>0.5</v>
      </c>
      <c r="AS108" s="365">
        <f>(BC108-AP108)/12+AR108</f>
        <v>0.5</v>
      </c>
      <c r="AT108" s="365">
        <f>(BC108-AP108)/12+AS108</f>
        <v>0.5</v>
      </c>
      <c r="AU108" s="365">
        <f>(BC108-AP108)/12+AT108</f>
        <v>0.5</v>
      </c>
      <c r="AV108" s="365">
        <f>(BC108-AP108)/12+AU108</f>
        <v>0.5</v>
      </c>
      <c r="AW108" s="365">
        <f>(BC108-AP108)/12+AV108</f>
        <v>0.5</v>
      </c>
      <c r="AX108" s="365">
        <f>(BC108-AP108)/12+AW108</f>
        <v>0.5</v>
      </c>
      <c r="AY108" s="365">
        <f>(BC108-AP108)/12+AX108</f>
        <v>0.5</v>
      </c>
      <c r="AZ108" s="365">
        <f>(BC108-AP108)/12+AY108</f>
        <v>0.5</v>
      </c>
      <c r="BA108" s="365">
        <f>(BC108-AP108)/12+AZ108</f>
        <v>0.5</v>
      </c>
      <c r="BB108" s="365">
        <f>(BC108-AP108)/12+BA108</f>
        <v>0.5</v>
      </c>
      <c r="BC108" s="364">
        <f>AP108</f>
        <v>0.5</v>
      </c>
      <c r="BD108" s="365">
        <f>(BP108-BC108)/12+BC108</f>
        <v>0.5</v>
      </c>
      <c r="BE108" s="365">
        <f>(BP108-BC108)/12+BD108</f>
        <v>0.5</v>
      </c>
      <c r="BF108" s="365">
        <f>(BP108-BC108)/12+BE108</f>
        <v>0.5</v>
      </c>
      <c r="BG108" s="365">
        <f>(BP108-BC108)/12+BF108</f>
        <v>0.5</v>
      </c>
      <c r="BH108" s="365">
        <f>(BP108-BC108)/12+BG108</f>
        <v>0.5</v>
      </c>
      <c r="BI108" s="365">
        <f>(BP108-BC108)/12+BH108</f>
        <v>0.5</v>
      </c>
      <c r="BJ108" s="365">
        <f>(BP108-BC108)/12+BI108</f>
        <v>0.5</v>
      </c>
      <c r="BK108" s="365">
        <f>(BP108-BC108)/12+BJ108</f>
        <v>0.5</v>
      </c>
      <c r="BL108" s="365">
        <f>(BP108-BC108)/12+BK108</f>
        <v>0.5</v>
      </c>
      <c r="BM108" s="365">
        <f>(BP108-BC108)/12+BL108</f>
        <v>0.5</v>
      </c>
      <c r="BN108" s="365">
        <f>(BP108-BC108)/12+BM108</f>
        <v>0.5</v>
      </c>
      <c r="BO108" s="365">
        <f>(BP108-BC108)/12+BN108</f>
        <v>0.5</v>
      </c>
      <c r="BP108" s="364">
        <f>BC108</f>
        <v>0.5</v>
      </c>
      <c r="CE108" s="367" t="s">
        <v>1005</v>
      </c>
      <c r="CF108" s="285" t="s">
        <v>231</v>
      </c>
    </row>
    <row r="109" spans="1:84" s="357" customFormat="1" ht="5.0999999999999996" customHeight="1">
      <c r="A109" s="360"/>
      <c r="B109" s="359"/>
      <c r="C109" s="359"/>
      <c r="P109" s="358"/>
      <c r="AC109" s="358"/>
      <c r="AP109" s="358"/>
      <c r="BC109" s="358"/>
      <c r="BP109" s="358"/>
      <c r="CE109" s="360"/>
      <c r="CF109" s="359"/>
    </row>
    <row r="110" spans="1:84" s="352" customFormat="1">
      <c r="A110" s="303" t="s">
        <v>619</v>
      </c>
      <c r="B110" s="362" t="s">
        <v>231</v>
      </c>
      <c r="C110" s="362"/>
      <c r="D110" s="361">
        <f>P110</f>
        <v>-2.5000000000000001E-2</v>
      </c>
      <c r="E110" s="361">
        <f t="shared" ref="E110:O110" si="333">D110</f>
        <v>-2.5000000000000001E-2</v>
      </c>
      <c r="F110" s="361">
        <f t="shared" si="333"/>
        <v>-2.5000000000000001E-2</v>
      </c>
      <c r="G110" s="361">
        <f t="shared" si="333"/>
        <v>-2.5000000000000001E-2</v>
      </c>
      <c r="H110" s="361">
        <f t="shared" si="333"/>
        <v>-2.5000000000000001E-2</v>
      </c>
      <c r="I110" s="361">
        <f t="shared" si="333"/>
        <v>-2.5000000000000001E-2</v>
      </c>
      <c r="J110" s="361">
        <f t="shared" si="333"/>
        <v>-2.5000000000000001E-2</v>
      </c>
      <c r="K110" s="361">
        <f t="shared" si="333"/>
        <v>-2.5000000000000001E-2</v>
      </c>
      <c r="L110" s="361">
        <f t="shared" si="333"/>
        <v>-2.5000000000000001E-2</v>
      </c>
      <c r="M110" s="361">
        <f t="shared" si="333"/>
        <v>-2.5000000000000001E-2</v>
      </c>
      <c r="N110" s="361">
        <f t="shared" si="333"/>
        <v>-2.5000000000000001E-2</v>
      </c>
      <c r="O110" s="361">
        <f t="shared" si="333"/>
        <v>-2.5000000000000001E-2</v>
      </c>
      <c r="P110" s="351">
        <v>-2.5000000000000001E-2</v>
      </c>
      <c r="Q110" s="361">
        <f>AC110</f>
        <v>-1.7499999999999998E-2</v>
      </c>
      <c r="R110" s="361">
        <f t="shared" ref="R110:AB110" si="334">Q110</f>
        <v>-1.7499999999999998E-2</v>
      </c>
      <c r="S110" s="361">
        <f t="shared" si="334"/>
        <v>-1.7499999999999998E-2</v>
      </c>
      <c r="T110" s="361">
        <f t="shared" si="334"/>
        <v>-1.7499999999999998E-2</v>
      </c>
      <c r="U110" s="361">
        <f t="shared" si="334"/>
        <v>-1.7499999999999998E-2</v>
      </c>
      <c r="V110" s="361">
        <f t="shared" si="334"/>
        <v>-1.7499999999999998E-2</v>
      </c>
      <c r="W110" s="361">
        <f t="shared" si="334"/>
        <v>-1.7499999999999998E-2</v>
      </c>
      <c r="X110" s="361">
        <f t="shared" si="334"/>
        <v>-1.7499999999999998E-2</v>
      </c>
      <c r="Y110" s="361">
        <f t="shared" si="334"/>
        <v>-1.7499999999999998E-2</v>
      </c>
      <c r="Z110" s="361">
        <f t="shared" si="334"/>
        <v>-1.7499999999999998E-2</v>
      </c>
      <c r="AA110" s="361">
        <f t="shared" si="334"/>
        <v>-1.7499999999999998E-2</v>
      </c>
      <c r="AB110" s="361">
        <f t="shared" si="334"/>
        <v>-1.7499999999999998E-2</v>
      </c>
      <c r="AC110" s="351">
        <f>P110*70%</f>
        <v>-1.7499999999999998E-2</v>
      </c>
      <c r="AD110" s="361">
        <f>AP110</f>
        <v>-1.2249999999999999E-2</v>
      </c>
      <c r="AE110" s="361">
        <f t="shared" ref="AE110:AO110" si="335">AD110</f>
        <v>-1.2249999999999999E-2</v>
      </c>
      <c r="AF110" s="361">
        <f t="shared" si="335"/>
        <v>-1.2249999999999999E-2</v>
      </c>
      <c r="AG110" s="361">
        <f t="shared" si="335"/>
        <v>-1.2249999999999999E-2</v>
      </c>
      <c r="AH110" s="361">
        <f t="shared" si="335"/>
        <v>-1.2249999999999999E-2</v>
      </c>
      <c r="AI110" s="361">
        <f t="shared" si="335"/>
        <v>-1.2249999999999999E-2</v>
      </c>
      <c r="AJ110" s="361">
        <f t="shared" si="335"/>
        <v>-1.2249999999999999E-2</v>
      </c>
      <c r="AK110" s="361">
        <f t="shared" si="335"/>
        <v>-1.2249999999999999E-2</v>
      </c>
      <c r="AL110" s="361">
        <f t="shared" si="335"/>
        <v>-1.2249999999999999E-2</v>
      </c>
      <c r="AM110" s="361">
        <f t="shared" si="335"/>
        <v>-1.2249999999999999E-2</v>
      </c>
      <c r="AN110" s="361">
        <f t="shared" si="335"/>
        <v>-1.2249999999999999E-2</v>
      </c>
      <c r="AO110" s="361">
        <f t="shared" si="335"/>
        <v>-1.2249999999999999E-2</v>
      </c>
      <c r="AP110" s="351">
        <f>AC110*70%</f>
        <v>-1.2249999999999999E-2</v>
      </c>
      <c r="AQ110" s="361">
        <f>BC110</f>
        <v>-8.5749999999999993E-3</v>
      </c>
      <c r="AR110" s="361">
        <f t="shared" ref="AR110:BB110" si="336">AQ110</f>
        <v>-8.5749999999999993E-3</v>
      </c>
      <c r="AS110" s="361">
        <f t="shared" si="336"/>
        <v>-8.5749999999999993E-3</v>
      </c>
      <c r="AT110" s="361">
        <f t="shared" si="336"/>
        <v>-8.5749999999999993E-3</v>
      </c>
      <c r="AU110" s="361">
        <f t="shared" si="336"/>
        <v>-8.5749999999999993E-3</v>
      </c>
      <c r="AV110" s="361">
        <f t="shared" si="336"/>
        <v>-8.5749999999999993E-3</v>
      </c>
      <c r="AW110" s="361">
        <f t="shared" si="336"/>
        <v>-8.5749999999999993E-3</v>
      </c>
      <c r="AX110" s="361">
        <f t="shared" si="336"/>
        <v>-8.5749999999999993E-3</v>
      </c>
      <c r="AY110" s="361">
        <f t="shared" si="336"/>
        <v>-8.5749999999999993E-3</v>
      </c>
      <c r="AZ110" s="361">
        <f t="shared" si="336"/>
        <v>-8.5749999999999993E-3</v>
      </c>
      <c r="BA110" s="361">
        <f t="shared" si="336"/>
        <v>-8.5749999999999993E-3</v>
      </c>
      <c r="BB110" s="361">
        <f t="shared" si="336"/>
        <v>-8.5749999999999993E-3</v>
      </c>
      <c r="BC110" s="351">
        <f>AP110*70%</f>
        <v>-8.5749999999999993E-3</v>
      </c>
      <c r="BD110" s="361">
        <f>BP110</f>
        <v>-6.0024999999999992E-3</v>
      </c>
      <c r="BE110" s="361">
        <f t="shared" ref="BE110:BO110" si="337">BD110</f>
        <v>-6.0024999999999992E-3</v>
      </c>
      <c r="BF110" s="361">
        <f t="shared" si="337"/>
        <v>-6.0024999999999992E-3</v>
      </c>
      <c r="BG110" s="361">
        <f t="shared" si="337"/>
        <v>-6.0024999999999992E-3</v>
      </c>
      <c r="BH110" s="361">
        <f t="shared" si="337"/>
        <v>-6.0024999999999992E-3</v>
      </c>
      <c r="BI110" s="361">
        <f t="shared" si="337"/>
        <v>-6.0024999999999992E-3</v>
      </c>
      <c r="BJ110" s="361">
        <f t="shared" si="337"/>
        <v>-6.0024999999999992E-3</v>
      </c>
      <c r="BK110" s="361">
        <f t="shared" si="337"/>
        <v>-6.0024999999999992E-3</v>
      </c>
      <c r="BL110" s="361">
        <f t="shared" si="337"/>
        <v>-6.0024999999999992E-3</v>
      </c>
      <c r="BM110" s="361">
        <f t="shared" si="337"/>
        <v>-6.0024999999999992E-3</v>
      </c>
      <c r="BN110" s="361">
        <f t="shared" si="337"/>
        <v>-6.0024999999999992E-3</v>
      </c>
      <c r="BO110" s="361">
        <f t="shared" si="337"/>
        <v>-6.0024999999999992E-3</v>
      </c>
      <c r="BP110" s="351">
        <f>BC110*70%</f>
        <v>-6.0024999999999992E-3</v>
      </c>
      <c r="BQ110" s="352" t="s">
        <v>618</v>
      </c>
      <c r="CE110" s="303" t="s">
        <v>1006</v>
      </c>
      <c r="CF110" s="362" t="s">
        <v>231</v>
      </c>
    </row>
    <row r="111" spans="1:84" s="357" customFormat="1" ht="5.0999999999999996" customHeight="1">
      <c r="A111" s="360"/>
      <c r="B111" s="359"/>
      <c r="C111" s="359"/>
      <c r="P111" s="358"/>
      <c r="AC111" s="358"/>
      <c r="AP111" s="358"/>
      <c r="BC111" s="358"/>
      <c r="BP111" s="358"/>
      <c r="CE111" s="360"/>
      <c r="CF111" s="359"/>
    </row>
    <row r="112" spans="1:84">
      <c r="A112" s="356" t="s">
        <v>617</v>
      </c>
      <c r="B112" s="354" t="s">
        <v>231</v>
      </c>
      <c r="C112" s="353">
        <v>-4.4999999999999998E-2</v>
      </c>
      <c r="D112" s="352">
        <f>(P112-C112)/12+C112</f>
        <v>-4.4999999999999998E-2</v>
      </c>
      <c r="E112" s="352">
        <f>(P112-C112)/12+D112</f>
        <v>-4.4999999999999998E-2</v>
      </c>
      <c r="F112" s="352">
        <f>(P112-C112)/12+E112</f>
        <v>-4.4999999999999998E-2</v>
      </c>
      <c r="G112" s="352">
        <f>(P112-C112)/12+F112</f>
        <v>-4.4999999999999998E-2</v>
      </c>
      <c r="H112" s="352">
        <f>(P112-C112)/12+G112</f>
        <v>-4.4999999999999998E-2</v>
      </c>
      <c r="I112" s="352">
        <f>(P112-C112)/12+H112</f>
        <v>-4.4999999999999998E-2</v>
      </c>
      <c r="J112" s="352">
        <f>(P112-C112)/12+I112</f>
        <v>-4.4999999999999998E-2</v>
      </c>
      <c r="K112" s="352">
        <f>(P112-C112)/12+J112</f>
        <v>-4.4999999999999998E-2</v>
      </c>
      <c r="L112" s="352">
        <f>(P112-C112)/12+K112</f>
        <v>-4.4999999999999998E-2</v>
      </c>
      <c r="M112" s="352">
        <f>(P112-C112)/12+L112</f>
        <v>-4.4999999999999998E-2</v>
      </c>
      <c r="N112" s="352">
        <f>(P112-C112)/12+M112</f>
        <v>-4.4999999999999998E-2</v>
      </c>
      <c r="O112" s="352">
        <f>(P112-C112)/12+N112</f>
        <v>-4.4999999999999998E-2</v>
      </c>
      <c r="P112" s="351">
        <f>C112</f>
        <v>-4.4999999999999998E-2</v>
      </c>
      <c r="Q112" s="352">
        <f>(AC112-P112)/12+P112</f>
        <v>-4.4999999999999998E-2</v>
      </c>
      <c r="R112" s="352">
        <f>(AC112-P112)/12+Q112</f>
        <v>-4.4999999999999998E-2</v>
      </c>
      <c r="S112" s="352">
        <f>(AC112-P112)/12+R112</f>
        <v>-4.4999999999999998E-2</v>
      </c>
      <c r="T112" s="352">
        <f>(AC112-P112)/12+S112</f>
        <v>-4.4999999999999998E-2</v>
      </c>
      <c r="U112" s="352">
        <f>(AC112-P112)/12+T112</f>
        <v>-4.4999999999999998E-2</v>
      </c>
      <c r="V112" s="352">
        <f>(AC112-P112)/12+U112</f>
        <v>-4.4999999999999998E-2</v>
      </c>
      <c r="W112" s="352">
        <f>(AC112-P112)/12+V112</f>
        <v>-4.4999999999999998E-2</v>
      </c>
      <c r="X112" s="352">
        <f>(AC112-P112)/12+W112</f>
        <v>-4.4999999999999998E-2</v>
      </c>
      <c r="Y112" s="352">
        <f>(AC112-P112)/12+X112</f>
        <v>-4.4999999999999998E-2</v>
      </c>
      <c r="Z112" s="352">
        <f>(AC112-P112)/12+Y112</f>
        <v>-4.4999999999999998E-2</v>
      </c>
      <c r="AA112" s="352">
        <f>(AC112-P112)/12+Z112</f>
        <v>-4.4999999999999998E-2</v>
      </c>
      <c r="AB112" s="352">
        <f>(AC112-P112)/12+AA112</f>
        <v>-4.4999999999999998E-2</v>
      </c>
      <c r="AC112" s="351">
        <f>P112</f>
        <v>-4.4999999999999998E-2</v>
      </c>
      <c r="AD112" s="352">
        <f>(AP112-AC112)/12+AC112</f>
        <v>-4.4791666666666667E-2</v>
      </c>
      <c r="AE112" s="352">
        <f>(AP112-AC112)/12+AD112</f>
        <v>-4.4583333333333336E-2</v>
      </c>
      <c r="AF112" s="352">
        <f>(AP112-AC112)/12+AE112</f>
        <v>-4.4375000000000005E-2</v>
      </c>
      <c r="AG112" s="352">
        <f>(AP112-AC112)/12+AF112</f>
        <v>-4.4166666666666674E-2</v>
      </c>
      <c r="AH112" s="352">
        <f>(AP112-AC112)/12+AG112</f>
        <v>-4.3958333333333342E-2</v>
      </c>
      <c r="AI112" s="352">
        <f>(AP112-AC112)/12+AH112</f>
        <v>-4.3750000000000011E-2</v>
      </c>
      <c r="AJ112" s="352">
        <f>(AP112-AC112)/12+AI112</f>
        <v>-4.354166666666668E-2</v>
      </c>
      <c r="AK112" s="352">
        <f>(AP112-AC112)/12+AJ112</f>
        <v>-4.3333333333333349E-2</v>
      </c>
      <c r="AL112" s="352">
        <f>(AP112-AC112)/12+AK112</f>
        <v>-4.3125000000000017E-2</v>
      </c>
      <c r="AM112" s="352">
        <f>(AP112-AC112)/12+AL112</f>
        <v>-4.2916666666666686E-2</v>
      </c>
      <c r="AN112" s="352">
        <f>(AP112-AC112)/12+AM112</f>
        <v>-4.2708333333333355E-2</v>
      </c>
      <c r="AO112" s="352">
        <f>(AP112-AC112)/12+AN112</f>
        <v>-4.2500000000000024E-2</v>
      </c>
      <c r="AP112" s="351">
        <f>AC112+0.25%</f>
        <v>-4.2499999999999996E-2</v>
      </c>
      <c r="AQ112" s="352">
        <f>(BC112-AP112)/12+AP112</f>
        <v>-4.2291666666666665E-2</v>
      </c>
      <c r="AR112" s="352">
        <f>(BC112-AP112)/12+AQ112</f>
        <v>-4.2083333333333334E-2</v>
      </c>
      <c r="AS112" s="352">
        <f>(BC112-AP112)/12+AR112</f>
        <v>-4.1875000000000002E-2</v>
      </c>
      <c r="AT112" s="352">
        <f>(BC112-AP112)/12+AS112</f>
        <v>-4.1666666666666671E-2</v>
      </c>
      <c r="AU112" s="352">
        <f>(BC112-AP112)/12+AT112</f>
        <v>-4.145833333333334E-2</v>
      </c>
      <c r="AV112" s="352">
        <f>(BC112-AP112)/12+AU112</f>
        <v>-4.1250000000000009E-2</v>
      </c>
      <c r="AW112" s="352">
        <f>(BC112-AP112)/12+AV112</f>
        <v>-4.1041666666666678E-2</v>
      </c>
      <c r="AX112" s="352">
        <f>(BC112-AP112)/12+AW112</f>
        <v>-4.0833333333333346E-2</v>
      </c>
      <c r="AY112" s="352">
        <f>(BC112-AP112)/12+AX112</f>
        <v>-4.0625000000000015E-2</v>
      </c>
      <c r="AZ112" s="352">
        <f>(BC112-AP112)/12+AY112</f>
        <v>-4.0416666666666684E-2</v>
      </c>
      <c r="BA112" s="352">
        <f>(BC112-AP112)/12+AZ112</f>
        <v>-4.0208333333333353E-2</v>
      </c>
      <c r="BB112" s="352">
        <f>(BC112-AP112)/12+BA112</f>
        <v>-4.0000000000000022E-2</v>
      </c>
      <c r="BC112" s="351">
        <f>AP112+0.25%</f>
        <v>-3.9999999999999994E-2</v>
      </c>
      <c r="BD112" s="352">
        <f>(BP112-BC112)/12+BC112</f>
        <v>-3.9791666666666663E-2</v>
      </c>
      <c r="BE112" s="352">
        <f>(BP112-BC112)/12+BD112</f>
        <v>-3.9583333333333331E-2</v>
      </c>
      <c r="BF112" s="352">
        <f>(BP112-BC112)/12+BE112</f>
        <v>-3.9375E-2</v>
      </c>
      <c r="BG112" s="352">
        <f>(BP112-BC112)/12+BF112</f>
        <v>-3.9166666666666669E-2</v>
      </c>
      <c r="BH112" s="352">
        <f>(BP112-BC112)/12+BG112</f>
        <v>-3.8958333333333338E-2</v>
      </c>
      <c r="BI112" s="352">
        <f>(BP112-BC112)/12+BH112</f>
        <v>-3.8750000000000007E-2</v>
      </c>
      <c r="BJ112" s="352">
        <f>(BP112-BC112)/12+BI112</f>
        <v>-3.8541666666666675E-2</v>
      </c>
      <c r="BK112" s="352">
        <f>(BP112-BC112)/12+BJ112</f>
        <v>-3.8333333333333344E-2</v>
      </c>
      <c r="BL112" s="352">
        <f>(BP112-BC112)/12+BK112</f>
        <v>-3.8125000000000013E-2</v>
      </c>
      <c r="BM112" s="352">
        <f>(BP112-BC112)/12+BL112</f>
        <v>-3.7916666666666682E-2</v>
      </c>
      <c r="BN112" s="352">
        <f>(BP112-BC112)/12+BM112</f>
        <v>-3.7708333333333351E-2</v>
      </c>
      <c r="BO112" s="352">
        <f>(BP112-BC112)/12+BN112</f>
        <v>-3.7500000000000019E-2</v>
      </c>
      <c r="BP112" s="351">
        <f>BC112+0.25%</f>
        <v>-3.7499999999999992E-2</v>
      </c>
      <c r="BQ112" s="43" t="s">
        <v>614</v>
      </c>
      <c r="CE112" s="356" t="s">
        <v>1007</v>
      </c>
      <c r="CF112" s="354" t="s">
        <v>231</v>
      </c>
    </row>
    <row r="113" spans="1:84">
      <c r="A113" s="355" t="s">
        <v>616</v>
      </c>
      <c r="B113" s="354" t="s">
        <v>231</v>
      </c>
      <c r="C113" s="353">
        <v>-0.1</v>
      </c>
      <c r="D113" s="352">
        <f>(P113-C113)/12+C113</f>
        <v>-9.9583333333333343E-2</v>
      </c>
      <c r="E113" s="352">
        <f>(P113-C113)/12+D113</f>
        <v>-9.9166666666666681E-2</v>
      </c>
      <c r="F113" s="352">
        <f>(P113-C113)/12+E113</f>
        <v>-9.8750000000000018E-2</v>
      </c>
      <c r="G113" s="352">
        <f>(P113-C113)/12+F113</f>
        <v>-9.8333333333333356E-2</v>
      </c>
      <c r="H113" s="352">
        <f>(P113-C113)/12+G113</f>
        <v>-9.7916666666666693E-2</v>
      </c>
      <c r="I113" s="352">
        <f>(P113-C113)/12+H113</f>
        <v>-9.7500000000000031E-2</v>
      </c>
      <c r="J113" s="352">
        <f>(P113-C113)/12+I113</f>
        <v>-9.7083333333333369E-2</v>
      </c>
      <c r="K113" s="352">
        <f>(P113-C113)/12+J113</f>
        <v>-9.6666666666666706E-2</v>
      </c>
      <c r="L113" s="352">
        <f>(P113-C113)/12+K113</f>
        <v>-9.6250000000000044E-2</v>
      </c>
      <c r="M113" s="352">
        <f>(P113-C113)/12+L113</f>
        <v>-9.5833333333333381E-2</v>
      </c>
      <c r="N113" s="352">
        <f>(P113-C113)/12+M113</f>
        <v>-9.5416666666666719E-2</v>
      </c>
      <c r="O113" s="352">
        <f>(P113-C113)/12+N113</f>
        <v>-9.5000000000000057E-2</v>
      </c>
      <c r="P113" s="351">
        <f>C113+0.5%</f>
        <v>-9.5000000000000001E-2</v>
      </c>
      <c r="Q113" s="352">
        <f>(AC113-P113)/12+P113</f>
        <v>-9.4583333333333339E-2</v>
      </c>
      <c r="R113" s="352">
        <f>(AC113-P113)/12+Q113</f>
        <v>-9.4166666666666676E-2</v>
      </c>
      <c r="S113" s="352">
        <f>(AC113-P113)/12+R113</f>
        <v>-9.3750000000000014E-2</v>
      </c>
      <c r="T113" s="352">
        <f>(AC113-P113)/12+S113</f>
        <v>-9.3333333333333351E-2</v>
      </c>
      <c r="U113" s="352">
        <f>(AC113-P113)/12+T113</f>
        <v>-9.2916666666666689E-2</v>
      </c>
      <c r="V113" s="352">
        <f>(AC113-P113)/12+U113</f>
        <v>-9.2500000000000027E-2</v>
      </c>
      <c r="W113" s="352">
        <f>(AC113-P113)/12+V113</f>
        <v>-9.2083333333333364E-2</v>
      </c>
      <c r="X113" s="352">
        <f>(AC113-P113)/12+W113</f>
        <v>-9.1666666666666702E-2</v>
      </c>
      <c r="Y113" s="352">
        <f>(AC113-P113)/12+X113</f>
        <v>-9.1250000000000039E-2</v>
      </c>
      <c r="Z113" s="352">
        <f>(AC113-P113)/12+Y113</f>
        <v>-9.0833333333333377E-2</v>
      </c>
      <c r="AA113" s="352">
        <f>(AC113-P113)/12+Z113</f>
        <v>-9.0416666666666715E-2</v>
      </c>
      <c r="AB113" s="352">
        <f>(AC113-P113)/12+AA113</f>
        <v>-9.0000000000000052E-2</v>
      </c>
      <c r="AC113" s="351">
        <f>P113+0.5%</f>
        <v>-0.09</v>
      </c>
      <c r="AD113" s="352">
        <f>(AP113-AC113)/12+AC113</f>
        <v>-8.9166666666666658E-2</v>
      </c>
      <c r="AE113" s="352">
        <f>(AP113-AC113)/12+AD113</f>
        <v>-8.8333333333333319E-2</v>
      </c>
      <c r="AF113" s="352">
        <f>(AP113-AC113)/12+AE113</f>
        <v>-8.7499999999999981E-2</v>
      </c>
      <c r="AG113" s="352">
        <f>(AP113-AC113)/12+AF113</f>
        <v>-8.6666666666666642E-2</v>
      </c>
      <c r="AH113" s="352">
        <f>(AP113-AC113)/12+AG113</f>
        <v>-8.5833333333333303E-2</v>
      </c>
      <c r="AI113" s="352">
        <f>(AP113-AC113)/12+AH113</f>
        <v>-8.4999999999999964E-2</v>
      </c>
      <c r="AJ113" s="352">
        <f>(AP113-AC113)/12+AI113</f>
        <v>-8.4166666666666626E-2</v>
      </c>
      <c r="AK113" s="352">
        <f>(AP113-AC113)/12+AJ113</f>
        <v>-8.3333333333333287E-2</v>
      </c>
      <c r="AL113" s="352">
        <f>(AP113-AC113)/12+AK113</f>
        <v>-8.2499999999999948E-2</v>
      </c>
      <c r="AM113" s="352">
        <f>(AP113-AC113)/12+AL113</f>
        <v>-8.166666666666661E-2</v>
      </c>
      <c r="AN113" s="352">
        <f>(AP113-AC113)/12+AM113</f>
        <v>-8.0833333333333271E-2</v>
      </c>
      <c r="AO113" s="352">
        <f>(AP113-AC113)/12+AN113</f>
        <v>-7.9999999999999932E-2</v>
      </c>
      <c r="AP113" s="351">
        <f>AC113+0.5%+0.5%</f>
        <v>-7.9999999999999988E-2</v>
      </c>
      <c r="AQ113" s="352">
        <f>(BC113-AP113)/12+AP113</f>
        <v>-7.9166666666666649E-2</v>
      </c>
      <c r="AR113" s="352">
        <f>(BC113-AP113)/12+AQ113</f>
        <v>-7.833333333333331E-2</v>
      </c>
      <c r="AS113" s="352">
        <f>(BC113-AP113)/12+AR113</f>
        <v>-7.7499999999999972E-2</v>
      </c>
      <c r="AT113" s="352">
        <f>(BC113-AP113)/12+AS113</f>
        <v>-7.6666666666666633E-2</v>
      </c>
      <c r="AU113" s="352">
        <f>(BC113-AP113)/12+AT113</f>
        <v>-7.5833333333333294E-2</v>
      </c>
      <c r="AV113" s="352">
        <f>(BC113-AP113)/12+AU113</f>
        <v>-7.4999999999999956E-2</v>
      </c>
      <c r="AW113" s="352">
        <f>(BC113-AP113)/12+AV113</f>
        <v>-7.4166666666666617E-2</v>
      </c>
      <c r="AX113" s="352">
        <f>(BC113-AP113)/12+AW113</f>
        <v>-7.3333333333333278E-2</v>
      </c>
      <c r="AY113" s="352">
        <f>(BC113-AP113)/12+AX113</f>
        <v>-7.2499999999999939E-2</v>
      </c>
      <c r="AZ113" s="352">
        <f>(BC113-AP113)/12+AY113</f>
        <v>-7.1666666666666601E-2</v>
      </c>
      <c r="BA113" s="352">
        <f>(BC113-AP113)/12+AZ113</f>
        <v>-7.0833333333333262E-2</v>
      </c>
      <c r="BB113" s="352">
        <f>(BC113-AP113)/12+BA113</f>
        <v>-6.9999999999999923E-2</v>
      </c>
      <c r="BC113" s="351">
        <f>AP113+0.5%+0.5%</f>
        <v>-6.9999999999999979E-2</v>
      </c>
      <c r="BD113" s="352">
        <f>(BP113-BC113)/12+BC113</f>
        <v>-6.916666666666664E-2</v>
      </c>
      <c r="BE113" s="352">
        <f>(BP113-BC113)/12+BD113</f>
        <v>-6.8333333333333302E-2</v>
      </c>
      <c r="BF113" s="352">
        <f>(BP113-BC113)/12+BE113</f>
        <v>-6.7499999999999963E-2</v>
      </c>
      <c r="BG113" s="352">
        <f>(BP113-BC113)/12+BF113</f>
        <v>-6.6666666666666624E-2</v>
      </c>
      <c r="BH113" s="352">
        <f>(BP113-BC113)/12+BG113</f>
        <v>-6.5833333333333285E-2</v>
      </c>
      <c r="BI113" s="352">
        <f>(BP113-BC113)/12+BH113</f>
        <v>-6.4999999999999947E-2</v>
      </c>
      <c r="BJ113" s="352">
        <f>(BP113-BC113)/12+BI113</f>
        <v>-6.4166666666666608E-2</v>
      </c>
      <c r="BK113" s="352">
        <f>(BP113-BC113)/12+BJ113</f>
        <v>-6.3333333333333269E-2</v>
      </c>
      <c r="BL113" s="352">
        <f>(BP113-BC113)/12+BK113</f>
        <v>-6.2499999999999938E-2</v>
      </c>
      <c r="BM113" s="352">
        <f>(BP113-BC113)/12+BL113</f>
        <v>-6.1666666666666606E-2</v>
      </c>
      <c r="BN113" s="352">
        <f>(BP113-BC113)/12+BM113</f>
        <v>-6.0833333333333274E-2</v>
      </c>
      <c r="BO113" s="352">
        <f>(BP113-BC113)/12+BN113</f>
        <v>-5.9999999999999942E-2</v>
      </c>
      <c r="BP113" s="351">
        <f>BC113+0.5%+0.5%</f>
        <v>-5.9999999999999977E-2</v>
      </c>
      <c r="BQ113" s="43" t="s">
        <v>614</v>
      </c>
      <c r="CE113" s="356" t="s">
        <v>1008</v>
      </c>
      <c r="CF113" s="354" t="s">
        <v>231</v>
      </c>
    </row>
    <row r="114" spans="1:84">
      <c r="A114" s="355" t="s">
        <v>615</v>
      </c>
      <c r="B114" s="354" t="s">
        <v>231</v>
      </c>
      <c r="C114" s="353">
        <v>-0.12</v>
      </c>
      <c r="D114" s="352">
        <f>(P114-C114)/12+C114</f>
        <v>-0.11958333333333333</v>
      </c>
      <c r="E114" s="352">
        <f>(P114-C114)/12+D114</f>
        <v>-0.11916666666666667</v>
      </c>
      <c r="F114" s="352">
        <f>(P114-C114)/12+E114</f>
        <v>-0.11875000000000001</v>
      </c>
      <c r="G114" s="352">
        <f>(P114-C114)/12+F114</f>
        <v>-0.11833333333333335</v>
      </c>
      <c r="H114" s="352">
        <f>(P114-C114)/12+G114</f>
        <v>-0.11791666666666668</v>
      </c>
      <c r="I114" s="352">
        <f>(P114-C114)/12+H114</f>
        <v>-0.11750000000000002</v>
      </c>
      <c r="J114" s="352">
        <f>(P114-C114)/12+I114</f>
        <v>-0.11708333333333336</v>
      </c>
      <c r="K114" s="352">
        <f>(P114-C114)/12+J114</f>
        <v>-0.1166666666666667</v>
      </c>
      <c r="L114" s="352">
        <f>(P114-C114)/12+K114</f>
        <v>-0.11625000000000003</v>
      </c>
      <c r="M114" s="352">
        <f>(P114-C114)/12+L114</f>
        <v>-0.11583333333333337</v>
      </c>
      <c r="N114" s="352">
        <f>(P114-C114)/12+M114</f>
        <v>-0.11541666666666671</v>
      </c>
      <c r="O114" s="352">
        <f>(P114-C114)/12+N114</f>
        <v>-0.11500000000000005</v>
      </c>
      <c r="P114" s="351">
        <f>C114+0.5%</f>
        <v>-0.11499999999999999</v>
      </c>
      <c r="Q114" s="352">
        <f>(AC114-P114)/12+P114</f>
        <v>-0.11458333333333333</v>
      </c>
      <c r="R114" s="352">
        <f>(AC114-P114)/12+Q114</f>
        <v>-0.11416666666666667</v>
      </c>
      <c r="S114" s="352">
        <f>(AC114-P114)/12+R114</f>
        <v>-0.11375</v>
      </c>
      <c r="T114" s="352">
        <f>(AC114-P114)/12+S114</f>
        <v>-0.11333333333333334</v>
      </c>
      <c r="U114" s="352">
        <f>(AC114-P114)/12+T114</f>
        <v>-0.11291666666666668</v>
      </c>
      <c r="V114" s="352">
        <f>(AC114-P114)/12+U114</f>
        <v>-0.11250000000000002</v>
      </c>
      <c r="W114" s="352">
        <f>(AC114-P114)/12+V114</f>
        <v>-0.11208333333333335</v>
      </c>
      <c r="X114" s="352">
        <f>(AC114-P114)/12+W114</f>
        <v>-0.11166666666666669</v>
      </c>
      <c r="Y114" s="352">
        <f>(AC114-P114)/12+X114</f>
        <v>-0.11125000000000003</v>
      </c>
      <c r="Z114" s="352">
        <f>(AC114-P114)/12+Y114</f>
        <v>-0.11083333333333337</v>
      </c>
      <c r="AA114" s="352">
        <f>(AC114-P114)/12+Z114</f>
        <v>-0.1104166666666667</v>
      </c>
      <c r="AB114" s="352">
        <f>(AC114-P114)/12+AA114</f>
        <v>-0.11000000000000004</v>
      </c>
      <c r="AC114" s="351">
        <f>P114+0.5%</f>
        <v>-0.10999999999999999</v>
      </c>
      <c r="AD114" s="352">
        <f>(AP114-AC114)/12+AC114</f>
        <v>-0.10916666666666665</v>
      </c>
      <c r="AE114" s="352">
        <f>(AP114-AC114)/12+AD114</f>
        <v>-0.10833333333333331</v>
      </c>
      <c r="AF114" s="352">
        <f>(AP114-AC114)/12+AE114</f>
        <v>-0.10749999999999997</v>
      </c>
      <c r="AG114" s="352">
        <f>(AP114-AC114)/12+AF114</f>
        <v>-0.10666666666666663</v>
      </c>
      <c r="AH114" s="352">
        <f>(AP114-AC114)/12+AG114</f>
        <v>-0.10583333333333329</v>
      </c>
      <c r="AI114" s="352">
        <f>(AP114-AC114)/12+AH114</f>
        <v>-0.10499999999999995</v>
      </c>
      <c r="AJ114" s="352">
        <f>(AP114-AC114)/12+AI114</f>
        <v>-0.10416666666666662</v>
      </c>
      <c r="AK114" s="352">
        <f>(AP114-AC114)/12+AJ114</f>
        <v>-0.10333333333333328</v>
      </c>
      <c r="AL114" s="352">
        <f>(AP114-AC114)/12+AK114</f>
        <v>-0.10249999999999994</v>
      </c>
      <c r="AM114" s="352">
        <f>(AP114-AC114)/12+AL114</f>
        <v>-0.1016666666666666</v>
      </c>
      <c r="AN114" s="352">
        <f>(AP114-AC114)/12+AM114</f>
        <v>-0.10083333333333326</v>
      </c>
      <c r="AO114" s="352">
        <f>(AP114-AC114)/12+AN114</f>
        <v>-9.9999999999999922E-2</v>
      </c>
      <c r="AP114" s="351">
        <f>AC114+0.5%+0.5%</f>
        <v>-9.9999999999999978E-2</v>
      </c>
      <c r="AQ114" s="352">
        <f>(BC114-AP114)/12+AP114</f>
        <v>-9.9166666666666639E-2</v>
      </c>
      <c r="AR114" s="352">
        <f>(BC114-AP114)/12+AQ114</f>
        <v>-9.83333333333333E-2</v>
      </c>
      <c r="AS114" s="352">
        <f>(BC114-AP114)/12+AR114</f>
        <v>-9.7499999999999962E-2</v>
      </c>
      <c r="AT114" s="352">
        <f>(BC114-AP114)/12+AS114</f>
        <v>-9.6666666666666623E-2</v>
      </c>
      <c r="AU114" s="352">
        <f>(BC114-AP114)/12+AT114</f>
        <v>-9.5833333333333284E-2</v>
      </c>
      <c r="AV114" s="352">
        <f>(BC114-AP114)/12+AU114</f>
        <v>-9.4999999999999946E-2</v>
      </c>
      <c r="AW114" s="352">
        <f>(BC114-AP114)/12+AV114</f>
        <v>-9.4166666666666607E-2</v>
      </c>
      <c r="AX114" s="352">
        <f>(BC114-AP114)/12+AW114</f>
        <v>-9.3333333333333268E-2</v>
      </c>
      <c r="AY114" s="352">
        <f>(BC114-AP114)/12+AX114</f>
        <v>-9.249999999999993E-2</v>
      </c>
      <c r="AZ114" s="352">
        <f>(BC114-AP114)/12+AY114</f>
        <v>-9.1666666666666591E-2</v>
      </c>
      <c r="BA114" s="352">
        <f>(BC114-AP114)/12+AZ114</f>
        <v>-9.0833333333333252E-2</v>
      </c>
      <c r="BB114" s="352">
        <f>(BC114-AP114)/12+BA114</f>
        <v>-8.9999999999999913E-2</v>
      </c>
      <c r="BC114" s="351">
        <f>AP114+0.5%+0.5%</f>
        <v>-8.9999999999999969E-2</v>
      </c>
      <c r="BD114" s="352">
        <f>(BP114-BC114)/12+BC114</f>
        <v>-8.916666666666663E-2</v>
      </c>
      <c r="BE114" s="352">
        <f>(BP114-BC114)/12+BD114</f>
        <v>-8.8333333333333292E-2</v>
      </c>
      <c r="BF114" s="352">
        <f>(BP114-BC114)/12+BE114</f>
        <v>-8.7499999999999953E-2</v>
      </c>
      <c r="BG114" s="352">
        <f>(BP114-BC114)/12+BF114</f>
        <v>-8.6666666666666614E-2</v>
      </c>
      <c r="BH114" s="352">
        <f>(BP114-BC114)/12+BG114</f>
        <v>-8.5833333333333275E-2</v>
      </c>
      <c r="BI114" s="352">
        <f>(BP114-BC114)/12+BH114</f>
        <v>-8.4999999999999937E-2</v>
      </c>
      <c r="BJ114" s="352">
        <f>(BP114-BC114)/12+BI114</f>
        <v>-8.4166666666666598E-2</v>
      </c>
      <c r="BK114" s="352">
        <f>(BP114-BC114)/12+BJ114</f>
        <v>-8.3333333333333259E-2</v>
      </c>
      <c r="BL114" s="352">
        <f>(BP114-BC114)/12+BK114</f>
        <v>-8.2499999999999921E-2</v>
      </c>
      <c r="BM114" s="352">
        <f>(BP114-BC114)/12+BL114</f>
        <v>-8.1666666666666582E-2</v>
      </c>
      <c r="BN114" s="352">
        <f>(BP114-BC114)/12+BM114</f>
        <v>-8.0833333333333243E-2</v>
      </c>
      <c r="BO114" s="352">
        <f>(BP114-BC114)/12+BN114</f>
        <v>-7.9999999999999905E-2</v>
      </c>
      <c r="BP114" s="351">
        <f>BC114+0.5%+0.5%</f>
        <v>-7.999999999999996E-2</v>
      </c>
      <c r="BQ114" s="43" t="s">
        <v>614</v>
      </c>
      <c r="CE114" s="356" t="s">
        <v>1009</v>
      </c>
      <c r="CF114" s="354" t="s">
        <v>231</v>
      </c>
    </row>
    <row r="115" spans="1:84">
      <c r="P115" s="349"/>
      <c r="AC115" s="349"/>
      <c r="AP115" s="349"/>
      <c r="BC115" s="349"/>
      <c r="BP115" s="349"/>
      <c r="CF115" s="13"/>
    </row>
    <row r="116" spans="1:84">
      <c r="A116" s="4" t="s">
        <v>613</v>
      </c>
      <c r="B116" s="295" t="s">
        <v>231</v>
      </c>
      <c r="C116" s="306">
        <v>0.5</v>
      </c>
      <c r="D116" s="293">
        <f>(P116-C116)/12+C116</f>
        <v>0.5</v>
      </c>
      <c r="E116" s="293">
        <f>(P116-C116)/12+D116</f>
        <v>0.5</v>
      </c>
      <c r="F116" s="293">
        <f>(P116-C116)/12+E116</f>
        <v>0.5</v>
      </c>
      <c r="G116" s="293">
        <f>(P116-C116)/12+F116</f>
        <v>0.5</v>
      </c>
      <c r="H116" s="293">
        <f>(P116-C116)/12+G116</f>
        <v>0.5</v>
      </c>
      <c r="I116" s="293">
        <f>(P116-C116)/12+H116</f>
        <v>0.5</v>
      </c>
      <c r="J116" s="293">
        <f>(P116-C116)/12+I116</f>
        <v>0.5</v>
      </c>
      <c r="K116" s="293">
        <f>(P116-C116)/12+J116</f>
        <v>0.5</v>
      </c>
      <c r="L116" s="293">
        <f>(P116-C116)/12+K116</f>
        <v>0.5</v>
      </c>
      <c r="M116" s="293">
        <f>(P116-C116)/12+L116</f>
        <v>0.5</v>
      </c>
      <c r="N116" s="293">
        <f>(P116-C116)/12+M116</f>
        <v>0.5</v>
      </c>
      <c r="O116" s="293">
        <f>(P116-C116)/12+N116</f>
        <v>0.5</v>
      </c>
      <c r="P116" s="350">
        <f>C116</f>
        <v>0.5</v>
      </c>
      <c r="Q116" s="293">
        <f>(AC116-P116)/12+P116</f>
        <v>0.5</v>
      </c>
      <c r="R116" s="293">
        <f>(AC116-P116)/12+Q116</f>
        <v>0.5</v>
      </c>
      <c r="S116" s="293">
        <f>(AC116-P116)/12+R116</f>
        <v>0.5</v>
      </c>
      <c r="T116" s="293">
        <f>(AC116-P116)/12+S116</f>
        <v>0.5</v>
      </c>
      <c r="U116" s="293">
        <f>(AC116-P116)/12+T116</f>
        <v>0.5</v>
      </c>
      <c r="V116" s="293">
        <f>(AC116-P116)/12+U116</f>
        <v>0.5</v>
      </c>
      <c r="W116" s="293">
        <f>(AC116-P116)/12+V116</f>
        <v>0.5</v>
      </c>
      <c r="X116" s="293">
        <f>(AC116-P116)/12+W116</f>
        <v>0.5</v>
      </c>
      <c r="Y116" s="293">
        <f>(AC116-P116)/12+X116</f>
        <v>0.5</v>
      </c>
      <c r="Z116" s="293">
        <f>(AC116-P116)/12+Y116</f>
        <v>0.5</v>
      </c>
      <c r="AA116" s="293">
        <f>(AC116-P116)/12+Z116</f>
        <v>0.5</v>
      </c>
      <c r="AB116" s="293">
        <f>(AC116-P116)/12+AA116</f>
        <v>0.5</v>
      </c>
      <c r="AC116" s="350">
        <f>P116</f>
        <v>0.5</v>
      </c>
      <c r="AD116" s="293">
        <f>(AP116-AC116)/12+AC116</f>
        <v>0.5</v>
      </c>
      <c r="AE116" s="293">
        <f>(AP116-AC116)/12+AD116</f>
        <v>0.5</v>
      </c>
      <c r="AF116" s="293">
        <f>(AP116-AC116)/12+AE116</f>
        <v>0.5</v>
      </c>
      <c r="AG116" s="293">
        <f>(AP116-AC116)/12+AF116</f>
        <v>0.5</v>
      </c>
      <c r="AH116" s="293">
        <f>(AP116-AC116)/12+AG116</f>
        <v>0.5</v>
      </c>
      <c r="AI116" s="293">
        <f>(AP116-AC116)/12+AH116</f>
        <v>0.5</v>
      </c>
      <c r="AJ116" s="293">
        <f>(AP116-AC116)/12+AI116</f>
        <v>0.5</v>
      </c>
      <c r="AK116" s="293">
        <f>(AP116-AC116)/12+AJ116</f>
        <v>0.5</v>
      </c>
      <c r="AL116" s="293">
        <f>(AP116-AC116)/12+AK116</f>
        <v>0.5</v>
      </c>
      <c r="AM116" s="293">
        <f>(AP116-AC116)/12+AL116</f>
        <v>0.5</v>
      </c>
      <c r="AN116" s="293">
        <f>(AP116-AC116)/12+AM116</f>
        <v>0.5</v>
      </c>
      <c r="AO116" s="293">
        <f>(AP116-AC116)/12+AN116</f>
        <v>0.5</v>
      </c>
      <c r="AP116" s="350">
        <f>AC116</f>
        <v>0.5</v>
      </c>
      <c r="AQ116" s="293">
        <f>(BC116-AP116)/12+AP116</f>
        <v>0.5</v>
      </c>
      <c r="AR116" s="293">
        <f>(BC116-AP116)/12+AQ116</f>
        <v>0.5</v>
      </c>
      <c r="AS116" s="293">
        <f>(BC116-AP116)/12+AR116</f>
        <v>0.5</v>
      </c>
      <c r="AT116" s="293">
        <f>(BC116-AP116)/12+AS116</f>
        <v>0.5</v>
      </c>
      <c r="AU116" s="293">
        <f>(BC116-AP116)/12+AT116</f>
        <v>0.5</v>
      </c>
      <c r="AV116" s="293">
        <f>(BC116-AP116)/12+AU116</f>
        <v>0.5</v>
      </c>
      <c r="AW116" s="293">
        <f>(BC116-AP116)/12+AV116</f>
        <v>0.5</v>
      </c>
      <c r="AX116" s="293">
        <f>(BC116-AP116)/12+AW116</f>
        <v>0.5</v>
      </c>
      <c r="AY116" s="293">
        <f>(BC116-AP116)/12+AX116</f>
        <v>0.5</v>
      </c>
      <c r="AZ116" s="293">
        <f>(BC116-AP116)/12+AY116</f>
        <v>0.5</v>
      </c>
      <c r="BA116" s="293">
        <f>(BC116-AP116)/12+AZ116</f>
        <v>0.5</v>
      </c>
      <c r="BB116" s="293">
        <f>(BC116-AP116)/12+BA116</f>
        <v>0.5</v>
      </c>
      <c r="BC116" s="350">
        <f>AP116</f>
        <v>0.5</v>
      </c>
      <c r="BD116" s="293">
        <f>(BP116-BC116)/12+BC116</f>
        <v>0.5</v>
      </c>
      <c r="BE116" s="293">
        <f>(BP116-BC116)/12+BD116</f>
        <v>0.5</v>
      </c>
      <c r="BF116" s="293">
        <f>(BP116-BC116)/12+BE116</f>
        <v>0.5</v>
      </c>
      <c r="BG116" s="293">
        <f>(BP116-BC116)/12+BF116</f>
        <v>0.5</v>
      </c>
      <c r="BH116" s="293">
        <f>(BP116-BC116)/12+BG116</f>
        <v>0.5</v>
      </c>
      <c r="BI116" s="293">
        <f>(BP116-BC116)/12+BH116</f>
        <v>0.5</v>
      </c>
      <c r="BJ116" s="293">
        <f>(BP116-BC116)/12+BI116</f>
        <v>0.5</v>
      </c>
      <c r="BK116" s="293">
        <f>(BP116-BC116)/12+BJ116</f>
        <v>0.5</v>
      </c>
      <c r="BL116" s="293">
        <f>(BP116-BC116)/12+BK116</f>
        <v>0.5</v>
      </c>
      <c r="BM116" s="293">
        <f>(BP116-BC116)/12+BL116</f>
        <v>0.5</v>
      </c>
      <c r="BN116" s="293">
        <f>(BP116-BC116)/12+BM116</f>
        <v>0.5</v>
      </c>
      <c r="BO116" s="293">
        <f>(BP116-BC116)/12+BN116</f>
        <v>0.5</v>
      </c>
      <c r="BP116" s="350">
        <f>BC116</f>
        <v>0.5</v>
      </c>
      <c r="CE116" s="4" t="s">
        <v>1010</v>
      </c>
      <c r="CF116" s="295" t="s">
        <v>231</v>
      </c>
    </row>
    <row r="117" spans="1:84">
      <c r="P117" s="349"/>
      <c r="AC117" s="349"/>
      <c r="AP117" s="349"/>
      <c r="BC117" s="349"/>
      <c r="BP117" s="349"/>
      <c r="CF117" s="13"/>
    </row>
    <row r="118" spans="1:84" s="5" customFormat="1">
      <c r="A118" s="5" t="s">
        <v>612</v>
      </c>
      <c r="B118" s="12" t="s">
        <v>130</v>
      </c>
      <c r="C118" s="99">
        <f>1*500</f>
        <v>500</v>
      </c>
      <c r="I118" s="5">
        <v>500</v>
      </c>
      <c r="J118" s="5">
        <f t="shared" ref="J118:O119" si="338">I118</f>
        <v>500</v>
      </c>
      <c r="K118" s="5">
        <f t="shared" si="338"/>
        <v>500</v>
      </c>
      <c r="L118" s="5">
        <f t="shared" si="338"/>
        <v>500</v>
      </c>
      <c r="M118" s="5">
        <f t="shared" si="338"/>
        <v>500</v>
      </c>
      <c r="N118" s="5">
        <f t="shared" si="338"/>
        <v>500</v>
      </c>
      <c r="O118" s="5">
        <f t="shared" si="338"/>
        <v>500</v>
      </c>
      <c r="P118" s="341">
        <f>C118</f>
        <v>500</v>
      </c>
      <c r="Q118" s="5">
        <f>AC118</f>
        <v>500</v>
      </c>
      <c r="R118" s="5">
        <f t="shared" ref="R118:AB118" si="339">Q118</f>
        <v>500</v>
      </c>
      <c r="S118" s="5">
        <f t="shared" si="339"/>
        <v>500</v>
      </c>
      <c r="T118" s="5">
        <f t="shared" si="339"/>
        <v>500</v>
      </c>
      <c r="U118" s="5">
        <f t="shared" si="339"/>
        <v>500</v>
      </c>
      <c r="V118" s="5">
        <f t="shared" si="339"/>
        <v>500</v>
      </c>
      <c r="W118" s="5">
        <f t="shared" si="339"/>
        <v>500</v>
      </c>
      <c r="X118" s="5">
        <f t="shared" si="339"/>
        <v>500</v>
      </c>
      <c r="Y118" s="5">
        <f t="shared" si="339"/>
        <v>500</v>
      </c>
      <c r="Z118" s="5">
        <f t="shared" si="339"/>
        <v>500</v>
      </c>
      <c r="AA118" s="5">
        <f t="shared" si="339"/>
        <v>500</v>
      </c>
      <c r="AB118" s="5">
        <f t="shared" si="339"/>
        <v>500</v>
      </c>
      <c r="AC118" s="341">
        <f>P118</f>
        <v>500</v>
      </c>
      <c r="AD118" s="5">
        <f>AP118</f>
        <v>500</v>
      </c>
      <c r="AE118" s="5">
        <f t="shared" ref="AE118:AO118" si="340">AD118</f>
        <v>500</v>
      </c>
      <c r="AF118" s="5">
        <f t="shared" si="340"/>
        <v>500</v>
      </c>
      <c r="AG118" s="5">
        <f t="shared" si="340"/>
        <v>500</v>
      </c>
      <c r="AH118" s="5">
        <f t="shared" si="340"/>
        <v>500</v>
      </c>
      <c r="AI118" s="5">
        <f t="shared" si="340"/>
        <v>500</v>
      </c>
      <c r="AJ118" s="5">
        <f t="shared" si="340"/>
        <v>500</v>
      </c>
      <c r="AK118" s="5">
        <f t="shared" si="340"/>
        <v>500</v>
      </c>
      <c r="AL118" s="5">
        <f t="shared" si="340"/>
        <v>500</v>
      </c>
      <c r="AM118" s="5">
        <f t="shared" si="340"/>
        <v>500</v>
      </c>
      <c r="AN118" s="5">
        <f t="shared" si="340"/>
        <v>500</v>
      </c>
      <c r="AO118" s="5">
        <f t="shared" si="340"/>
        <v>500</v>
      </c>
      <c r="AP118" s="341">
        <f>AC118</f>
        <v>500</v>
      </c>
      <c r="AQ118" s="5">
        <f>BC118</f>
        <v>500</v>
      </c>
      <c r="AR118" s="5">
        <f t="shared" ref="AR118:BB118" si="341">AQ118</f>
        <v>500</v>
      </c>
      <c r="AS118" s="5">
        <f t="shared" si="341"/>
        <v>500</v>
      </c>
      <c r="AT118" s="5">
        <f t="shared" si="341"/>
        <v>500</v>
      </c>
      <c r="AU118" s="5">
        <f t="shared" si="341"/>
        <v>500</v>
      </c>
      <c r="AV118" s="5">
        <f t="shared" si="341"/>
        <v>500</v>
      </c>
      <c r="AW118" s="5">
        <f t="shared" si="341"/>
        <v>500</v>
      </c>
      <c r="AX118" s="5">
        <f t="shared" si="341"/>
        <v>500</v>
      </c>
      <c r="AY118" s="5">
        <f t="shared" si="341"/>
        <v>500</v>
      </c>
      <c r="AZ118" s="5">
        <f t="shared" si="341"/>
        <v>500</v>
      </c>
      <c r="BA118" s="5">
        <f t="shared" si="341"/>
        <v>500</v>
      </c>
      <c r="BB118" s="5">
        <f t="shared" si="341"/>
        <v>500</v>
      </c>
      <c r="BC118" s="341">
        <f>AP118</f>
        <v>500</v>
      </c>
      <c r="BD118" s="5">
        <f>BP118</f>
        <v>500</v>
      </c>
      <c r="BE118" s="5">
        <f t="shared" ref="BE118:BO118" si="342">BD118</f>
        <v>500</v>
      </c>
      <c r="BF118" s="5">
        <f t="shared" si="342"/>
        <v>500</v>
      </c>
      <c r="BG118" s="5">
        <f t="shared" si="342"/>
        <v>500</v>
      </c>
      <c r="BH118" s="5">
        <f t="shared" si="342"/>
        <v>500</v>
      </c>
      <c r="BI118" s="5">
        <f t="shared" si="342"/>
        <v>500</v>
      </c>
      <c r="BJ118" s="5">
        <f t="shared" si="342"/>
        <v>500</v>
      </c>
      <c r="BK118" s="5">
        <f t="shared" si="342"/>
        <v>500</v>
      </c>
      <c r="BL118" s="5">
        <f t="shared" si="342"/>
        <v>500</v>
      </c>
      <c r="BM118" s="5">
        <f t="shared" si="342"/>
        <v>500</v>
      </c>
      <c r="BN118" s="5">
        <f t="shared" si="342"/>
        <v>500</v>
      </c>
      <c r="BO118" s="5">
        <f t="shared" si="342"/>
        <v>500</v>
      </c>
      <c r="BP118" s="341">
        <f>BC118</f>
        <v>500</v>
      </c>
      <c r="CE118" s="5" t="s">
        <v>1011</v>
      </c>
      <c r="CF118" s="12" t="s">
        <v>966</v>
      </c>
    </row>
    <row r="119" spans="1:84" s="5" customFormat="1">
      <c r="A119" s="5" t="s">
        <v>611</v>
      </c>
      <c r="B119" s="12" t="s">
        <v>130</v>
      </c>
      <c r="C119" s="99">
        <v>300</v>
      </c>
      <c r="I119" s="5">
        <v>300</v>
      </c>
      <c r="J119" s="5">
        <f t="shared" si="338"/>
        <v>300</v>
      </c>
      <c r="K119" s="5">
        <f t="shared" si="338"/>
        <v>300</v>
      </c>
      <c r="L119" s="5">
        <f t="shared" si="338"/>
        <v>300</v>
      </c>
      <c r="M119" s="5">
        <f t="shared" si="338"/>
        <v>300</v>
      </c>
      <c r="N119" s="5">
        <f t="shared" si="338"/>
        <v>300</v>
      </c>
      <c r="O119" s="5">
        <f t="shared" si="338"/>
        <v>300</v>
      </c>
      <c r="P119" s="341">
        <f>C119</f>
        <v>300</v>
      </c>
      <c r="Q119" s="5">
        <f>AC119</f>
        <v>300</v>
      </c>
      <c r="R119" s="5">
        <f t="shared" ref="R119:AB119" si="343">Q119</f>
        <v>300</v>
      </c>
      <c r="S119" s="5">
        <f t="shared" si="343"/>
        <v>300</v>
      </c>
      <c r="T119" s="5">
        <f t="shared" si="343"/>
        <v>300</v>
      </c>
      <c r="U119" s="5">
        <f t="shared" si="343"/>
        <v>300</v>
      </c>
      <c r="V119" s="5">
        <f t="shared" si="343"/>
        <v>300</v>
      </c>
      <c r="W119" s="5">
        <f t="shared" si="343"/>
        <v>300</v>
      </c>
      <c r="X119" s="5">
        <f t="shared" si="343"/>
        <v>300</v>
      </c>
      <c r="Y119" s="5">
        <f t="shared" si="343"/>
        <v>300</v>
      </c>
      <c r="Z119" s="5">
        <f t="shared" si="343"/>
        <v>300</v>
      </c>
      <c r="AA119" s="5">
        <f t="shared" si="343"/>
        <v>300</v>
      </c>
      <c r="AB119" s="5">
        <f t="shared" si="343"/>
        <v>300</v>
      </c>
      <c r="AC119" s="341">
        <f>P119</f>
        <v>300</v>
      </c>
      <c r="AD119" s="5">
        <f>AP119</f>
        <v>300</v>
      </c>
      <c r="AE119" s="5">
        <f t="shared" ref="AE119:AO119" si="344">AD119</f>
        <v>300</v>
      </c>
      <c r="AF119" s="5">
        <f t="shared" si="344"/>
        <v>300</v>
      </c>
      <c r="AG119" s="5">
        <f t="shared" si="344"/>
        <v>300</v>
      </c>
      <c r="AH119" s="5">
        <f t="shared" si="344"/>
        <v>300</v>
      </c>
      <c r="AI119" s="5">
        <f t="shared" si="344"/>
        <v>300</v>
      </c>
      <c r="AJ119" s="5">
        <f t="shared" si="344"/>
        <v>300</v>
      </c>
      <c r="AK119" s="5">
        <f t="shared" si="344"/>
        <v>300</v>
      </c>
      <c r="AL119" s="5">
        <f t="shared" si="344"/>
        <v>300</v>
      </c>
      <c r="AM119" s="5">
        <f t="shared" si="344"/>
        <v>300</v>
      </c>
      <c r="AN119" s="5">
        <f t="shared" si="344"/>
        <v>300</v>
      </c>
      <c r="AO119" s="5">
        <f t="shared" si="344"/>
        <v>300</v>
      </c>
      <c r="AP119" s="341">
        <f>AC119</f>
        <v>300</v>
      </c>
      <c r="AQ119" s="5">
        <f>BC119</f>
        <v>300</v>
      </c>
      <c r="AR119" s="5">
        <f t="shared" ref="AR119:BB119" si="345">AQ119</f>
        <v>300</v>
      </c>
      <c r="AS119" s="5">
        <f t="shared" si="345"/>
        <v>300</v>
      </c>
      <c r="AT119" s="5">
        <f t="shared" si="345"/>
        <v>300</v>
      </c>
      <c r="AU119" s="5">
        <f t="shared" si="345"/>
        <v>300</v>
      </c>
      <c r="AV119" s="5">
        <f t="shared" si="345"/>
        <v>300</v>
      </c>
      <c r="AW119" s="5">
        <f t="shared" si="345"/>
        <v>300</v>
      </c>
      <c r="AX119" s="5">
        <f t="shared" si="345"/>
        <v>300</v>
      </c>
      <c r="AY119" s="5">
        <f t="shared" si="345"/>
        <v>300</v>
      </c>
      <c r="AZ119" s="5">
        <f t="shared" si="345"/>
        <v>300</v>
      </c>
      <c r="BA119" s="5">
        <f t="shared" si="345"/>
        <v>300</v>
      </c>
      <c r="BB119" s="5">
        <f t="shared" si="345"/>
        <v>300</v>
      </c>
      <c r="BC119" s="341">
        <f>AP119</f>
        <v>300</v>
      </c>
      <c r="BD119" s="5">
        <f>BP119</f>
        <v>300</v>
      </c>
      <c r="BE119" s="5">
        <f t="shared" ref="BE119:BO119" si="346">BD119</f>
        <v>300</v>
      </c>
      <c r="BF119" s="5">
        <f t="shared" si="346"/>
        <v>300</v>
      </c>
      <c r="BG119" s="5">
        <f t="shared" si="346"/>
        <v>300</v>
      </c>
      <c r="BH119" s="5">
        <f t="shared" si="346"/>
        <v>300</v>
      </c>
      <c r="BI119" s="5">
        <f t="shared" si="346"/>
        <v>300</v>
      </c>
      <c r="BJ119" s="5">
        <f t="shared" si="346"/>
        <v>300</v>
      </c>
      <c r="BK119" s="5">
        <f t="shared" si="346"/>
        <v>300</v>
      </c>
      <c r="BL119" s="5">
        <f t="shared" si="346"/>
        <v>300</v>
      </c>
      <c r="BM119" s="5">
        <f t="shared" si="346"/>
        <v>300</v>
      </c>
      <c r="BN119" s="5">
        <f t="shared" si="346"/>
        <v>300</v>
      </c>
      <c r="BO119" s="5">
        <f t="shared" si="346"/>
        <v>300</v>
      </c>
      <c r="BP119" s="341">
        <f>BC119</f>
        <v>300</v>
      </c>
      <c r="CE119" s="5" t="s">
        <v>1012</v>
      </c>
      <c r="CF119" s="12" t="s">
        <v>966</v>
      </c>
    </row>
    <row r="120" spans="1:84" s="6" customFormat="1">
      <c r="A120" s="6" t="s">
        <v>610</v>
      </c>
      <c r="B120" s="13"/>
      <c r="C120" s="13"/>
      <c r="P120" s="343"/>
      <c r="AC120" s="343"/>
      <c r="AP120" s="343"/>
      <c r="BC120" s="343"/>
      <c r="BP120" s="343"/>
      <c r="CE120" s="6" t="s">
        <v>1013</v>
      </c>
      <c r="CF120" s="13"/>
    </row>
    <row r="121" spans="1:84" s="6" customFormat="1">
      <c r="A121" s="342" t="s">
        <v>597</v>
      </c>
      <c r="B121" s="12" t="s">
        <v>130</v>
      </c>
      <c r="C121" s="99">
        <v>14</v>
      </c>
      <c r="I121" s="6">
        <v>14</v>
      </c>
      <c r="J121" s="6">
        <f t="shared" ref="J121:O123" si="347">I121</f>
        <v>14</v>
      </c>
      <c r="K121" s="6">
        <f t="shared" si="347"/>
        <v>14</v>
      </c>
      <c r="L121" s="6">
        <f t="shared" si="347"/>
        <v>14</v>
      </c>
      <c r="M121" s="6">
        <f t="shared" si="347"/>
        <v>14</v>
      </c>
      <c r="N121" s="6">
        <f t="shared" si="347"/>
        <v>14</v>
      </c>
      <c r="O121" s="6">
        <f t="shared" si="347"/>
        <v>14</v>
      </c>
      <c r="P121" s="341">
        <f>C121</f>
        <v>14</v>
      </c>
      <c r="Q121" s="6">
        <f>AC121</f>
        <v>14</v>
      </c>
      <c r="R121" s="6">
        <f t="shared" ref="R121:AB121" si="348">Q121</f>
        <v>14</v>
      </c>
      <c r="S121" s="6">
        <f t="shared" si="348"/>
        <v>14</v>
      </c>
      <c r="T121" s="6">
        <f t="shared" si="348"/>
        <v>14</v>
      </c>
      <c r="U121" s="6">
        <f t="shared" si="348"/>
        <v>14</v>
      </c>
      <c r="V121" s="6">
        <f t="shared" si="348"/>
        <v>14</v>
      </c>
      <c r="W121" s="6">
        <f t="shared" si="348"/>
        <v>14</v>
      </c>
      <c r="X121" s="6">
        <f t="shared" si="348"/>
        <v>14</v>
      </c>
      <c r="Y121" s="6">
        <f t="shared" si="348"/>
        <v>14</v>
      </c>
      <c r="Z121" s="6">
        <f t="shared" si="348"/>
        <v>14</v>
      </c>
      <c r="AA121" s="6">
        <f t="shared" si="348"/>
        <v>14</v>
      </c>
      <c r="AB121" s="6">
        <f t="shared" si="348"/>
        <v>14</v>
      </c>
      <c r="AC121" s="341">
        <f>P121</f>
        <v>14</v>
      </c>
      <c r="AD121" s="6">
        <f>AP121</f>
        <v>14</v>
      </c>
      <c r="AE121" s="6">
        <f t="shared" ref="AE121:AO121" si="349">AD121</f>
        <v>14</v>
      </c>
      <c r="AF121" s="6">
        <f t="shared" si="349"/>
        <v>14</v>
      </c>
      <c r="AG121" s="6">
        <f t="shared" si="349"/>
        <v>14</v>
      </c>
      <c r="AH121" s="6">
        <f t="shared" si="349"/>
        <v>14</v>
      </c>
      <c r="AI121" s="6">
        <f t="shared" si="349"/>
        <v>14</v>
      </c>
      <c r="AJ121" s="6">
        <f t="shared" si="349"/>
        <v>14</v>
      </c>
      <c r="AK121" s="6">
        <f t="shared" si="349"/>
        <v>14</v>
      </c>
      <c r="AL121" s="6">
        <f t="shared" si="349"/>
        <v>14</v>
      </c>
      <c r="AM121" s="6">
        <f t="shared" si="349"/>
        <v>14</v>
      </c>
      <c r="AN121" s="6">
        <f t="shared" si="349"/>
        <v>14</v>
      </c>
      <c r="AO121" s="6">
        <f t="shared" si="349"/>
        <v>14</v>
      </c>
      <c r="AP121" s="341">
        <f>AC121</f>
        <v>14</v>
      </c>
      <c r="AQ121" s="6">
        <f>BC121</f>
        <v>14</v>
      </c>
      <c r="AR121" s="6">
        <f t="shared" ref="AR121:BB121" si="350">AQ121</f>
        <v>14</v>
      </c>
      <c r="AS121" s="6">
        <f t="shared" si="350"/>
        <v>14</v>
      </c>
      <c r="AT121" s="6">
        <f t="shared" si="350"/>
        <v>14</v>
      </c>
      <c r="AU121" s="6">
        <f t="shared" si="350"/>
        <v>14</v>
      </c>
      <c r="AV121" s="6">
        <f t="shared" si="350"/>
        <v>14</v>
      </c>
      <c r="AW121" s="6">
        <f t="shared" si="350"/>
        <v>14</v>
      </c>
      <c r="AX121" s="6">
        <f t="shared" si="350"/>
        <v>14</v>
      </c>
      <c r="AY121" s="6">
        <f t="shared" si="350"/>
        <v>14</v>
      </c>
      <c r="AZ121" s="6">
        <f t="shared" si="350"/>
        <v>14</v>
      </c>
      <c r="BA121" s="6">
        <f t="shared" si="350"/>
        <v>14</v>
      </c>
      <c r="BB121" s="6">
        <f t="shared" si="350"/>
        <v>14</v>
      </c>
      <c r="BC121" s="341">
        <f>AP121</f>
        <v>14</v>
      </c>
      <c r="BD121" s="6">
        <f>BP121</f>
        <v>14</v>
      </c>
      <c r="BE121" s="6">
        <f t="shared" ref="BE121:BO121" si="351">BD121</f>
        <v>14</v>
      </c>
      <c r="BF121" s="6">
        <f t="shared" si="351"/>
        <v>14</v>
      </c>
      <c r="BG121" s="6">
        <f t="shared" si="351"/>
        <v>14</v>
      </c>
      <c r="BH121" s="6">
        <f t="shared" si="351"/>
        <v>14</v>
      </c>
      <c r="BI121" s="6">
        <f t="shared" si="351"/>
        <v>14</v>
      </c>
      <c r="BJ121" s="6">
        <f t="shared" si="351"/>
        <v>14</v>
      </c>
      <c r="BK121" s="6">
        <f t="shared" si="351"/>
        <v>14</v>
      </c>
      <c r="BL121" s="6">
        <f t="shared" si="351"/>
        <v>14</v>
      </c>
      <c r="BM121" s="6">
        <f t="shared" si="351"/>
        <v>14</v>
      </c>
      <c r="BN121" s="6">
        <f t="shared" si="351"/>
        <v>14</v>
      </c>
      <c r="BO121" s="6">
        <f t="shared" si="351"/>
        <v>14</v>
      </c>
      <c r="BP121" s="341">
        <f>BC121</f>
        <v>14</v>
      </c>
      <c r="CE121" s="342" t="s">
        <v>1014</v>
      </c>
      <c r="CF121" s="12" t="s">
        <v>966</v>
      </c>
    </row>
    <row r="122" spans="1:84" s="6" customFormat="1">
      <c r="A122" s="342" t="s">
        <v>609</v>
      </c>
      <c r="B122" s="12" t="s">
        <v>496</v>
      </c>
      <c r="C122" s="99">
        <v>1</v>
      </c>
      <c r="I122" s="6">
        <v>1</v>
      </c>
      <c r="J122" s="6">
        <f t="shared" si="347"/>
        <v>1</v>
      </c>
      <c r="K122" s="6">
        <f t="shared" si="347"/>
        <v>1</v>
      </c>
      <c r="L122" s="6">
        <f t="shared" si="347"/>
        <v>1</v>
      </c>
      <c r="M122" s="6">
        <f t="shared" si="347"/>
        <v>1</v>
      </c>
      <c r="N122" s="6">
        <f t="shared" si="347"/>
        <v>1</v>
      </c>
      <c r="O122" s="6">
        <f t="shared" si="347"/>
        <v>1</v>
      </c>
      <c r="P122" s="341">
        <f>C122</f>
        <v>1</v>
      </c>
      <c r="Q122" s="6">
        <f>AC122</f>
        <v>1</v>
      </c>
      <c r="R122" s="6">
        <f t="shared" ref="R122:AB122" si="352">Q122</f>
        <v>1</v>
      </c>
      <c r="S122" s="6">
        <f t="shared" si="352"/>
        <v>1</v>
      </c>
      <c r="T122" s="6">
        <f t="shared" si="352"/>
        <v>1</v>
      </c>
      <c r="U122" s="6">
        <f t="shared" si="352"/>
        <v>1</v>
      </c>
      <c r="V122" s="6">
        <f t="shared" si="352"/>
        <v>1</v>
      </c>
      <c r="W122" s="6">
        <f t="shared" si="352"/>
        <v>1</v>
      </c>
      <c r="X122" s="6">
        <f t="shared" si="352"/>
        <v>1</v>
      </c>
      <c r="Y122" s="6">
        <f t="shared" si="352"/>
        <v>1</v>
      </c>
      <c r="Z122" s="6">
        <f t="shared" si="352"/>
        <v>1</v>
      </c>
      <c r="AA122" s="6">
        <f t="shared" si="352"/>
        <v>1</v>
      </c>
      <c r="AB122" s="6">
        <f t="shared" si="352"/>
        <v>1</v>
      </c>
      <c r="AC122" s="341">
        <f>P122</f>
        <v>1</v>
      </c>
      <c r="AD122" s="6">
        <f>AP122</f>
        <v>1</v>
      </c>
      <c r="AE122" s="6">
        <f t="shared" ref="AE122:AO122" si="353">AD122</f>
        <v>1</v>
      </c>
      <c r="AF122" s="6">
        <f t="shared" si="353"/>
        <v>1</v>
      </c>
      <c r="AG122" s="6">
        <f t="shared" si="353"/>
        <v>1</v>
      </c>
      <c r="AH122" s="6">
        <f t="shared" si="353"/>
        <v>1</v>
      </c>
      <c r="AI122" s="6">
        <f t="shared" si="353"/>
        <v>1</v>
      </c>
      <c r="AJ122" s="6">
        <f t="shared" si="353"/>
        <v>1</v>
      </c>
      <c r="AK122" s="6">
        <f t="shared" si="353"/>
        <v>1</v>
      </c>
      <c r="AL122" s="6">
        <f t="shared" si="353"/>
        <v>1</v>
      </c>
      <c r="AM122" s="6">
        <f t="shared" si="353"/>
        <v>1</v>
      </c>
      <c r="AN122" s="6">
        <f t="shared" si="353"/>
        <v>1</v>
      </c>
      <c r="AO122" s="6">
        <f t="shared" si="353"/>
        <v>1</v>
      </c>
      <c r="AP122" s="341">
        <f>AC122</f>
        <v>1</v>
      </c>
      <c r="AQ122" s="6">
        <f>BC122</f>
        <v>1</v>
      </c>
      <c r="AR122" s="6">
        <f t="shared" ref="AR122:BB122" si="354">AQ122</f>
        <v>1</v>
      </c>
      <c r="AS122" s="6">
        <f t="shared" si="354"/>
        <v>1</v>
      </c>
      <c r="AT122" s="6">
        <f t="shared" si="354"/>
        <v>1</v>
      </c>
      <c r="AU122" s="6">
        <f t="shared" si="354"/>
        <v>1</v>
      </c>
      <c r="AV122" s="6">
        <f t="shared" si="354"/>
        <v>1</v>
      </c>
      <c r="AW122" s="6">
        <f t="shared" si="354"/>
        <v>1</v>
      </c>
      <c r="AX122" s="6">
        <f t="shared" si="354"/>
        <v>1</v>
      </c>
      <c r="AY122" s="6">
        <f t="shared" si="354"/>
        <v>1</v>
      </c>
      <c r="AZ122" s="6">
        <f t="shared" si="354"/>
        <v>1</v>
      </c>
      <c r="BA122" s="6">
        <f t="shared" si="354"/>
        <v>1</v>
      </c>
      <c r="BB122" s="6">
        <f t="shared" si="354"/>
        <v>1</v>
      </c>
      <c r="BC122" s="341">
        <f>AP122</f>
        <v>1</v>
      </c>
      <c r="BD122" s="6">
        <f>BP122</f>
        <v>1</v>
      </c>
      <c r="BE122" s="6">
        <f t="shared" ref="BE122:BO122" si="355">BD122</f>
        <v>1</v>
      </c>
      <c r="BF122" s="6">
        <f t="shared" si="355"/>
        <v>1</v>
      </c>
      <c r="BG122" s="6">
        <f t="shared" si="355"/>
        <v>1</v>
      </c>
      <c r="BH122" s="6">
        <f t="shared" si="355"/>
        <v>1</v>
      </c>
      <c r="BI122" s="6">
        <f t="shared" si="355"/>
        <v>1</v>
      </c>
      <c r="BJ122" s="6">
        <f t="shared" si="355"/>
        <v>1</v>
      </c>
      <c r="BK122" s="6">
        <f t="shared" si="355"/>
        <v>1</v>
      </c>
      <c r="BL122" s="6">
        <f t="shared" si="355"/>
        <v>1</v>
      </c>
      <c r="BM122" s="6">
        <f t="shared" si="355"/>
        <v>1</v>
      </c>
      <c r="BN122" s="6">
        <f t="shared" si="355"/>
        <v>1</v>
      </c>
      <c r="BO122" s="6">
        <f t="shared" si="355"/>
        <v>1</v>
      </c>
      <c r="BP122" s="341">
        <f>BC122</f>
        <v>1</v>
      </c>
      <c r="CE122" s="342" t="s">
        <v>1015</v>
      </c>
      <c r="CF122" s="12" t="s">
        <v>394</v>
      </c>
    </row>
    <row r="123" spans="1:84" s="6" customFormat="1">
      <c r="A123" s="342" t="s">
        <v>608</v>
      </c>
      <c r="B123" s="12" t="s">
        <v>496</v>
      </c>
      <c r="C123" s="99">
        <v>1</v>
      </c>
      <c r="I123" s="6">
        <v>1</v>
      </c>
      <c r="J123" s="6">
        <f t="shared" si="347"/>
        <v>1</v>
      </c>
      <c r="K123" s="6">
        <f t="shared" si="347"/>
        <v>1</v>
      </c>
      <c r="L123" s="6">
        <f t="shared" si="347"/>
        <v>1</v>
      </c>
      <c r="M123" s="6">
        <f t="shared" si="347"/>
        <v>1</v>
      </c>
      <c r="N123" s="6">
        <f t="shared" si="347"/>
        <v>1</v>
      </c>
      <c r="O123" s="6">
        <f t="shared" si="347"/>
        <v>1</v>
      </c>
      <c r="P123" s="341">
        <f>C123</f>
        <v>1</v>
      </c>
      <c r="Q123" s="6">
        <f>AC123</f>
        <v>1</v>
      </c>
      <c r="R123" s="6">
        <f t="shared" ref="R123:AB123" si="356">Q123</f>
        <v>1</v>
      </c>
      <c r="S123" s="6">
        <f t="shared" si="356"/>
        <v>1</v>
      </c>
      <c r="T123" s="6">
        <f t="shared" si="356"/>
        <v>1</v>
      </c>
      <c r="U123" s="6">
        <f t="shared" si="356"/>
        <v>1</v>
      </c>
      <c r="V123" s="6">
        <f t="shared" si="356"/>
        <v>1</v>
      </c>
      <c r="W123" s="6">
        <f t="shared" si="356"/>
        <v>1</v>
      </c>
      <c r="X123" s="6">
        <f t="shared" si="356"/>
        <v>1</v>
      </c>
      <c r="Y123" s="6">
        <f t="shared" si="356"/>
        <v>1</v>
      </c>
      <c r="Z123" s="6">
        <f t="shared" si="356"/>
        <v>1</v>
      </c>
      <c r="AA123" s="6">
        <f t="shared" si="356"/>
        <v>1</v>
      </c>
      <c r="AB123" s="6">
        <f t="shared" si="356"/>
        <v>1</v>
      </c>
      <c r="AC123" s="341">
        <f>P123</f>
        <v>1</v>
      </c>
      <c r="AD123" s="6">
        <f>AP123</f>
        <v>1</v>
      </c>
      <c r="AE123" s="6">
        <f t="shared" ref="AE123:AO123" si="357">AD123</f>
        <v>1</v>
      </c>
      <c r="AF123" s="6">
        <f t="shared" si="357"/>
        <v>1</v>
      </c>
      <c r="AG123" s="6">
        <f t="shared" si="357"/>
        <v>1</v>
      </c>
      <c r="AH123" s="6">
        <f t="shared" si="357"/>
        <v>1</v>
      </c>
      <c r="AI123" s="6">
        <f t="shared" si="357"/>
        <v>1</v>
      </c>
      <c r="AJ123" s="6">
        <f t="shared" si="357"/>
        <v>1</v>
      </c>
      <c r="AK123" s="6">
        <f t="shared" si="357"/>
        <v>1</v>
      </c>
      <c r="AL123" s="6">
        <f t="shared" si="357"/>
        <v>1</v>
      </c>
      <c r="AM123" s="6">
        <f t="shared" si="357"/>
        <v>1</v>
      </c>
      <c r="AN123" s="6">
        <f t="shared" si="357"/>
        <v>1</v>
      </c>
      <c r="AO123" s="6">
        <f t="shared" si="357"/>
        <v>1</v>
      </c>
      <c r="AP123" s="341">
        <f>AC123</f>
        <v>1</v>
      </c>
      <c r="AQ123" s="6">
        <f>BC123</f>
        <v>1</v>
      </c>
      <c r="AR123" s="6">
        <f t="shared" ref="AR123:BB123" si="358">AQ123</f>
        <v>1</v>
      </c>
      <c r="AS123" s="6">
        <f t="shared" si="358"/>
        <v>1</v>
      </c>
      <c r="AT123" s="6">
        <f t="shared" si="358"/>
        <v>1</v>
      </c>
      <c r="AU123" s="6">
        <f t="shared" si="358"/>
        <v>1</v>
      </c>
      <c r="AV123" s="6">
        <f t="shared" si="358"/>
        <v>1</v>
      </c>
      <c r="AW123" s="6">
        <f t="shared" si="358"/>
        <v>1</v>
      </c>
      <c r="AX123" s="6">
        <f t="shared" si="358"/>
        <v>1</v>
      </c>
      <c r="AY123" s="6">
        <f t="shared" si="358"/>
        <v>1</v>
      </c>
      <c r="AZ123" s="6">
        <f t="shared" si="358"/>
        <v>1</v>
      </c>
      <c r="BA123" s="6">
        <f t="shared" si="358"/>
        <v>1</v>
      </c>
      <c r="BB123" s="6">
        <f t="shared" si="358"/>
        <v>1</v>
      </c>
      <c r="BC123" s="341">
        <f>AP123</f>
        <v>1</v>
      </c>
      <c r="BD123" s="6">
        <f>BP123</f>
        <v>1</v>
      </c>
      <c r="BE123" s="6">
        <f t="shared" ref="BE123:BO123" si="359">BD123</f>
        <v>1</v>
      </c>
      <c r="BF123" s="6">
        <f t="shared" si="359"/>
        <v>1</v>
      </c>
      <c r="BG123" s="6">
        <f t="shared" si="359"/>
        <v>1</v>
      </c>
      <c r="BH123" s="6">
        <f t="shared" si="359"/>
        <v>1</v>
      </c>
      <c r="BI123" s="6">
        <f t="shared" si="359"/>
        <v>1</v>
      </c>
      <c r="BJ123" s="6">
        <f t="shared" si="359"/>
        <v>1</v>
      </c>
      <c r="BK123" s="6">
        <f t="shared" si="359"/>
        <v>1</v>
      </c>
      <c r="BL123" s="6">
        <f t="shared" si="359"/>
        <v>1</v>
      </c>
      <c r="BM123" s="6">
        <f t="shared" si="359"/>
        <v>1</v>
      </c>
      <c r="BN123" s="6">
        <f t="shared" si="359"/>
        <v>1</v>
      </c>
      <c r="BO123" s="6">
        <f t="shared" si="359"/>
        <v>1</v>
      </c>
      <c r="BP123" s="341">
        <f>BC123</f>
        <v>1</v>
      </c>
      <c r="CE123" s="342" t="s">
        <v>1016</v>
      </c>
      <c r="CF123" s="12" t="s">
        <v>394</v>
      </c>
    </row>
    <row r="124" spans="1:84" s="64" customFormat="1">
      <c r="A124" s="64" t="s">
        <v>907</v>
      </c>
      <c r="B124" s="13"/>
      <c r="C124" s="348"/>
      <c r="P124" s="347"/>
      <c r="AC124" s="347"/>
      <c r="AP124" s="347"/>
      <c r="BC124" s="347"/>
      <c r="BP124" s="347"/>
      <c r="CE124" s="64" t="s">
        <v>1017</v>
      </c>
      <c r="CF124" s="13"/>
    </row>
    <row r="125" spans="1:84" s="64" customFormat="1">
      <c r="A125" s="346" t="s">
        <v>607</v>
      </c>
      <c r="B125" s="12" t="s">
        <v>130</v>
      </c>
      <c r="C125" s="345">
        <v>180</v>
      </c>
      <c r="I125" s="64">
        <v>180</v>
      </c>
      <c r="J125" s="64">
        <f t="shared" ref="J125:O131" si="360">I125</f>
        <v>180</v>
      </c>
      <c r="K125" s="64">
        <f t="shared" si="360"/>
        <v>180</v>
      </c>
      <c r="L125" s="64">
        <f t="shared" si="360"/>
        <v>180</v>
      </c>
      <c r="M125" s="64">
        <f t="shared" si="360"/>
        <v>180</v>
      </c>
      <c r="N125" s="64">
        <f t="shared" si="360"/>
        <v>180</v>
      </c>
      <c r="O125" s="64">
        <f t="shared" si="360"/>
        <v>180</v>
      </c>
      <c r="P125" s="344">
        <f t="shared" ref="P125:P131" si="361">C125</f>
        <v>180</v>
      </c>
      <c r="Q125" s="64">
        <f t="shared" ref="Q125:Q131" si="362">AC125</f>
        <v>180</v>
      </c>
      <c r="R125" s="64">
        <f t="shared" ref="R125:AB125" si="363">Q125</f>
        <v>180</v>
      </c>
      <c r="S125" s="64">
        <f t="shared" si="363"/>
        <v>180</v>
      </c>
      <c r="T125" s="64">
        <f t="shared" si="363"/>
        <v>180</v>
      </c>
      <c r="U125" s="64">
        <f t="shared" si="363"/>
        <v>180</v>
      </c>
      <c r="V125" s="64">
        <f t="shared" si="363"/>
        <v>180</v>
      </c>
      <c r="W125" s="64">
        <f t="shared" si="363"/>
        <v>180</v>
      </c>
      <c r="X125" s="64">
        <f t="shared" si="363"/>
        <v>180</v>
      </c>
      <c r="Y125" s="64">
        <f t="shared" si="363"/>
        <v>180</v>
      </c>
      <c r="Z125" s="64">
        <f t="shared" si="363"/>
        <v>180</v>
      </c>
      <c r="AA125" s="64">
        <f t="shared" si="363"/>
        <v>180</v>
      </c>
      <c r="AB125" s="64">
        <f t="shared" si="363"/>
        <v>180</v>
      </c>
      <c r="AC125" s="344">
        <f t="shared" ref="AC125:AC131" si="364">P125</f>
        <v>180</v>
      </c>
      <c r="AD125" s="64">
        <f t="shared" ref="AD125:AD131" si="365">AP125</f>
        <v>180</v>
      </c>
      <c r="AE125" s="64">
        <f t="shared" ref="AE125:AO125" si="366">AD125</f>
        <v>180</v>
      </c>
      <c r="AF125" s="64">
        <f t="shared" si="366"/>
        <v>180</v>
      </c>
      <c r="AG125" s="64">
        <f t="shared" si="366"/>
        <v>180</v>
      </c>
      <c r="AH125" s="64">
        <f t="shared" si="366"/>
        <v>180</v>
      </c>
      <c r="AI125" s="64">
        <f t="shared" si="366"/>
        <v>180</v>
      </c>
      <c r="AJ125" s="64">
        <f t="shared" si="366"/>
        <v>180</v>
      </c>
      <c r="AK125" s="64">
        <f t="shared" si="366"/>
        <v>180</v>
      </c>
      <c r="AL125" s="64">
        <f t="shared" si="366"/>
        <v>180</v>
      </c>
      <c r="AM125" s="64">
        <f t="shared" si="366"/>
        <v>180</v>
      </c>
      <c r="AN125" s="64">
        <f t="shared" si="366"/>
        <v>180</v>
      </c>
      <c r="AO125" s="64">
        <f t="shared" si="366"/>
        <v>180</v>
      </c>
      <c r="AP125" s="344">
        <f t="shared" ref="AP125:AP131" si="367">AC125</f>
        <v>180</v>
      </c>
      <c r="AQ125" s="64">
        <f t="shared" ref="AQ125:AQ131" si="368">BC125</f>
        <v>180</v>
      </c>
      <c r="AR125" s="64">
        <f t="shared" ref="AR125:BB125" si="369">AQ125</f>
        <v>180</v>
      </c>
      <c r="AS125" s="64">
        <f t="shared" si="369"/>
        <v>180</v>
      </c>
      <c r="AT125" s="64">
        <f t="shared" si="369"/>
        <v>180</v>
      </c>
      <c r="AU125" s="64">
        <f t="shared" si="369"/>
        <v>180</v>
      </c>
      <c r="AV125" s="64">
        <f t="shared" si="369"/>
        <v>180</v>
      </c>
      <c r="AW125" s="64">
        <f t="shared" si="369"/>
        <v>180</v>
      </c>
      <c r="AX125" s="64">
        <f t="shared" si="369"/>
        <v>180</v>
      </c>
      <c r="AY125" s="64">
        <f t="shared" si="369"/>
        <v>180</v>
      </c>
      <c r="AZ125" s="64">
        <f t="shared" si="369"/>
        <v>180</v>
      </c>
      <c r="BA125" s="64">
        <f t="shared" si="369"/>
        <v>180</v>
      </c>
      <c r="BB125" s="64">
        <f t="shared" si="369"/>
        <v>180</v>
      </c>
      <c r="BC125" s="344">
        <f t="shared" ref="BC125:BC131" si="370">AP125</f>
        <v>180</v>
      </c>
      <c r="BD125" s="64">
        <f t="shared" ref="BD125:BD131" si="371">BP125</f>
        <v>180</v>
      </c>
      <c r="BE125" s="64">
        <f t="shared" ref="BE125:BO125" si="372">BD125</f>
        <v>180</v>
      </c>
      <c r="BF125" s="64">
        <f t="shared" si="372"/>
        <v>180</v>
      </c>
      <c r="BG125" s="64">
        <f t="shared" si="372"/>
        <v>180</v>
      </c>
      <c r="BH125" s="64">
        <f t="shared" si="372"/>
        <v>180</v>
      </c>
      <c r="BI125" s="64">
        <f t="shared" si="372"/>
        <v>180</v>
      </c>
      <c r="BJ125" s="64">
        <f t="shared" si="372"/>
        <v>180</v>
      </c>
      <c r="BK125" s="64">
        <f t="shared" si="372"/>
        <v>180</v>
      </c>
      <c r="BL125" s="64">
        <f t="shared" si="372"/>
        <v>180</v>
      </c>
      <c r="BM125" s="64">
        <f t="shared" si="372"/>
        <v>180</v>
      </c>
      <c r="BN125" s="64">
        <f t="shared" si="372"/>
        <v>180</v>
      </c>
      <c r="BO125" s="64">
        <f t="shared" si="372"/>
        <v>180</v>
      </c>
      <c r="BP125" s="344">
        <f t="shared" ref="BP125:BP131" si="373">BC125</f>
        <v>180</v>
      </c>
      <c r="BQ125" s="64" t="s">
        <v>606</v>
      </c>
      <c r="CE125" s="346" t="s">
        <v>1018</v>
      </c>
      <c r="CF125" s="12" t="s">
        <v>966</v>
      </c>
    </row>
    <row r="126" spans="1:84" s="64" customFormat="1">
      <c r="A126" s="346" t="s">
        <v>605</v>
      </c>
      <c r="B126" s="12" t="s">
        <v>130</v>
      </c>
      <c r="C126" s="345">
        <v>180</v>
      </c>
      <c r="I126" s="64">
        <v>180</v>
      </c>
      <c r="J126" s="64">
        <f t="shared" si="360"/>
        <v>180</v>
      </c>
      <c r="K126" s="64">
        <f t="shared" si="360"/>
        <v>180</v>
      </c>
      <c r="L126" s="64">
        <f t="shared" si="360"/>
        <v>180</v>
      </c>
      <c r="M126" s="64">
        <f t="shared" si="360"/>
        <v>180</v>
      </c>
      <c r="N126" s="64">
        <f t="shared" si="360"/>
        <v>180</v>
      </c>
      <c r="O126" s="64">
        <f t="shared" si="360"/>
        <v>180</v>
      </c>
      <c r="P126" s="344">
        <f t="shared" si="361"/>
        <v>180</v>
      </c>
      <c r="Q126" s="64">
        <f t="shared" si="362"/>
        <v>180</v>
      </c>
      <c r="R126" s="64">
        <f t="shared" ref="R126:AB126" si="374">Q126</f>
        <v>180</v>
      </c>
      <c r="S126" s="64">
        <f t="shared" si="374"/>
        <v>180</v>
      </c>
      <c r="T126" s="64">
        <f t="shared" si="374"/>
        <v>180</v>
      </c>
      <c r="U126" s="64">
        <f t="shared" si="374"/>
        <v>180</v>
      </c>
      <c r="V126" s="64">
        <f t="shared" si="374"/>
        <v>180</v>
      </c>
      <c r="W126" s="64">
        <f t="shared" si="374"/>
        <v>180</v>
      </c>
      <c r="X126" s="64">
        <f t="shared" si="374"/>
        <v>180</v>
      </c>
      <c r="Y126" s="64">
        <f t="shared" si="374"/>
        <v>180</v>
      </c>
      <c r="Z126" s="64">
        <f t="shared" si="374"/>
        <v>180</v>
      </c>
      <c r="AA126" s="64">
        <f t="shared" si="374"/>
        <v>180</v>
      </c>
      <c r="AB126" s="64">
        <f t="shared" si="374"/>
        <v>180</v>
      </c>
      <c r="AC126" s="344">
        <f t="shared" si="364"/>
        <v>180</v>
      </c>
      <c r="AD126" s="64">
        <f t="shared" si="365"/>
        <v>180</v>
      </c>
      <c r="AE126" s="64">
        <f t="shared" ref="AE126:AO126" si="375">AD126</f>
        <v>180</v>
      </c>
      <c r="AF126" s="64">
        <f t="shared" si="375"/>
        <v>180</v>
      </c>
      <c r="AG126" s="64">
        <f t="shared" si="375"/>
        <v>180</v>
      </c>
      <c r="AH126" s="64">
        <f t="shared" si="375"/>
        <v>180</v>
      </c>
      <c r="AI126" s="64">
        <f t="shared" si="375"/>
        <v>180</v>
      </c>
      <c r="AJ126" s="64">
        <f t="shared" si="375"/>
        <v>180</v>
      </c>
      <c r="AK126" s="64">
        <f t="shared" si="375"/>
        <v>180</v>
      </c>
      <c r="AL126" s="64">
        <f t="shared" si="375"/>
        <v>180</v>
      </c>
      <c r="AM126" s="64">
        <f t="shared" si="375"/>
        <v>180</v>
      </c>
      <c r="AN126" s="64">
        <f t="shared" si="375"/>
        <v>180</v>
      </c>
      <c r="AO126" s="64">
        <f t="shared" si="375"/>
        <v>180</v>
      </c>
      <c r="AP126" s="344">
        <f t="shared" si="367"/>
        <v>180</v>
      </c>
      <c r="AQ126" s="64">
        <f t="shared" si="368"/>
        <v>180</v>
      </c>
      <c r="AR126" s="64">
        <f t="shared" ref="AR126:BB126" si="376">AQ126</f>
        <v>180</v>
      </c>
      <c r="AS126" s="64">
        <f t="shared" si="376"/>
        <v>180</v>
      </c>
      <c r="AT126" s="64">
        <f t="shared" si="376"/>
        <v>180</v>
      </c>
      <c r="AU126" s="64">
        <f t="shared" si="376"/>
        <v>180</v>
      </c>
      <c r="AV126" s="64">
        <f t="shared" si="376"/>
        <v>180</v>
      </c>
      <c r="AW126" s="64">
        <f t="shared" si="376"/>
        <v>180</v>
      </c>
      <c r="AX126" s="64">
        <f t="shared" si="376"/>
        <v>180</v>
      </c>
      <c r="AY126" s="64">
        <f t="shared" si="376"/>
        <v>180</v>
      </c>
      <c r="AZ126" s="64">
        <f t="shared" si="376"/>
        <v>180</v>
      </c>
      <c r="BA126" s="64">
        <f t="shared" si="376"/>
        <v>180</v>
      </c>
      <c r="BB126" s="64">
        <f t="shared" si="376"/>
        <v>180</v>
      </c>
      <c r="BC126" s="344">
        <f t="shared" si="370"/>
        <v>180</v>
      </c>
      <c r="BD126" s="64">
        <f t="shared" si="371"/>
        <v>180</v>
      </c>
      <c r="BE126" s="64">
        <f t="shared" ref="BE126:BO126" si="377">BD126</f>
        <v>180</v>
      </c>
      <c r="BF126" s="64">
        <f t="shared" si="377"/>
        <v>180</v>
      </c>
      <c r="BG126" s="64">
        <f t="shared" si="377"/>
        <v>180</v>
      </c>
      <c r="BH126" s="64">
        <f t="shared" si="377"/>
        <v>180</v>
      </c>
      <c r="BI126" s="64">
        <f t="shared" si="377"/>
        <v>180</v>
      </c>
      <c r="BJ126" s="64">
        <f t="shared" si="377"/>
        <v>180</v>
      </c>
      <c r="BK126" s="64">
        <f t="shared" si="377"/>
        <v>180</v>
      </c>
      <c r="BL126" s="64">
        <f t="shared" si="377"/>
        <v>180</v>
      </c>
      <c r="BM126" s="64">
        <f t="shared" si="377"/>
        <v>180</v>
      </c>
      <c r="BN126" s="64">
        <f t="shared" si="377"/>
        <v>180</v>
      </c>
      <c r="BO126" s="64">
        <f t="shared" si="377"/>
        <v>180</v>
      </c>
      <c r="BP126" s="344">
        <f t="shared" si="373"/>
        <v>180</v>
      </c>
      <c r="CE126" s="346" t="s">
        <v>1019</v>
      </c>
      <c r="CF126" s="12" t="s">
        <v>966</v>
      </c>
    </row>
    <row r="127" spans="1:84" s="64" customFormat="1">
      <c r="A127" s="43" t="s">
        <v>604</v>
      </c>
      <c r="B127" s="12" t="s">
        <v>130</v>
      </c>
      <c r="C127" s="345">
        <f>5*500</f>
        <v>2500</v>
      </c>
      <c r="I127" s="64">
        <v>2500</v>
      </c>
      <c r="J127" s="64">
        <f t="shared" si="360"/>
        <v>2500</v>
      </c>
      <c r="K127" s="64">
        <f t="shared" si="360"/>
        <v>2500</v>
      </c>
      <c r="L127" s="64">
        <f t="shared" si="360"/>
        <v>2500</v>
      </c>
      <c r="M127" s="64">
        <f t="shared" si="360"/>
        <v>2500</v>
      </c>
      <c r="N127" s="64">
        <f t="shared" si="360"/>
        <v>2500</v>
      </c>
      <c r="O127" s="64">
        <f t="shared" si="360"/>
        <v>2500</v>
      </c>
      <c r="P127" s="344">
        <f t="shared" si="361"/>
        <v>2500</v>
      </c>
      <c r="Q127" s="64">
        <f t="shared" si="362"/>
        <v>2500</v>
      </c>
      <c r="R127" s="64">
        <f t="shared" ref="R127:AB127" si="378">Q127</f>
        <v>2500</v>
      </c>
      <c r="S127" s="64">
        <f t="shared" si="378"/>
        <v>2500</v>
      </c>
      <c r="T127" s="64">
        <f t="shared" si="378"/>
        <v>2500</v>
      </c>
      <c r="U127" s="64">
        <f t="shared" si="378"/>
        <v>2500</v>
      </c>
      <c r="V127" s="64">
        <f t="shared" si="378"/>
        <v>2500</v>
      </c>
      <c r="W127" s="64">
        <f t="shared" si="378"/>
        <v>2500</v>
      </c>
      <c r="X127" s="64">
        <f t="shared" si="378"/>
        <v>2500</v>
      </c>
      <c r="Y127" s="64">
        <f t="shared" si="378"/>
        <v>2500</v>
      </c>
      <c r="Z127" s="64">
        <f t="shared" si="378"/>
        <v>2500</v>
      </c>
      <c r="AA127" s="64">
        <f t="shared" si="378"/>
        <v>2500</v>
      </c>
      <c r="AB127" s="64">
        <f t="shared" si="378"/>
        <v>2500</v>
      </c>
      <c r="AC127" s="344">
        <f t="shared" si="364"/>
        <v>2500</v>
      </c>
      <c r="AD127" s="64">
        <f t="shared" si="365"/>
        <v>2500</v>
      </c>
      <c r="AE127" s="64">
        <f t="shared" ref="AE127:AO127" si="379">AD127</f>
        <v>2500</v>
      </c>
      <c r="AF127" s="64">
        <f t="shared" si="379"/>
        <v>2500</v>
      </c>
      <c r="AG127" s="64">
        <f t="shared" si="379"/>
        <v>2500</v>
      </c>
      <c r="AH127" s="64">
        <f t="shared" si="379"/>
        <v>2500</v>
      </c>
      <c r="AI127" s="64">
        <f t="shared" si="379"/>
        <v>2500</v>
      </c>
      <c r="AJ127" s="64">
        <f t="shared" si="379"/>
        <v>2500</v>
      </c>
      <c r="AK127" s="64">
        <f t="shared" si="379"/>
        <v>2500</v>
      </c>
      <c r="AL127" s="64">
        <f t="shared" si="379"/>
        <v>2500</v>
      </c>
      <c r="AM127" s="64">
        <f t="shared" si="379"/>
        <v>2500</v>
      </c>
      <c r="AN127" s="64">
        <f t="shared" si="379"/>
        <v>2500</v>
      </c>
      <c r="AO127" s="64">
        <f t="shared" si="379"/>
        <v>2500</v>
      </c>
      <c r="AP127" s="344">
        <f t="shared" si="367"/>
        <v>2500</v>
      </c>
      <c r="AQ127" s="64">
        <f t="shared" si="368"/>
        <v>2500</v>
      </c>
      <c r="AR127" s="64">
        <f t="shared" ref="AR127:BB127" si="380">AQ127</f>
        <v>2500</v>
      </c>
      <c r="AS127" s="64">
        <f t="shared" si="380"/>
        <v>2500</v>
      </c>
      <c r="AT127" s="64">
        <f t="shared" si="380"/>
        <v>2500</v>
      </c>
      <c r="AU127" s="64">
        <f t="shared" si="380"/>
        <v>2500</v>
      </c>
      <c r="AV127" s="64">
        <f t="shared" si="380"/>
        <v>2500</v>
      </c>
      <c r="AW127" s="64">
        <f t="shared" si="380"/>
        <v>2500</v>
      </c>
      <c r="AX127" s="64">
        <f t="shared" si="380"/>
        <v>2500</v>
      </c>
      <c r="AY127" s="64">
        <f t="shared" si="380"/>
        <v>2500</v>
      </c>
      <c r="AZ127" s="64">
        <f t="shared" si="380"/>
        <v>2500</v>
      </c>
      <c r="BA127" s="64">
        <f t="shared" si="380"/>
        <v>2500</v>
      </c>
      <c r="BB127" s="64">
        <f t="shared" si="380"/>
        <v>2500</v>
      </c>
      <c r="BC127" s="344">
        <f t="shared" si="370"/>
        <v>2500</v>
      </c>
      <c r="BD127" s="64">
        <f t="shared" si="371"/>
        <v>2500</v>
      </c>
      <c r="BE127" s="64">
        <f t="shared" ref="BE127:BO127" si="381">BD127</f>
        <v>2500</v>
      </c>
      <c r="BF127" s="64">
        <f t="shared" si="381"/>
        <v>2500</v>
      </c>
      <c r="BG127" s="64">
        <f t="shared" si="381"/>
        <v>2500</v>
      </c>
      <c r="BH127" s="64">
        <f t="shared" si="381"/>
        <v>2500</v>
      </c>
      <c r="BI127" s="64">
        <f t="shared" si="381"/>
        <v>2500</v>
      </c>
      <c r="BJ127" s="64">
        <f t="shared" si="381"/>
        <v>2500</v>
      </c>
      <c r="BK127" s="64">
        <f t="shared" si="381"/>
        <v>2500</v>
      </c>
      <c r="BL127" s="64">
        <f t="shared" si="381"/>
        <v>2500</v>
      </c>
      <c r="BM127" s="64">
        <f t="shared" si="381"/>
        <v>2500</v>
      </c>
      <c r="BN127" s="64">
        <f t="shared" si="381"/>
        <v>2500</v>
      </c>
      <c r="BO127" s="64">
        <f t="shared" si="381"/>
        <v>2500</v>
      </c>
      <c r="BP127" s="344">
        <f t="shared" si="373"/>
        <v>2500</v>
      </c>
      <c r="BQ127" s="64" t="s">
        <v>603</v>
      </c>
      <c r="CE127" s="43" t="s">
        <v>1020</v>
      </c>
      <c r="CF127" s="12" t="s">
        <v>966</v>
      </c>
    </row>
    <row r="128" spans="1:84" s="6" customFormat="1">
      <c r="A128" s="342" t="s">
        <v>602</v>
      </c>
      <c r="B128" s="12"/>
      <c r="C128" s="99">
        <v>2</v>
      </c>
      <c r="I128" s="6">
        <v>2</v>
      </c>
      <c r="J128" s="6">
        <f t="shared" si="360"/>
        <v>2</v>
      </c>
      <c r="K128" s="6">
        <f t="shared" si="360"/>
        <v>2</v>
      </c>
      <c r="L128" s="6">
        <f t="shared" si="360"/>
        <v>2</v>
      </c>
      <c r="M128" s="6">
        <f t="shared" si="360"/>
        <v>2</v>
      </c>
      <c r="N128" s="6">
        <f t="shared" si="360"/>
        <v>2</v>
      </c>
      <c r="O128" s="6">
        <f t="shared" si="360"/>
        <v>2</v>
      </c>
      <c r="P128" s="341">
        <f t="shared" si="361"/>
        <v>2</v>
      </c>
      <c r="Q128" s="6">
        <f t="shared" si="362"/>
        <v>2</v>
      </c>
      <c r="R128" s="6">
        <f t="shared" ref="R128:AB128" si="382">Q128</f>
        <v>2</v>
      </c>
      <c r="S128" s="6">
        <f t="shared" si="382"/>
        <v>2</v>
      </c>
      <c r="T128" s="6">
        <f t="shared" si="382"/>
        <v>2</v>
      </c>
      <c r="U128" s="6">
        <f t="shared" si="382"/>
        <v>2</v>
      </c>
      <c r="V128" s="6">
        <f t="shared" si="382"/>
        <v>2</v>
      </c>
      <c r="W128" s="6">
        <f t="shared" si="382"/>
        <v>2</v>
      </c>
      <c r="X128" s="6">
        <f t="shared" si="382"/>
        <v>2</v>
      </c>
      <c r="Y128" s="6">
        <f t="shared" si="382"/>
        <v>2</v>
      </c>
      <c r="Z128" s="6">
        <f t="shared" si="382"/>
        <v>2</v>
      </c>
      <c r="AA128" s="6">
        <f t="shared" si="382"/>
        <v>2</v>
      </c>
      <c r="AB128" s="6">
        <f t="shared" si="382"/>
        <v>2</v>
      </c>
      <c r="AC128" s="341">
        <f t="shared" si="364"/>
        <v>2</v>
      </c>
      <c r="AD128" s="6">
        <f t="shared" si="365"/>
        <v>2</v>
      </c>
      <c r="AE128" s="6">
        <f t="shared" ref="AE128:AO128" si="383">AD128</f>
        <v>2</v>
      </c>
      <c r="AF128" s="6">
        <f t="shared" si="383"/>
        <v>2</v>
      </c>
      <c r="AG128" s="6">
        <f t="shared" si="383"/>
        <v>2</v>
      </c>
      <c r="AH128" s="6">
        <f t="shared" si="383"/>
        <v>2</v>
      </c>
      <c r="AI128" s="6">
        <f t="shared" si="383"/>
        <v>2</v>
      </c>
      <c r="AJ128" s="6">
        <f t="shared" si="383"/>
        <v>2</v>
      </c>
      <c r="AK128" s="6">
        <f t="shared" si="383"/>
        <v>2</v>
      </c>
      <c r="AL128" s="6">
        <f t="shared" si="383"/>
        <v>2</v>
      </c>
      <c r="AM128" s="6">
        <f t="shared" si="383"/>
        <v>2</v>
      </c>
      <c r="AN128" s="6">
        <f t="shared" si="383"/>
        <v>2</v>
      </c>
      <c r="AO128" s="6">
        <f t="shared" si="383"/>
        <v>2</v>
      </c>
      <c r="AP128" s="341">
        <f t="shared" si="367"/>
        <v>2</v>
      </c>
      <c r="AQ128" s="6">
        <f t="shared" si="368"/>
        <v>2</v>
      </c>
      <c r="AR128" s="6">
        <f t="shared" ref="AR128:BB128" si="384">AQ128</f>
        <v>2</v>
      </c>
      <c r="AS128" s="6">
        <f t="shared" si="384"/>
        <v>2</v>
      </c>
      <c r="AT128" s="6">
        <f t="shared" si="384"/>
        <v>2</v>
      </c>
      <c r="AU128" s="6">
        <f t="shared" si="384"/>
        <v>2</v>
      </c>
      <c r="AV128" s="6">
        <f t="shared" si="384"/>
        <v>2</v>
      </c>
      <c r="AW128" s="6">
        <f t="shared" si="384"/>
        <v>2</v>
      </c>
      <c r="AX128" s="6">
        <f t="shared" si="384"/>
        <v>2</v>
      </c>
      <c r="AY128" s="6">
        <f t="shared" si="384"/>
        <v>2</v>
      </c>
      <c r="AZ128" s="6">
        <f t="shared" si="384"/>
        <v>2</v>
      </c>
      <c r="BA128" s="6">
        <f t="shared" si="384"/>
        <v>2</v>
      </c>
      <c r="BB128" s="6">
        <f t="shared" si="384"/>
        <v>2</v>
      </c>
      <c r="BC128" s="341">
        <f t="shared" si="370"/>
        <v>2</v>
      </c>
      <c r="BD128" s="6">
        <f t="shared" si="371"/>
        <v>2</v>
      </c>
      <c r="BE128" s="6">
        <f t="shared" ref="BE128:BO128" si="385">BD128</f>
        <v>2</v>
      </c>
      <c r="BF128" s="6">
        <f t="shared" si="385"/>
        <v>2</v>
      </c>
      <c r="BG128" s="6">
        <f t="shared" si="385"/>
        <v>2</v>
      </c>
      <c r="BH128" s="6">
        <f t="shared" si="385"/>
        <v>2</v>
      </c>
      <c r="BI128" s="6">
        <f t="shared" si="385"/>
        <v>2</v>
      </c>
      <c r="BJ128" s="6">
        <f t="shared" si="385"/>
        <v>2</v>
      </c>
      <c r="BK128" s="6">
        <f t="shared" si="385"/>
        <v>2</v>
      </c>
      <c r="BL128" s="6">
        <f t="shared" si="385"/>
        <v>2</v>
      </c>
      <c r="BM128" s="6">
        <f t="shared" si="385"/>
        <v>2</v>
      </c>
      <c r="BN128" s="6">
        <f t="shared" si="385"/>
        <v>2</v>
      </c>
      <c r="BO128" s="6">
        <f t="shared" si="385"/>
        <v>2</v>
      </c>
      <c r="BP128" s="341">
        <f t="shared" si="373"/>
        <v>2</v>
      </c>
      <c r="CE128" s="342" t="s">
        <v>1021</v>
      </c>
      <c r="CF128" s="12"/>
    </row>
    <row r="129" spans="1:84" s="6" customFormat="1">
      <c r="A129" s="5" t="s">
        <v>601</v>
      </c>
      <c r="B129" s="12" t="s">
        <v>130</v>
      </c>
      <c r="C129" s="99">
        <v>2500</v>
      </c>
      <c r="I129" s="6">
        <v>2500</v>
      </c>
      <c r="J129" s="6">
        <f t="shared" si="360"/>
        <v>2500</v>
      </c>
      <c r="K129" s="6">
        <f t="shared" si="360"/>
        <v>2500</v>
      </c>
      <c r="L129" s="6">
        <f t="shared" si="360"/>
        <v>2500</v>
      </c>
      <c r="M129" s="6">
        <f t="shared" si="360"/>
        <v>2500</v>
      </c>
      <c r="N129" s="6">
        <f t="shared" si="360"/>
        <v>2500</v>
      </c>
      <c r="O129" s="6">
        <f t="shared" si="360"/>
        <v>2500</v>
      </c>
      <c r="P129" s="341">
        <f t="shared" si="361"/>
        <v>2500</v>
      </c>
      <c r="Q129" s="6">
        <f t="shared" si="362"/>
        <v>2500</v>
      </c>
      <c r="R129" s="6">
        <f t="shared" ref="R129:AB129" si="386">Q129</f>
        <v>2500</v>
      </c>
      <c r="S129" s="6">
        <f t="shared" si="386"/>
        <v>2500</v>
      </c>
      <c r="T129" s="6">
        <f t="shared" si="386"/>
        <v>2500</v>
      </c>
      <c r="U129" s="6">
        <f t="shared" si="386"/>
        <v>2500</v>
      </c>
      <c r="V129" s="6">
        <f t="shared" si="386"/>
        <v>2500</v>
      </c>
      <c r="W129" s="6">
        <f t="shared" si="386"/>
        <v>2500</v>
      </c>
      <c r="X129" s="6">
        <f t="shared" si="386"/>
        <v>2500</v>
      </c>
      <c r="Y129" s="6">
        <f t="shared" si="386"/>
        <v>2500</v>
      </c>
      <c r="Z129" s="6">
        <f t="shared" si="386"/>
        <v>2500</v>
      </c>
      <c r="AA129" s="6">
        <f t="shared" si="386"/>
        <v>2500</v>
      </c>
      <c r="AB129" s="6">
        <f t="shared" si="386"/>
        <v>2500</v>
      </c>
      <c r="AC129" s="341">
        <f t="shared" si="364"/>
        <v>2500</v>
      </c>
      <c r="AD129" s="6">
        <f t="shared" si="365"/>
        <v>2500</v>
      </c>
      <c r="AE129" s="6">
        <f t="shared" ref="AE129:AO129" si="387">AD129</f>
        <v>2500</v>
      </c>
      <c r="AF129" s="6">
        <f t="shared" si="387"/>
        <v>2500</v>
      </c>
      <c r="AG129" s="6">
        <f t="shared" si="387"/>
        <v>2500</v>
      </c>
      <c r="AH129" s="6">
        <f t="shared" si="387"/>
        <v>2500</v>
      </c>
      <c r="AI129" s="6">
        <f t="shared" si="387"/>
        <v>2500</v>
      </c>
      <c r="AJ129" s="6">
        <f t="shared" si="387"/>
        <v>2500</v>
      </c>
      <c r="AK129" s="6">
        <f t="shared" si="387"/>
        <v>2500</v>
      </c>
      <c r="AL129" s="6">
        <f t="shared" si="387"/>
        <v>2500</v>
      </c>
      <c r="AM129" s="6">
        <f t="shared" si="387"/>
        <v>2500</v>
      </c>
      <c r="AN129" s="6">
        <f t="shared" si="387"/>
        <v>2500</v>
      </c>
      <c r="AO129" s="6">
        <f t="shared" si="387"/>
        <v>2500</v>
      </c>
      <c r="AP129" s="341">
        <f t="shared" si="367"/>
        <v>2500</v>
      </c>
      <c r="AQ129" s="6">
        <f t="shared" si="368"/>
        <v>2500</v>
      </c>
      <c r="AR129" s="6">
        <f t="shared" ref="AR129:BB129" si="388">AQ129</f>
        <v>2500</v>
      </c>
      <c r="AS129" s="6">
        <f t="shared" si="388"/>
        <v>2500</v>
      </c>
      <c r="AT129" s="6">
        <f t="shared" si="388"/>
        <v>2500</v>
      </c>
      <c r="AU129" s="6">
        <f t="shared" si="388"/>
        <v>2500</v>
      </c>
      <c r="AV129" s="6">
        <f t="shared" si="388"/>
        <v>2500</v>
      </c>
      <c r="AW129" s="6">
        <f t="shared" si="388"/>
        <v>2500</v>
      </c>
      <c r="AX129" s="6">
        <f t="shared" si="388"/>
        <v>2500</v>
      </c>
      <c r="AY129" s="6">
        <f t="shared" si="388"/>
        <v>2500</v>
      </c>
      <c r="AZ129" s="6">
        <f t="shared" si="388"/>
        <v>2500</v>
      </c>
      <c r="BA129" s="6">
        <f t="shared" si="388"/>
        <v>2500</v>
      </c>
      <c r="BB129" s="6">
        <f t="shared" si="388"/>
        <v>2500</v>
      </c>
      <c r="BC129" s="341">
        <f t="shared" si="370"/>
        <v>2500</v>
      </c>
      <c r="BD129" s="6">
        <f t="shared" si="371"/>
        <v>2500</v>
      </c>
      <c r="BE129" s="6">
        <f t="shared" ref="BE129:BO129" si="389">BD129</f>
        <v>2500</v>
      </c>
      <c r="BF129" s="6">
        <f t="shared" si="389"/>
        <v>2500</v>
      </c>
      <c r="BG129" s="6">
        <f t="shared" si="389"/>
        <v>2500</v>
      </c>
      <c r="BH129" s="6">
        <f t="shared" si="389"/>
        <v>2500</v>
      </c>
      <c r="BI129" s="6">
        <f t="shared" si="389"/>
        <v>2500</v>
      </c>
      <c r="BJ129" s="6">
        <f t="shared" si="389"/>
        <v>2500</v>
      </c>
      <c r="BK129" s="6">
        <f t="shared" si="389"/>
        <v>2500</v>
      </c>
      <c r="BL129" s="6">
        <f t="shared" si="389"/>
        <v>2500</v>
      </c>
      <c r="BM129" s="6">
        <f t="shared" si="389"/>
        <v>2500</v>
      </c>
      <c r="BN129" s="6">
        <f t="shared" si="389"/>
        <v>2500</v>
      </c>
      <c r="BO129" s="6">
        <f t="shared" si="389"/>
        <v>2500</v>
      </c>
      <c r="BP129" s="341">
        <f t="shared" si="373"/>
        <v>2500</v>
      </c>
      <c r="CE129" s="5" t="s">
        <v>1022</v>
      </c>
      <c r="CF129" s="12" t="s">
        <v>966</v>
      </c>
    </row>
    <row r="130" spans="1:84" s="6" customFormat="1">
      <c r="A130" s="342" t="s">
        <v>600</v>
      </c>
      <c r="B130" s="12"/>
      <c r="C130" s="99">
        <v>1</v>
      </c>
      <c r="I130" s="6">
        <v>1</v>
      </c>
      <c r="J130" s="6">
        <f t="shared" si="360"/>
        <v>1</v>
      </c>
      <c r="K130" s="6">
        <f t="shared" si="360"/>
        <v>1</v>
      </c>
      <c r="L130" s="6">
        <f t="shared" si="360"/>
        <v>1</v>
      </c>
      <c r="M130" s="6">
        <f t="shared" si="360"/>
        <v>1</v>
      </c>
      <c r="N130" s="6">
        <f t="shared" si="360"/>
        <v>1</v>
      </c>
      <c r="O130" s="6">
        <f t="shared" si="360"/>
        <v>1</v>
      </c>
      <c r="P130" s="341">
        <f t="shared" si="361"/>
        <v>1</v>
      </c>
      <c r="Q130" s="6">
        <f t="shared" si="362"/>
        <v>1</v>
      </c>
      <c r="R130" s="6">
        <f t="shared" ref="R130:AB130" si="390">Q130</f>
        <v>1</v>
      </c>
      <c r="S130" s="6">
        <f t="shared" si="390"/>
        <v>1</v>
      </c>
      <c r="T130" s="6">
        <f t="shared" si="390"/>
        <v>1</v>
      </c>
      <c r="U130" s="6">
        <f t="shared" si="390"/>
        <v>1</v>
      </c>
      <c r="V130" s="6">
        <f t="shared" si="390"/>
        <v>1</v>
      </c>
      <c r="W130" s="6">
        <f t="shared" si="390"/>
        <v>1</v>
      </c>
      <c r="X130" s="6">
        <f t="shared" si="390"/>
        <v>1</v>
      </c>
      <c r="Y130" s="6">
        <f t="shared" si="390"/>
        <v>1</v>
      </c>
      <c r="Z130" s="6">
        <f t="shared" si="390"/>
        <v>1</v>
      </c>
      <c r="AA130" s="6">
        <f t="shared" si="390"/>
        <v>1</v>
      </c>
      <c r="AB130" s="6">
        <f t="shared" si="390"/>
        <v>1</v>
      </c>
      <c r="AC130" s="341">
        <f t="shared" si="364"/>
        <v>1</v>
      </c>
      <c r="AD130" s="6">
        <f t="shared" si="365"/>
        <v>1</v>
      </c>
      <c r="AE130" s="6">
        <f t="shared" ref="AE130:AO130" si="391">AD130</f>
        <v>1</v>
      </c>
      <c r="AF130" s="6">
        <f t="shared" si="391"/>
        <v>1</v>
      </c>
      <c r="AG130" s="6">
        <f t="shared" si="391"/>
        <v>1</v>
      </c>
      <c r="AH130" s="6">
        <f t="shared" si="391"/>
        <v>1</v>
      </c>
      <c r="AI130" s="6">
        <f t="shared" si="391"/>
        <v>1</v>
      </c>
      <c r="AJ130" s="6">
        <f t="shared" si="391"/>
        <v>1</v>
      </c>
      <c r="AK130" s="6">
        <f t="shared" si="391"/>
        <v>1</v>
      </c>
      <c r="AL130" s="6">
        <f t="shared" si="391"/>
        <v>1</v>
      </c>
      <c r="AM130" s="6">
        <f t="shared" si="391"/>
        <v>1</v>
      </c>
      <c r="AN130" s="6">
        <f t="shared" si="391"/>
        <v>1</v>
      </c>
      <c r="AO130" s="6">
        <f t="shared" si="391"/>
        <v>1</v>
      </c>
      <c r="AP130" s="341">
        <f t="shared" si="367"/>
        <v>1</v>
      </c>
      <c r="AQ130" s="6">
        <f t="shared" si="368"/>
        <v>1</v>
      </c>
      <c r="AR130" s="6">
        <f t="shared" ref="AR130:BB130" si="392">AQ130</f>
        <v>1</v>
      </c>
      <c r="AS130" s="6">
        <f t="shared" si="392"/>
        <v>1</v>
      </c>
      <c r="AT130" s="6">
        <f t="shared" si="392"/>
        <v>1</v>
      </c>
      <c r="AU130" s="6">
        <f t="shared" si="392"/>
        <v>1</v>
      </c>
      <c r="AV130" s="6">
        <f t="shared" si="392"/>
        <v>1</v>
      </c>
      <c r="AW130" s="6">
        <f t="shared" si="392"/>
        <v>1</v>
      </c>
      <c r="AX130" s="6">
        <f t="shared" si="392"/>
        <v>1</v>
      </c>
      <c r="AY130" s="6">
        <f t="shared" si="392"/>
        <v>1</v>
      </c>
      <c r="AZ130" s="6">
        <f t="shared" si="392"/>
        <v>1</v>
      </c>
      <c r="BA130" s="6">
        <f t="shared" si="392"/>
        <v>1</v>
      </c>
      <c r="BB130" s="6">
        <f t="shared" si="392"/>
        <v>1</v>
      </c>
      <c r="BC130" s="341">
        <f t="shared" si="370"/>
        <v>1</v>
      </c>
      <c r="BD130" s="6">
        <f t="shared" si="371"/>
        <v>1</v>
      </c>
      <c r="BE130" s="6">
        <f t="shared" ref="BE130:BO130" si="393">BD130</f>
        <v>1</v>
      </c>
      <c r="BF130" s="6">
        <f t="shared" si="393"/>
        <v>1</v>
      </c>
      <c r="BG130" s="6">
        <f t="shared" si="393"/>
        <v>1</v>
      </c>
      <c r="BH130" s="6">
        <f t="shared" si="393"/>
        <v>1</v>
      </c>
      <c r="BI130" s="6">
        <f t="shared" si="393"/>
        <v>1</v>
      </c>
      <c r="BJ130" s="6">
        <f t="shared" si="393"/>
        <v>1</v>
      </c>
      <c r="BK130" s="6">
        <f t="shared" si="393"/>
        <v>1</v>
      </c>
      <c r="BL130" s="6">
        <f t="shared" si="393"/>
        <v>1</v>
      </c>
      <c r="BM130" s="6">
        <f t="shared" si="393"/>
        <v>1</v>
      </c>
      <c r="BN130" s="6">
        <f t="shared" si="393"/>
        <v>1</v>
      </c>
      <c r="BO130" s="6">
        <f t="shared" si="393"/>
        <v>1</v>
      </c>
      <c r="BP130" s="341">
        <f t="shared" si="373"/>
        <v>1</v>
      </c>
      <c r="CE130" s="342" t="s">
        <v>1023</v>
      </c>
      <c r="CF130" s="12"/>
    </row>
    <row r="131" spans="1:84" s="6" customFormat="1">
      <c r="A131" s="5" t="s">
        <v>599</v>
      </c>
      <c r="B131" s="12" t="s">
        <v>130</v>
      </c>
      <c r="C131" s="99">
        <v>500</v>
      </c>
      <c r="I131" s="6">
        <v>500</v>
      </c>
      <c r="J131" s="6">
        <f t="shared" si="360"/>
        <v>500</v>
      </c>
      <c r="K131" s="6">
        <f t="shared" si="360"/>
        <v>500</v>
      </c>
      <c r="L131" s="6">
        <f t="shared" si="360"/>
        <v>500</v>
      </c>
      <c r="M131" s="6">
        <f t="shared" si="360"/>
        <v>500</v>
      </c>
      <c r="N131" s="6">
        <f t="shared" si="360"/>
        <v>500</v>
      </c>
      <c r="O131" s="6">
        <f t="shared" si="360"/>
        <v>500</v>
      </c>
      <c r="P131" s="341">
        <f t="shared" si="361"/>
        <v>500</v>
      </c>
      <c r="Q131" s="6">
        <f t="shared" si="362"/>
        <v>500</v>
      </c>
      <c r="R131" s="6">
        <f t="shared" ref="R131:AB131" si="394">Q131</f>
        <v>500</v>
      </c>
      <c r="S131" s="6">
        <f t="shared" si="394"/>
        <v>500</v>
      </c>
      <c r="T131" s="6">
        <f t="shared" si="394"/>
        <v>500</v>
      </c>
      <c r="U131" s="6">
        <f t="shared" si="394"/>
        <v>500</v>
      </c>
      <c r="V131" s="6">
        <f t="shared" si="394"/>
        <v>500</v>
      </c>
      <c r="W131" s="6">
        <f t="shared" si="394"/>
        <v>500</v>
      </c>
      <c r="X131" s="6">
        <f t="shared" si="394"/>
        <v>500</v>
      </c>
      <c r="Y131" s="6">
        <f t="shared" si="394"/>
        <v>500</v>
      </c>
      <c r="Z131" s="6">
        <f t="shared" si="394"/>
        <v>500</v>
      </c>
      <c r="AA131" s="6">
        <f t="shared" si="394"/>
        <v>500</v>
      </c>
      <c r="AB131" s="6">
        <f t="shared" si="394"/>
        <v>500</v>
      </c>
      <c r="AC131" s="341">
        <f t="shared" si="364"/>
        <v>500</v>
      </c>
      <c r="AD131" s="6">
        <f t="shared" si="365"/>
        <v>500</v>
      </c>
      <c r="AE131" s="6">
        <f t="shared" ref="AE131:AO131" si="395">AD131</f>
        <v>500</v>
      </c>
      <c r="AF131" s="6">
        <f t="shared" si="395"/>
        <v>500</v>
      </c>
      <c r="AG131" s="6">
        <f t="shared" si="395"/>
        <v>500</v>
      </c>
      <c r="AH131" s="6">
        <f t="shared" si="395"/>
        <v>500</v>
      </c>
      <c r="AI131" s="6">
        <f t="shared" si="395"/>
        <v>500</v>
      </c>
      <c r="AJ131" s="6">
        <f t="shared" si="395"/>
        <v>500</v>
      </c>
      <c r="AK131" s="6">
        <f t="shared" si="395"/>
        <v>500</v>
      </c>
      <c r="AL131" s="6">
        <f t="shared" si="395"/>
        <v>500</v>
      </c>
      <c r="AM131" s="6">
        <f t="shared" si="395"/>
        <v>500</v>
      </c>
      <c r="AN131" s="6">
        <f t="shared" si="395"/>
        <v>500</v>
      </c>
      <c r="AO131" s="6">
        <f t="shared" si="395"/>
        <v>500</v>
      </c>
      <c r="AP131" s="341">
        <f t="shared" si="367"/>
        <v>500</v>
      </c>
      <c r="AQ131" s="6">
        <f t="shared" si="368"/>
        <v>500</v>
      </c>
      <c r="AR131" s="6">
        <f t="shared" ref="AR131:BB131" si="396">AQ131</f>
        <v>500</v>
      </c>
      <c r="AS131" s="6">
        <f t="shared" si="396"/>
        <v>500</v>
      </c>
      <c r="AT131" s="6">
        <f t="shared" si="396"/>
        <v>500</v>
      </c>
      <c r="AU131" s="6">
        <f t="shared" si="396"/>
        <v>500</v>
      </c>
      <c r="AV131" s="6">
        <f t="shared" si="396"/>
        <v>500</v>
      </c>
      <c r="AW131" s="6">
        <f t="shared" si="396"/>
        <v>500</v>
      </c>
      <c r="AX131" s="6">
        <f t="shared" si="396"/>
        <v>500</v>
      </c>
      <c r="AY131" s="6">
        <f t="shared" si="396"/>
        <v>500</v>
      </c>
      <c r="AZ131" s="6">
        <f t="shared" si="396"/>
        <v>500</v>
      </c>
      <c r="BA131" s="6">
        <f t="shared" si="396"/>
        <v>500</v>
      </c>
      <c r="BB131" s="6">
        <f t="shared" si="396"/>
        <v>500</v>
      </c>
      <c r="BC131" s="341">
        <f t="shared" si="370"/>
        <v>500</v>
      </c>
      <c r="BD131" s="6">
        <f t="shared" si="371"/>
        <v>500</v>
      </c>
      <c r="BE131" s="6">
        <f t="shared" ref="BE131:BO131" si="397">BD131</f>
        <v>500</v>
      </c>
      <c r="BF131" s="6">
        <f t="shared" si="397"/>
        <v>500</v>
      </c>
      <c r="BG131" s="6">
        <f t="shared" si="397"/>
        <v>500</v>
      </c>
      <c r="BH131" s="6">
        <f t="shared" si="397"/>
        <v>500</v>
      </c>
      <c r="BI131" s="6">
        <f t="shared" si="397"/>
        <v>500</v>
      </c>
      <c r="BJ131" s="6">
        <f t="shared" si="397"/>
        <v>500</v>
      </c>
      <c r="BK131" s="6">
        <f t="shared" si="397"/>
        <v>500</v>
      </c>
      <c r="BL131" s="6">
        <f t="shared" si="397"/>
        <v>500</v>
      </c>
      <c r="BM131" s="6">
        <f t="shared" si="397"/>
        <v>500</v>
      </c>
      <c r="BN131" s="6">
        <f t="shared" si="397"/>
        <v>500</v>
      </c>
      <c r="BO131" s="6">
        <f t="shared" si="397"/>
        <v>500</v>
      </c>
      <c r="BP131" s="341">
        <f t="shared" si="373"/>
        <v>500</v>
      </c>
      <c r="CE131" s="5" t="s">
        <v>1024</v>
      </c>
      <c r="CF131" s="12" t="s">
        <v>966</v>
      </c>
    </row>
    <row r="132" spans="1:84" s="6" customFormat="1">
      <c r="A132" s="6" t="s">
        <v>598</v>
      </c>
      <c r="B132" s="12"/>
      <c r="C132" s="13"/>
      <c r="P132" s="343"/>
      <c r="AC132" s="343"/>
      <c r="AP132" s="343"/>
      <c r="BC132" s="343"/>
      <c r="BP132" s="343"/>
      <c r="CE132" s="6" t="s">
        <v>1025</v>
      </c>
      <c r="CF132" s="12"/>
    </row>
    <row r="133" spans="1:84" s="6" customFormat="1">
      <c r="A133" s="342" t="s">
        <v>597</v>
      </c>
      <c r="B133" s="12" t="s">
        <v>130</v>
      </c>
      <c r="C133" s="99">
        <v>14</v>
      </c>
      <c r="I133" s="6">
        <v>14</v>
      </c>
      <c r="J133" s="6">
        <f t="shared" ref="J133:O137" si="398">I133</f>
        <v>14</v>
      </c>
      <c r="K133" s="6">
        <f t="shared" si="398"/>
        <v>14</v>
      </c>
      <c r="L133" s="6">
        <f t="shared" si="398"/>
        <v>14</v>
      </c>
      <c r="M133" s="6">
        <f t="shared" si="398"/>
        <v>14</v>
      </c>
      <c r="N133" s="6">
        <f t="shared" si="398"/>
        <v>14</v>
      </c>
      <c r="O133" s="6">
        <f t="shared" si="398"/>
        <v>14</v>
      </c>
      <c r="P133" s="341">
        <f>C133</f>
        <v>14</v>
      </c>
      <c r="Q133" s="6">
        <f>AC133</f>
        <v>14</v>
      </c>
      <c r="R133" s="6">
        <f t="shared" ref="R133:AB133" si="399">Q133</f>
        <v>14</v>
      </c>
      <c r="S133" s="6">
        <f t="shared" si="399"/>
        <v>14</v>
      </c>
      <c r="T133" s="6">
        <f t="shared" si="399"/>
        <v>14</v>
      </c>
      <c r="U133" s="6">
        <f t="shared" si="399"/>
        <v>14</v>
      </c>
      <c r="V133" s="6">
        <f t="shared" si="399"/>
        <v>14</v>
      </c>
      <c r="W133" s="6">
        <f t="shared" si="399"/>
        <v>14</v>
      </c>
      <c r="X133" s="6">
        <f t="shared" si="399"/>
        <v>14</v>
      </c>
      <c r="Y133" s="6">
        <f t="shared" si="399"/>
        <v>14</v>
      </c>
      <c r="Z133" s="6">
        <f t="shared" si="399"/>
        <v>14</v>
      </c>
      <c r="AA133" s="6">
        <f t="shared" si="399"/>
        <v>14</v>
      </c>
      <c r="AB133" s="6">
        <f t="shared" si="399"/>
        <v>14</v>
      </c>
      <c r="AC133" s="341">
        <f>P133</f>
        <v>14</v>
      </c>
      <c r="AD133" s="6">
        <f>AP133</f>
        <v>14</v>
      </c>
      <c r="AE133" s="6">
        <f t="shared" ref="AE133:AO133" si="400">AD133</f>
        <v>14</v>
      </c>
      <c r="AF133" s="6">
        <f t="shared" si="400"/>
        <v>14</v>
      </c>
      <c r="AG133" s="6">
        <f t="shared" si="400"/>
        <v>14</v>
      </c>
      <c r="AH133" s="6">
        <f t="shared" si="400"/>
        <v>14</v>
      </c>
      <c r="AI133" s="6">
        <f t="shared" si="400"/>
        <v>14</v>
      </c>
      <c r="AJ133" s="6">
        <f t="shared" si="400"/>
        <v>14</v>
      </c>
      <c r="AK133" s="6">
        <f t="shared" si="400"/>
        <v>14</v>
      </c>
      <c r="AL133" s="6">
        <f t="shared" si="400"/>
        <v>14</v>
      </c>
      <c r="AM133" s="6">
        <f t="shared" si="400"/>
        <v>14</v>
      </c>
      <c r="AN133" s="6">
        <f t="shared" si="400"/>
        <v>14</v>
      </c>
      <c r="AO133" s="6">
        <f t="shared" si="400"/>
        <v>14</v>
      </c>
      <c r="AP133" s="341">
        <f>AC133</f>
        <v>14</v>
      </c>
      <c r="AQ133" s="6">
        <f>BC133</f>
        <v>14</v>
      </c>
      <c r="AR133" s="6">
        <f t="shared" ref="AR133:BB133" si="401">AQ133</f>
        <v>14</v>
      </c>
      <c r="AS133" s="6">
        <f t="shared" si="401"/>
        <v>14</v>
      </c>
      <c r="AT133" s="6">
        <f t="shared" si="401"/>
        <v>14</v>
      </c>
      <c r="AU133" s="6">
        <f t="shared" si="401"/>
        <v>14</v>
      </c>
      <c r="AV133" s="6">
        <f t="shared" si="401"/>
        <v>14</v>
      </c>
      <c r="AW133" s="6">
        <f t="shared" si="401"/>
        <v>14</v>
      </c>
      <c r="AX133" s="6">
        <f t="shared" si="401"/>
        <v>14</v>
      </c>
      <c r="AY133" s="6">
        <f t="shared" si="401"/>
        <v>14</v>
      </c>
      <c r="AZ133" s="6">
        <f t="shared" si="401"/>
        <v>14</v>
      </c>
      <c r="BA133" s="6">
        <f t="shared" si="401"/>
        <v>14</v>
      </c>
      <c r="BB133" s="6">
        <f t="shared" si="401"/>
        <v>14</v>
      </c>
      <c r="BC133" s="341">
        <f>AP133</f>
        <v>14</v>
      </c>
      <c r="BD133" s="6">
        <f>BP133</f>
        <v>14</v>
      </c>
      <c r="BE133" s="6">
        <f t="shared" ref="BE133:BO133" si="402">BD133</f>
        <v>14</v>
      </c>
      <c r="BF133" s="6">
        <f t="shared" si="402"/>
        <v>14</v>
      </c>
      <c r="BG133" s="6">
        <f t="shared" si="402"/>
        <v>14</v>
      </c>
      <c r="BH133" s="6">
        <f t="shared" si="402"/>
        <v>14</v>
      </c>
      <c r="BI133" s="6">
        <f t="shared" si="402"/>
        <v>14</v>
      </c>
      <c r="BJ133" s="6">
        <f t="shared" si="402"/>
        <v>14</v>
      </c>
      <c r="BK133" s="6">
        <f t="shared" si="402"/>
        <v>14</v>
      </c>
      <c r="BL133" s="6">
        <f t="shared" si="402"/>
        <v>14</v>
      </c>
      <c r="BM133" s="6">
        <f t="shared" si="402"/>
        <v>14</v>
      </c>
      <c r="BN133" s="6">
        <f t="shared" si="402"/>
        <v>14</v>
      </c>
      <c r="BO133" s="6">
        <f t="shared" si="402"/>
        <v>14</v>
      </c>
      <c r="BP133" s="341">
        <f>BC133</f>
        <v>14</v>
      </c>
      <c r="CE133" s="342" t="s">
        <v>1014</v>
      </c>
      <c r="CF133" s="12" t="s">
        <v>966</v>
      </c>
    </row>
    <row r="134" spans="1:84" s="6" customFormat="1">
      <c r="A134" s="342" t="s">
        <v>596</v>
      </c>
      <c r="B134" s="12" t="s">
        <v>496</v>
      </c>
      <c r="C134" s="99">
        <v>5</v>
      </c>
      <c r="I134" s="6">
        <v>5</v>
      </c>
      <c r="J134" s="6">
        <f t="shared" si="398"/>
        <v>5</v>
      </c>
      <c r="K134" s="6">
        <f t="shared" si="398"/>
        <v>5</v>
      </c>
      <c r="L134" s="6">
        <f t="shared" si="398"/>
        <v>5</v>
      </c>
      <c r="M134" s="6">
        <f t="shared" si="398"/>
        <v>5</v>
      </c>
      <c r="N134" s="6">
        <f t="shared" si="398"/>
        <v>5</v>
      </c>
      <c r="O134" s="6">
        <f t="shared" si="398"/>
        <v>5</v>
      </c>
      <c r="P134" s="341">
        <f>C134</f>
        <v>5</v>
      </c>
      <c r="Q134" s="6">
        <f>AC134</f>
        <v>5</v>
      </c>
      <c r="R134" s="6">
        <f t="shared" ref="R134:AB134" si="403">Q134</f>
        <v>5</v>
      </c>
      <c r="S134" s="6">
        <f t="shared" si="403"/>
        <v>5</v>
      </c>
      <c r="T134" s="6">
        <f t="shared" si="403"/>
        <v>5</v>
      </c>
      <c r="U134" s="6">
        <f t="shared" si="403"/>
        <v>5</v>
      </c>
      <c r="V134" s="6">
        <f t="shared" si="403"/>
        <v>5</v>
      </c>
      <c r="W134" s="6">
        <f t="shared" si="403"/>
        <v>5</v>
      </c>
      <c r="X134" s="6">
        <f t="shared" si="403"/>
        <v>5</v>
      </c>
      <c r="Y134" s="6">
        <f t="shared" si="403"/>
        <v>5</v>
      </c>
      <c r="Z134" s="6">
        <f t="shared" si="403"/>
        <v>5</v>
      </c>
      <c r="AA134" s="6">
        <f t="shared" si="403"/>
        <v>5</v>
      </c>
      <c r="AB134" s="6">
        <f t="shared" si="403"/>
        <v>5</v>
      </c>
      <c r="AC134" s="341">
        <f>P134</f>
        <v>5</v>
      </c>
      <c r="AD134" s="6">
        <f>AP134</f>
        <v>5</v>
      </c>
      <c r="AE134" s="6">
        <f t="shared" ref="AE134:AO134" si="404">AD134</f>
        <v>5</v>
      </c>
      <c r="AF134" s="6">
        <f t="shared" si="404"/>
        <v>5</v>
      </c>
      <c r="AG134" s="6">
        <f t="shared" si="404"/>
        <v>5</v>
      </c>
      <c r="AH134" s="6">
        <f t="shared" si="404"/>
        <v>5</v>
      </c>
      <c r="AI134" s="6">
        <f t="shared" si="404"/>
        <v>5</v>
      </c>
      <c r="AJ134" s="6">
        <f t="shared" si="404"/>
        <v>5</v>
      </c>
      <c r="AK134" s="6">
        <f t="shared" si="404"/>
        <v>5</v>
      </c>
      <c r="AL134" s="6">
        <f t="shared" si="404"/>
        <v>5</v>
      </c>
      <c r="AM134" s="6">
        <f t="shared" si="404"/>
        <v>5</v>
      </c>
      <c r="AN134" s="6">
        <f t="shared" si="404"/>
        <v>5</v>
      </c>
      <c r="AO134" s="6">
        <f t="shared" si="404"/>
        <v>5</v>
      </c>
      <c r="AP134" s="341">
        <f>AC134</f>
        <v>5</v>
      </c>
      <c r="AQ134" s="6">
        <f>BC134</f>
        <v>5</v>
      </c>
      <c r="AR134" s="6">
        <f t="shared" ref="AR134:BB134" si="405">AQ134</f>
        <v>5</v>
      </c>
      <c r="AS134" s="6">
        <f t="shared" si="405"/>
        <v>5</v>
      </c>
      <c r="AT134" s="6">
        <f t="shared" si="405"/>
        <v>5</v>
      </c>
      <c r="AU134" s="6">
        <f t="shared" si="405"/>
        <v>5</v>
      </c>
      <c r="AV134" s="6">
        <f t="shared" si="405"/>
        <v>5</v>
      </c>
      <c r="AW134" s="6">
        <f t="shared" si="405"/>
        <v>5</v>
      </c>
      <c r="AX134" s="6">
        <f t="shared" si="405"/>
        <v>5</v>
      </c>
      <c r="AY134" s="6">
        <f t="shared" si="405"/>
        <v>5</v>
      </c>
      <c r="AZ134" s="6">
        <f t="shared" si="405"/>
        <v>5</v>
      </c>
      <c r="BA134" s="6">
        <f t="shared" si="405"/>
        <v>5</v>
      </c>
      <c r="BB134" s="6">
        <f t="shared" si="405"/>
        <v>5</v>
      </c>
      <c r="BC134" s="341">
        <f>AP134</f>
        <v>5</v>
      </c>
      <c r="BD134" s="6">
        <f>BP134</f>
        <v>5</v>
      </c>
      <c r="BE134" s="6">
        <f t="shared" ref="BE134:BO134" si="406">BD134</f>
        <v>5</v>
      </c>
      <c r="BF134" s="6">
        <f t="shared" si="406"/>
        <v>5</v>
      </c>
      <c r="BG134" s="6">
        <f t="shared" si="406"/>
        <v>5</v>
      </c>
      <c r="BH134" s="6">
        <f t="shared" si="406"/>
        <v>5</v>
      </c>
      <c r="BI134" s="6">
        <f t="shared" si="406"/>
        <v>5</v>
      </c>
      <c r="BJ134" s="6">
        <f t="shared" si="406"/>
        <v>5</v>
      </c>
      <c r="BK134" s="6">
        <f t="shared" si="406"/>
        <v>5</v>
      </c>
      <c r="BL134" s="6">
        <f t="shared" si="406"/>
        <v>5</v>
      </c>
      <c r="BM134" s="6">
        <f t="shared" si="406"/>
        <v>5</v>
      </c>
      <c r="BN134" s="6">
        <f t="shared" si="406"/>
        <v>5</v>
      </c>
      <c r="BO134" s="6">
        <f t="shared" si="406"/>
        <v>5</v>
      </c>
      <c r="BP134" s="341">
        <f>BC134</f>
        <v>5</v>
      </c>
      <c r="CE134" s="342" t="s">
        <v>1026</v>
      </c>
      <c r="CF134" s="12" t="s">
        <v>394</v>
      </c>
    </row>
    <row r="135" spans="1:84" s="68" customFormat="1">
      <c r="A135" s="68" t="s">
        <v>595</v>
      </c>
      <c r="B135" s="295" t="s">
        <v>231</v>
      </c>
      <c r="C135" s="340">
        <v>0</v>
      </c>
      <c r="I135" s="68">
        <v>0</v>
      </c>
      <c r="J135" s="68">
        <f t="shared" si="398"/>
        <v>0</v>
      </c>
      <c r="K135" s="68">
        <f t="shared" si="398"/>
        <v>0</v>
      </c>
      <c r="L135" s="68">
        <f t="shared" si="398"/>
        <v>0</v>
      </c>
      <c r="M135" s="68">
        <f t="shared" si="398"/>
        <v>0</v>
      </c>
      <c r="N135" s="68">
        <f t="shared" si="398"/>
        <v>0</v>
      </c>
      <c r="O135" s="68">
        <f t="shared" si="398"/>
        <v>0</v>
      </c>
      <c r="P135" s="339">
        <f>C135</f>
        <v>0</v>
      </c>
      <c r="Q135" s="68">
        <f>AC135</f>
        <v>0</v>
      </c>
      <c r="R135" s="68">
        <f t="shared" ref="R135:AB135" si="407">Q135</f>
        <v>0</v>
      </c>
      <c r="S135" s="68">
        <f t="shared" si="407"/>
        <v>0</v>
      </c>
      <c r="T135" s="68">
        <f t="shared" si="407"/>
        <v>0</v>
      </c>
      <c r="U135" s="68">
        <f t="shared" si="407"/>
        <v>0</v>
      </c>
      <c r="V135" s="68">
        <f t="shared" si="407"/>
        <v>0</v>
      </c>
      <c r="W135" s="68">
        <f t="shared" si="407"/>
        <v>0</v>
      </c>
      <c r="X135" s="68">
        <f t="shared" si="407"/>
        <v>0</v>
      </c>
      <c r="Y135" s="68">
        <f t="shared" si="407"/>
        <v>0</v>
      </c>
      <c r="Z135" s="68">
        <f t="shared" si="407"/>
        <v>0</v>
      </c>
      <c r="AA135" s="68">
        <f t="shared" si="407"/>
        <v>0</v>
      </c>
      <c r="AB135" s="68">
        <f t="shared" si="407"/>
        <v>0</v>
      </c>
      <c r="AC135" s="339">
        <f>P135</f>
        <v>0</v>
      </c>
      <c r="AD135" s="68">
        <f>AP135</f>
        <v>0</v>
      </c>
      <c r="AE135" s="68">
        <f t="shared" ref="AE135:AO135" si="408">AD135</f>
        <v>0</v>
      </c>
      <c r="AF135" s="68">
        <f t="shared" si="408"/>
        <v>0</v>
      </c>
      <c r="AG135" s="68">
        <f t="shared" si="408"/>
        <v>0</v>
      </c>
      <c r="AH135" s="68">
        <f t="shared" si="408"/>
        <v>0</v>
      </c>
      <c r="AI135" s="68">
        <f t="shared" si="408"/>
        <v>0</v>
      </c>
      <c r="AJ135" s="68">
        <f t="shared" si="408"/>
        <v>0</v>
      </c>
      <c r="AK135" s="68">
        <f t="shared" si="408"/>
        <v>0</v>
      </c>
      <c r="AL135" s="68">
        <f t="shared" si="408"/>
        <v>0</v>
      </c>
      <c r="AM135" s="68">
        <f t="shared" si="408"/>
        <v>0</v>
      </c>
      <c r="AN135" s="68">
        <f t="shared" si="408"/>
        <v>0</v>
      </c>
      <c r="AO135" s="68">
        <f t="shared" si="408"/>
        <v>0</v>
      </c>
      <c r="AP135" s="339">
        <f>AC135</f>
        <v>0</v>
      </c>
      <c r="AQ135" s="68">
        <f>BC135</f>
        <v>0</v>
      </c>
      <c r="AR135" s="68">
        <f t="shared" ref="AR135:BB135" si="409">AQ135</f>
        <v>0</v>
      </c>
      <c r="AS135" s="68">
        <f t="shared" si="409"/>
        <v>0</v>
      </c>
      <c r="AT135" s="68">
        <f t="shared" si="409"/>
        <v>0</v>
      </c>
      <c r="AU135" s="68">
        <f t="shared" si="409"/>
        <v>0</v>
      </c>
      <c r="AV135" s="68">
        <f t="shared" si="409"/>
        <v>0</v>
      </c>
      <c r="AW135" s="68">
        <f t="shared" si="409"/>
        <v>0</v>
      </c>
      <c r="AX135" s="68">
        <f t="shared" si="409"/>
        <v>0</v>
      </c>
      <c r="AY135" s="68">
        <f t="shared" si="409"/>
        <v>0</v>
      </c>
      <c r="AZ135" s="68">
        <f t="shared" si="409"/>
        <v>0</v>
      </c>
      <c r="BA135" s="68">
        <f t="shared" si="409"/>
        <v>0</v>
      </c>
      <c r="BB135" s="68">
        <f t="shared" si="409"/>
        <v>0</v>
      </c>
      <c r="BC135" s="339">
        <f>AP135</f>
        <v>0</v>
      </c>
      <c r="BD135" s="68">
        <f>BP135</f>
        <v>0</v>
      </c>
      <c r="BE135" s="68">
        <f t="shared" ref="BE135:BO135" si="410">BD135</f>
        <v>0</v>
      </c>
      <c r="BF135" s="68">
        <f t="shared" si="410"/>
        <v>0</v>
      </c>
      <c r="BG135" s="68">
        <f t="shared" si="410"/>
        <v>0</v>
      </c>
      <c r="BH135" s="68">
        <f t="shared" si="410"/>
        <v>0</v>
      </c>
      <c r="BI135" s="68">
        <f t="shared" si="410"/>
        <v>0</v>
      </c>
      <c r="BJ135" s="68">
        <f t="shared" si="410"/>
        <v>0</v>
      </c>
      <c r="BK135" s="68">
        <f t="shared" si="410"/>
        <v>0</v>
      </c>
      <c r="BL135" s="68">
        <f t="shared" si="410"/>
        <v>0</v>
      </c>
      <c r="BM135" s="68">
        <f t="shared" si="410"/>
        <v>0</v>
      </c>
      <c r="BN135" s="68">
        <f t="shared" si="410"/>
        <v>0</v>
      </c>
      <c r="BO135" s="68">
        <f t="shared" si="410"/>
        <v>0</v>
      </c>
      <c r="BP135" s="339">
        <f>BC135</f>
        <v>0</v>
      </c>
      <c r="CE135" s="68" t="s">
        <v>1027</v>
      </c>
      <c r="CF135" s="295" t="s">
        <v>231</v>
      </c>
    </row>
    <row r="136" spans="1:84" s="68" customFormat="1">
      <c r="A136" s="68" t="s">
        <v>594</v>
      </c>
      <c r="B136" s="295" t="s">
        <v>231</v>
      </c>
      <c r="C136" s="340">
        <v>0</v>
      </c>
      <c r="I136" s="68">
        <v>0</v>
      </c>
      <c r="J136" s="68">
        <f t="shared" si="398"/>
        <v>0</v>
      </c>
      <c r="K136" s="68">
        <f t="shared" si="398"/>
        <v>0</v>
      </c>
      <c r="L136" s="68">
        <f t="shared" si="398"/>
        <v>0</v>
      </c>
      <c r="M136" s="68">
        <f t="shared" si="398"/>
        <v>0</v>
      </c>
      <c r="N136" s="68">
        <f t="shared" si="398"/>
        <v>0</v>
      </c>
      <c r="O136" s="68">
        <f t="shared" si="398"/>
        <v>0</v>
      </c>
      <c r="P136" s="339">
        <f>C136</f>
        <v>0</v>
      </c>
      <c r="Q136" s="68">
        <f>AC136</f>
        <v>0</v>
      </c>
      <c r="R136" s="68">
        <f t="shared" ref="R136:AB136" si="411">Q136</f>
        <v>0</v>
      </c>
      <c r="S136" s="68">
        <f t="shared" si="411"/>
        <v>0</v>
      </c>
      <c r="T136" s="68">
        <f t="shared" si="411"/>
        <v>0</v>
      </c>
      <c r="U136" s="68">
        <f t="shared" si="411"/>
        <v>0</v>
      </c>
      <c r="V136" s="68">
        <f t="shared" si="411"/>
        <v>0</v>
      </c>
      <c r="W136" s="68">
        <f t="shared" si="411"/>
        <v>0</v>
      </c>
      <c r="X136" s="68">
        <f t="shared" si="411"/>
        <v>0</v>
      </c>
      <c r="Y136" s="68">
        <f t="shared" si="411"/>
        <v>0</v>
      </c>
      <c r="Z136" s="68">
        <f t="shared" si="411"/>
        <v>0</v>
      </c>
      <c r="AA136" s="68">
        <f t="shared" si="411"/>
        <v>0</v>
      </c>
      <c r="AB136" s="68">
        <f t="shared" si="411"/>
        <v>0</v>
      </c>
      <c r="AC136" s="339">
        <f>P136</f>
        <v>0</v>
      </c>
      <c r="AD136" s="68">
        <f>AP136</f>
        <v>0</v>
      </c>
      <c r="AE136" s="68">
        <f t="shared" ref="AE136:AO136" si="412">AD136</f>
        <v>0</v>
      </c>
      <c r="AF136" s="68">
        <f t="shared" si="412"/>
        <v>0</v>
      </c>
      <c r="AG136" s="68">
        <f t="shared" si="412"/>
        <v>0</v>
      </c>
      <c r="AH136" s="68">
        <f t="shared" si="412"/>
        <v>0</v>
      </c>
      <c r="AI136" s="68">
        <f t="shared" si="412"/>
        <v>0</v>
      </c>
      <c r="AJ136" s="68">
        <f t="shared" si="412"/>
        <v>0</v>
      </c>
      <c r="AK136" s="68">
        <f t="shared" si="412"/>
        <v>0</v>
      </c>
      <c r="AL136" s="68">
        <f t="shared" si="412"/>
        <v>0</v>
      </c>
      <c r="AM136" s="68">
        <f t="shared" si="412"/>
        <v>0</v>
      </c>
      <c r="AN136" s="68">
        <f t="shared" si="412"/>
        <v>0</v>
      </c>
      <c r="AO136" s="68">
        <f t="shared" si="412"/>
        <v>0</v>
      </c>
      <c r="AP136" s="339">
        <f>AC136</f>
        <v>0</v>
      </c>
      <c r="AQ136" s="68">
        <f>BC136</f>
        <v>0</v>
      </c>
      <c r="AR136" s="68">
        <f t="shared" ref="AR136:BB136" si="413">AQ136</f>
        <v>0</v>
      </c>
      <c r="AS136" s="68">
        <f t="shared" si="413"/>
        <v>0</v>
      </c>
      <c r="AT136" s="68">
        <f t="shared" si="413"/>
        <v>0</v>
      </c>
      <c r="AU136" s="68">
        <f t="shared" si="413"/>
        <v>0</v>
      </c>
      <c r="AV136" s="68">
        <f t="shared" si="413"/>
        <v>0</v>
      </c>
      <c r="AW136" s="68">
        <f t="shared" si="413"/>
        <v>0</v>
      </c>
      <c r="AX136" s="68">
        <f t="shared" si="413"/>
        <v>0</v>
      </c>
      <c r="AY136" s="68">
        <f t="shared" si="413"/>
        <v>0</v>
      </c>
      <c r="AZ136" s="68">
        <f t="shared" si="413"/>
        <v>0</v>
      </c>
      <c r="BA136" s="68">
        <f t="shared" si="413"/>
        <v>0</v>
      </c>
      <c r="BB136" s="68">
        <f t="shared" si="413"/>
        <v>0</v>
      </c>
      <c r="BC136" s="339">
        <f>AP136</f>
        <v>0</v>
      </c>
      <c r="BD136" s="68">
        <f>BP136</f>
        <v>0</v>
      </c>
      <c r="BE136" s="68">
        <f t="shared" ref="BE136:BO136" si="414">BD136</f>
        <v>0</v>
      </c>
      <c r="BF136" s="68">
        <f t="shared" si="414"/>
        <v>0</v>
      </c>
      <c r="BG136" s="68">
        <f t="shared" si="414"/>
        <v>0</v>
      </c>
      <c r="BH136" s="68">
        <f t="shared" si="414"/>
        <v>0</v>
      </c>
      <c r="BI136" s="68">
        <f t="shared" si="414"/>
        <v>0</v>
      </c>
      <c r="BJ136" s="68">
        <f t="shared" si="414"/>
        <v>0</v>
      </c>
      <c r="BK136" s="68">
        <f t="shared" si="414"/>
        <v>0</v>
      </c>
      <c r="BL136" s="68">
        <f t="shared" si="414"/>
        <v>0</v>
      </c>
      <c r="BM136" s="68">
        <f t="shared" si="414"/>
        <v>0</v>
      </c>
      <c r="BN136" s="68">
        <f t="shared" si="414"/>
        <v>0</v>
      </c>
      <c r="BO136" s="68">
        <f t="shared" si="414"/>
        <v>0</v>
      </c>
      <c r="BP136" s="339">
        <f>BC136</f>
        <v>0</v>
      </c>
      <c r="CE136" s="68" t="s">
        <v>1028</v>
      </c>
      <c r="CF136" s="295" t="s">
        <v>231</v>
      </c>
    </row>
    <row r="137" spans="1:84" s="68" customFormat="1">
      <c r="A137" s="68" t="s">
        <v>593</v>
      </c>
      <c r="B137" s="295" t="s">
        <v>231</v>
      </c>
      <c r="C137" s="340">
        <v>0.01</v>
      </c>
      <c r="I137" s="68">
        <v>0.01</v>
      </c>
      <c r="J137" s="68">
        <f t="shared" si="398"/>
        <v>0.01</v>
      </c>
      <c r="K137" s="68">
        <f t="shared" si="398"/>
        <v>0.01</v>
      </c>
      <c r="L137" s="68">
        <f t="shared" si="398"/>
        <v>0.01</v>
      </c>
      <c r="M137" s="68">
        <f t="shared" si="398"/>
        <v>0.01</v>
      </c>
      <c r="N137" s="68">
        <f t="shared" si="398"/>
        <v>0.01</v>
      </c>
      <c r="O137" s="68">
        <f t="shared" si="398"/>
        <v>0.01</v>
      </c>
      <c r="P137" s="339">
        <f>C137</f>
        <v>0.01</v>
      </c>
      <c r="Q137" s="68">
        <f>AC137</f>
        <v>8.0000000000000002E-3</v>
      </c>
      <c r="R137" s="68">
        <f t="shared" ref="R137:AB137" si="415">Q137</f>
        <v>8.0000000000000002E-3</v>
      </c>
      <c r="S137" s="68">
        <f t="shared" si="415"/>
        <v>8.0000000000000002E-3</v>
      </c>
      <c r="T137" s="68">
        <f t="shared" si="415"/>
        <v>8.0000000000000002E-3</v>
      </c>
      <c r="U137" s="68">
        <f t="shared" si="415"/>
        <v>8.0000000000000002E-3</v>
      </c>
      <c r="V137" s="68">
        <f t="shared" si="415"/>
        <v>8.0000000000000002E-3</v>
      </c>
      <c r="W137" s="68">
        <f t="shared" si="415"/>
        <v>8.0000000000000002E-3</v>
      </c>
      <c r="X137" s="68">
        <f t="shared" si="415"/>
        <v>8.0000000000000002E-3</v>
      </c>
      <c r="Y137" s="68">
        <f t="shared" si="415"/>
        <v>8.0000000000000002E-3</v>
      </c>
      <c r="Z137" s="68">
        <f t="shared" si="415"/>
        <v>8.0000000000000002E-3</v>
      </c>
      <c r="AA137" s="68">
        <f t="shared" si="415"/>
        <v>8.0000000000000002E-3</v>
      </c>
      <c r="AB137" s="68">
        <f t="shared" si="415"/>
        <v>8.0000000000000002E-3</v>
      </c>
      <c r="AC137" s="339">
        <f>P137*80%</f>
        <v>8.0000000000000002E-3</v>
      </c>
      <c r="AD137" s="68">
        <f>AP137</f>
        <v>6.4000000000000003E-3</v>
      </c>
      <c r="AE137" s="68">
        <f t="shared" ref="AE137:AO137" si="416">AD137</f>
        <v>6.4000000000000003E-3</v>
      </c>
      <c r="AF137" s="68">
        <f t="shared" si="416"/>
        <v>6.4000000000000003E-3</v>
      </c>
      <c r="AG137" s="68">
        <f t="shared" si="416"/>
        <v>6.4000000000000003E-3</v>
      </c>
      <c r="AH137" s="68">
        <f t="shared" si="416"/>
        <v>6.4000000000000003E-3</v>
      </c>
      <c r="AI137" s="68">
        <f t="shared" si="416"/>
        <v>6.4000000000000003E-3</v>
      </c>
      <c r="AJ137" s="68">
        <f t="shared" si="416"/>
        <v>6.4000000000000003E-3</v>
      </c>
      <c r="AK137" s="68">
        <f t="shared" si="416"/>
        <v>6.4000000000000003E-3</v>
      </c>
      <c r="AL137" s="68">
        <f t="shared" si="416"/>
        <v>6.4000000000000003E-3</v>
      </c>
      <c r="AM137" s="68">
        <f t="shared" si="416"/>
        <v>6.4000000000000003E-3</v>
      </c>
      <c r="AN137" s="68">
        <f t="shared" si="416"/>
        <v>6.4000000000000003E-3</v>
      </c>
      <c r="AO137" s="68">
        <f t="shared" si="416"/>
        <v>6.4000000000000003E-3</v>
      </c>
      <c r="AP137" s="339">
        <f>AC137*80%</f>
        <v>6.4000000000000003E-3</v>
      </c>
      <c r="AQ137" s="68">
        <f>BC137</f>
        <v>5.1200000000000004E-3</v>
      </c>
      <c r="AR137" s="68">
        <f t="shared" ref="AR137:BB137" si="417">AQ137</f>
        <v>5.1200000000000004E-3</v>
      </c>
      <c r="AS137" s="68">
        <f t="shared" si="417"/>
        <v>5.1200000000000004E-3</v>
      </c>
      <c r="AT137" s="68">
        <f t="shared" si="417"/>
        <v>5.1200000000000004E-3</v>
      </c>
      <c r="AU137" s="68">
        <f t="shared" si="417"/>
        <v>5.1200000000000004E-3</v>
      </c>
      <c r="AV137" s="68">
        <f t="shared" si="417"/>
        <v>5.1200000000000004E-3</v>
      </c>
      <c r="AW137" s="68">
        <f t="shared" si="417"/>
        <v>5.1200000000000004E-3</v>
      </c>
      <c r="AX137" s="68">
        <f t="shared" si="417"/>
        <v>5.1200000000000004E-3</v>
      </c>
      <c r="AY137" s="68">
        <f t="shared" si="417"/>
        <v>5.1200000000000004E-3</v>
      </c>
      <c r="AZ137" s="68">
        <f t="shared" si="417"/>
        <v>5.1200000000000004E-3</v>
      </c>
      <c r="BA137" s="68">
        <f t="shared" si="417"/>
        <v>5.1200000000000004E-3</v>
      </c>
      <c r="BB137" s="68">
        <f t="shared" si="417"/>
        <v>5.1200000000000004E-3</v>
      </c>
      <c r="BC137" s="339">
        <f>AP137*80%</f>
        <v>5.1200000000000004E-3</v>
      </c>
      <c r="BD137" s="68">
        <f>BP137</f>
        <v>4.0960000000000007E-3</v>
      </c>
      <c r="BE137" s="68">
        <f t="shared" ref="BE137:BO137" si="418">BD137</f>
        <v>4.0960000000000007E-3</v>
      </c>
      <c r="BF137" s="68">
        <f t="shared" si="418"/>
        <v>4.0960000000000007E-3</v>
      </c>
      <c r="BG137" s="68">
        <f t="shared" si="418"/>
        <v>4.0960000000000007E-3</v>
      </c>
      <c r="BH137" s="68">
        <f t="shared" si="418"/>
        <v>4.0960000000000007E-3</v>
      </c>
      <c r="BI137" s="68">
        <f t="shared" si="418"/>
        <v>4.0960000000000007E-3</v>
      </c>
      <c r="BJ137" s="68">
        <f t="shared" si="418"/>
        <v>4.0960000000000007E-3</v>
      </c>
      <c r="BK137" s="68">
        <f t="shared" si="418"/>
        <v>4.0960000000000007E-3</v>
      </c>
      <c r="BL137" s="68">
        <f t="shared" si="418"/>
        <v>4.0960000000000007E-3</v>
      </c>
      <c r="BM137" s="68">
        <f t="shared" si="418"/>
        <v>4.0960000000000007E-3</v>
      </c>
      <c r="BN137" s="68">
        <f t="shared" si="418"/>
        <v>4.0960000000000007E-3</v>
      </c>
      <c r="BO137" s="68">
        <f t="shared" si="418"/>
        <v>4.0960000000000007E-3</v>
      </c>
      <c r="BP137" s="339">
        <f>BC137*80%</f>
        <v>4.0960000000000007E-3</v>
      </c>
      <c r="CE137" s="68" t="s">
        <v>1029</v>
      </c>
      <c r="CF137" s="295" t="s">
        <v>231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79998168889431442"/>
    <outlinePr summaryBelow="0"/>
  </sheetPr>
  <dimension ref="A1:CG112"/>
  <sheetViews>
    <sheetView showGridLines="0" zoomScaleNormal="100" workbookViewId="0">
      <pane xSplit="2" ySplit="2" topLeftCell="P55" activePane="bottomRight" state="frozen"/>
      <selection activeCell="B132" sqref="B132"/>
      <selection pane="topRight" activeCell="B132" sqref="B132"/>
      <selection pane="bottomLeft" activeCell="B132" sqref="B132"/>
      <selection pane="bottomRight"/>
    </sheetView>
  </sheetViews>
  <sheetFormatPr defaultColWidth="9.109375" defaultRowHeight="13.8" outlineLevelRow="1" outlineLevelCol="1"/>
  <cols>
    <col min="1" max="1" width="62.33203125" style="4" customWidth="1"/>
    <col min="2" max="2" width="9.109375" style="6"/>
    <col min="3" max="3" width="9.109375" style="4"/>
    <col min="4" max="15" width="10.6640625" style="4" hidden="1" customWidth="1" outlineLevel="1"/>
    <col min="16" max="16" width="10.6640625" style="4" customWidth="1" collapsed="1"/>
    <col min="17" max="28" width="10.6640625" style="4" hidden="1" customWidth="1" outlineLevel="1"/>
    <col min="29" max="29" width="10.6640625" style="4" customWidth="1" collapsed="1"/>
    <col min="30" max="41" width="10.6640625" style="4" hidden="1" customWidth="1" outlineLevel="1"/>
    <col min="42" max="42" width="10.6640625" style="4" customWidth="1" collapsed="1"/>
    <col min="43" max="54" width="10.6640625" style="4" hidden="1" customWidth="1" outlineLevel="1"/>
    <col min="55" max="55" width="10.6640625" style="4" customWidth="1" collapsed="1"/>
    <col min="56" max="67" width="10.6640625" style="4" hidden="1" customWidth="1" outlineLevel="1"/>
    <col min="68" max="68" width="10.6640625" style="4" customWidth="1" collapsed="1"/>
    <col min="69" max="82" width="0" style="4" hidden="1" customWidth="1"/>
    <col min="83" max="83" width="9.109375" style="4"/>
    <col min="84" max="84" width="62.33203125" style="4" customWidth="1"/>
    <col min="85" max="85" width="9.109375" style="6"/>
    <col min="86" max="16384" width="9.109375" style="4"/>
  </cols>
  <sheetData>
    <row r="1" spans="1:85" s="13" customFormat="1" ht="10.199999999999999">
      <c r="D1" s="13">
        <v>31</v>
      </c>
      <c r="E1" s="13">
        <v>28</v>
      </c>
      <c r="F1" s="13">
        <v>31</v>
      </c>
      <c r="G1" s="13">
        <v>30</v>
      </c>
      <c r="H1" s="13">
        <v>31</v>
      </c>
      <c r="I1" s="13">
        <v>30</v>
      </c>
      <c r="J1" s="13">
        <v>31</v>
      </c>
      <c r="K1" s="13">
        <v>31</v>
      </c>
      <c r="L1" s="13">
        <v>30</v>
      </c>
      <c r="M1" s="13">
        <v>31</v>
      </c>
      <c r="N1" s="13">
        <v>30</v>
      </c>
      <c r="O1" s="13">
        <v>31</v>
      </c>
      <c r="P1" s="429">
        <f>SUM(D1:O1)</f>
        <v>365</v>
      </c>
      <c r="Q1" s="13">
        <v>31</v>
      </c>
      <c r="R1" s="13">
        <v>28</v>
      </c>
      <c r="S1" s="13">
        <v>31</v>
      </c>
      <c r="T1" s="13">
        <v>30</v>
      </c>
      <c r="U1" s="13">
        <v>31</v>
      </c>
      <c r="V1" s="13">
        <v>30</v>
      </c>
      <c r="W1" s="13">
        <v>31</v>
      </c>
      <c r="X1" s="13">
        <v>31</v>
      </c>
      <c r="Y1" s="13">
        <v>30</v>
      </c>
      <c r="Z1" s="13">
        <v>31</v>
      </c>
      <c r="AA1" s="13">
        <v>30</v>
      </c>
      <c r="AB1" s="13">
        <v>31</v>
      </c>
      <c r="AC1" s="429">
        <f>SUM(Q1:AB1)</f>
        <v>365</v>
      </c>
      <c r="AD1" s="13">
        <v>31</v>
      </c>
      <c r="AE1" s="13">
        <v>28</v>
      </c>
      <c r="AF1" s="13">
        <v>31</v>
      </c>
      <c r="AG1" s="13">
        <v>30</v>
      </c>
      <c r="AH1" s="13">
        <v>31</v>
      </c>
      <c r="AI1" s="13">
        <v>30</v>
      </c>
      <c r="AJ1" s="13">
        <v>31</v>
      </c>
      <c r="AK1" s="13">
        <v>31</v>
      </c>
      <c r="AL1" s="13">
        <v>30</v>
      </c>
      <c r="AM1" s="13">
        <v>31</v>
      </c>
      <c r="AN1" s="13">
        <v>30</v>
      </c>
      <c r="AO1" s="13">
        <v>31</v>
      </c>
      <c r="AP1" s="429">
        <f>SUM(AD1:AO1)</f>
        <v>365</v>
      </c>
      <c r="AQ1" s="13">
        <v>31</v>
      </c>
      <c r="AR1" s="13">
        <v>28</v>
      </c>
      <c r="AS1" s="13">
        <v>31</v>
      </c>
      <c r="AT1" s="13">
        <v>30</v>
      </c>
      <c r="AU1" s="13">
        <v>31</v>
      </c>
      <c r="AV1" s="13">
        <v>30</v>
      </c>
      <c r="AW1" s="13">
        <v>31</v>
      </c>
      <c r="AX1" s="13">
        <v>31</v>
      </c>
      <c r="AY1" s="13">
        <v>30</v>
      </c>
      <c r="AZ1" s="13">
        <v>31</v>
      </c>
      <c r="BA1" s="13">
        <v>30</v>
      </c>
      <c r="BB1" s="13">
        <v>31</v>
      </c>
      <c r="BC1" s="429">
        <f>SUM(AQ1:BB1)</f>
        <v>365</v>
      </c>
      <c r="BD1" s="13">
        <v>31</v>
      </c>
      <c r="BE1" s="13">
        <v>28</v>
      </c>
      <c r="BF1" s="13">
        <v>31</v>
      </c>
      <c r="BG1" s="13">
        <v>30</v>
      </c>
      <c r="BH1" s="13">
        <v>31</v>
      </c>
      <c r="BI1" s="13">
        <v>30</v>
      </c>
      <c r="BJ1" s="13">
        <v>31</v>
      </c>
      <c r="BK1" s="13">
        <v>31</v>
      </c>
      <c r="BL1" s="13">
        <v>30</v>
      </c>
      <c r="BM1" s="13">
        <v>31</v>
      </c>
      <c r="BN1" s="13">
        <v>30</v>
      </c>
      <c r="BO1" s="13">
        <v>31</v>
      </c>
      <c r="BP1" s="429">
        <f>SUM(BD1:BO1)</f>
        <v>365</v>
      </c>
    </row>
    <row r="2" spans="1:85" s="1" customFormat="1">
      <c r="A2" s="415"/>
      <c r="B2" s="416" t="s">
        <v>665</v>
      </c>
      <c r="C2" s="428"/>
      <c r="D2" s="415" t="s">
        <v>107</v>
      </c>
      <c r="E2" s="415" t="s">
        <v>135</v>
      </c>
      <c r="F2" s="415" t="s">
        <v>136</v>
      </c>
      <c r="G2" s="415" t="s">
        <v>137</v>
      </c>
      <c r="H2" s="415" t="s">
        <v>138</v>
      </c>
      <c r="I2" s="415" t="s">
        <v>139</v>
      </c>
      <c r="J2" s="415" t="s">
        <v>140</v>
      </c>
      <c r="K2" s="415" t="s">
        <v>141</v>
      </c>
      <c r="L2" s="415" t="s">
        <v>142</v>
      </c>
      <c r="M2" s="415" t="s">
        <v>143</v>
      </c>
      <c r="N2" s="415" t="s">
        <v>144</v>
      </c>
      <c r="O2" s="415" t="s">
        <v>145</v>
      </c>
      <c r="P2" s="414" t="s">
        <v>146</v>
      </c>
      <c r="Q2" s="415" t="s">
        <v>107</v>
      </c>
      <c r="R2" s="415" t="s">
        <v>135</v>
      </c>
      <c r="S2" s="415" t="s">
        <v>136</v>
      </c>
      <c r="T2" s="415" t="s">
        <v>137</v>
      </c>
      <c r="U2" s="415" t="s">
        <v>138</v>
      </c>
      <c r="V2" s="415" t="s">
        <v>139</v>
      </c>
      <c r="W2" s="415" t="s">
        <v>140</v>
      </c>
      <c r="X2" s="415" t="s">
        <v>141</v>
      </c>
      <c r="Y2" s="415" t="s">
        <v>142</v>
      </c>
      <c r="Z2" s="415" t="s">
        <v>143</v>
      </c>
      <c r="AA2" s="415" t="s">
        <v>144</v>
      </c>
      <c r="AB2" s="415" t="s">
        <v>145</v>
      </c>
      <c r="AC2" s="414" t="s">
        <v>151</v>
      </c>
      <c r="AD2" s="415" t="s">
        <v>107</v>
      </c>
      <c r="AE2" s="415" t="s">
        <v>135</v>
      </c>
      <c r="AF2" s="415" t="s">
        <v>136</v>
      </c>
      <c r="AG2" s="415" t="s">
        <v>137</v>
      </c>
      <c r="AH2" s="415" t="s">
        <v>138</v>
      </c>
      <c r="AI2" s="415" t="s">
        <v>139</v>
      </c>
      <c r="AJ2" s="415" t="s">
        <v>140</v>
      </c>
      <c r="AK2" s="415" t="s">
        <v>141</v>
      </c>
      <c r="AL2" s="415" t="s">
        <v>142</v>
      </c>
      <c r="AM2" s="415" t="s">
        <v>143</v>
      </c>
      <c r="AN2" s="415" t="s">
        <v>144</v>
      </c>
      <c r="AO2" s="415" t="s">
        <v>145</v>
      </c>
      <c r="AP2" s="414" t="s">
        <v>152</v>
      </c>
      <c r="AQ2" s="415" t="s">
        <v>107</v>
      </c>
      <c r="AR2" s="415" t="s">
        <v>135</v>
      </c>
      <c r="AS2" s="415" t="s">
        <v>136</v>
      </c>
      <c r="AT2" s="415" t="s">
        <v>137</v>
      </c>
      <c r="AU2" s="415" t="s">
        <v>138</v>
      </c>
      <c r="AV2" s="415" t="s">
        <v>139</v>
      </c>
      <c r="AW2" s="415" t="s">
        <v>140</v>
      </c>
      <c r="AX2" s="415" t="s">
        <v>141</v>
      </c>
      <c r="AY2" s="415" t="s">
        <v>142</v>
      </c>
      <c r="AZ2" s="415" t="s">
        <v>143</v>
      </c>
      <c r="BA2" s="415" t="s">
        <v>144</v>
      </c>
      <c r="BB2" s="415" t="s">
        <v>145</v>
      </c>
      <c r="BC2" s="414" t="s">
        <v>153</v>
      </c>
      <c r="BD2" s="415" t="s">
        <v>107</v>
      </c>
      <c r="BE2" s="415" t="s">
        <v>135</v>
      </c>
      <c r="BF2" s="415" t="s">
        <v>136</v>
      </c>
      <c r="BG2" s="415" t="s">
        <v>137</v>
      </c>
      <c r="BH2" s="415" t="s">
        <v>138</v>
      </c>
      <c r="BI2" s="415" t="s">
        <v>139</v>
      </c>
      <c r="BJ2" s="415" t="s">
        <v>140</v>
      </c>
      <c r="BK2" s="415" t="s">
        <v>141</v>
      </c>
      <c r="BL2" s="415" t="s">
        <v>142</v>
      </c>
      <c r="BM2" s="415" t="s">
        <v>143</v>
      </c>
      <c r="BN2" s="415" t="s">
        <v>144</v>
      </c>
      <c r="BO2" s="415" t="s">
        <v>145</v>
      </c>
      <c r="BP2" s="414" t="s">
        <v>154</v>
      </c>
      <c r="CF2" s="415"/>
      <c r="CG2" s="416"/>
    </row>
    <row r="3" spans="1:85">
      <c r="P3" s="349"/>
      <c r="AC3" s="349"/>
      <c r="AP3" s="349"/>
      <c r="BC3" s="349"/>
      <c r="BP3" s="349"/>
    </row>
    <row r="4" spans="1:85" s="3" customFormat="1">
      <c r="A4" s="3" t="s">
        <v>588</v>
      </c>
      <c r="B4" s="5" t="s">
        <v>245</v>
      </c>
      <c r="D4" s="3">
        <f>P4*D5</f>
        <v>44387.245503999991</v>
      </c>
      <c r="E4" s="3">
        <f>P4*E5</f>
        <v>46980.395109759993</v>
      </c>
      <c r="F4" s="3">
        <f>P4*F5</f>
        <v>49573.544715519987</v>
      </c>
      <c r="G4" s="3">
        <f>P4*G5</f>
        <v>52166.694321279982</v>
      </c>
      <c r="H4" s="3">
        <f>P4*H5</f>
        <v>54759.843927039976</v>
      </c>
      <c r="I4" s="3">
        <f>P4*I5</f>
        <v>57352.993532799977</v>
      </c>
      <c r="J4" s="3">
        <f>P4*J5</f>
        <v>59946.143138559972</v>
      </c>
      <c r="K4" s="3">
        <f>P4*K5</f>
        <v>62539.292744319966</v>
      </c>
      <c r="L4" s="3">
        <f>P4*L5</f>
        <v>65132.442350079968</v>
      </c>
      <c r="M4" s="3">
        <f>P4*M5</f>
        <v>67725.591955839962</v>
      </c>
      <c r="N4" s="3">
        <f>P4*N5</f>
        <v>70318.741561599963</v>
      </c>
      <c r="O4" s="3">
        <f>P4*O5</f>
        <v>69968.315939200227</v>
      </c>
      <c r="P4" s="425">
        <f>Funnel!E37</f>
        <v>700851.24479999999</v>
      </c>
      <c r="Q4" s="3">
        <f>AC4*Q5</f>
        <v>140915.40891733332</v>
      </c>
      <c r="R4" s="3">
        <f>AC4*R5</f>
        <v>149147.83543829332</v>
      </c>
      <c r="S4" s="3">
        <f>AC4*S5</f>
        <v>157380.26195925332</v>
      </c>
      <c r="T4" s="3">
        <f>AC4*T5</f>
        <v>165612.68848021328</v>
      </c>
      <c r="U4" s="3">
        <f>AC4*U5</f>
        <v>173845.11500117328</v>
      </c>
      <c r="V4" s="3">
        <f>AC4*V5</f>
        <v>182077.54152213328</v>
      </c>
      <c r="W4" s="3">
        <f>AC4*W5</f>
        <v>190309.96804309325</v>
      </c>
      <c r="X4" s="3">
        <f>AC4*X5</f>
        <v>198542.39456405325</v>
      </c>
      <c r="Y4" s="3">
        <f>AC4*Y5</f>
        <v>206774.82108501325</v>
      </c>
      <c r="Z4" s="3">
        <f>AC4*Z5</f>
        <v>215007.24760597324</v>
      </c>
      <c r="AA4" s="3">
        <f>AC4*AA5</f>
        <v>223239.67412693321</v>
      </c>
      <c r="AB4" s="3">
        <f>AC4*AB5</f>
        <v>222127.18405653408</v>
      </c>
      <c r="AC4" s="425">
        <f>Funnel!F37</f>
        <v>2224980.1408000002</v>
      </c>
      <c r="AD4" s="3">
        <f>AP4*AD5</f>
        <v>188964.85409919999</v>
      </c>
      <c r="AE4" s="3">
        <f>AP4*AE5</f>
        <v>200004.37978604797</v>
      </c>
      <c r="AF4" s="3">
        <f>AP4*AF5</f>
        <v>211043.90547289597</v>
      </c>
      <c r="AG4" s="3">
        <f>AP4*AG5</f>
        <v>222083.43115974395</v>
      </c>
      <c r="AH4" s="3">
        <f>AP4*AH5</f>
        <v>233122.95684659193</v>
      </c>
      <c r="AI4" s="3">
        <f>AP4*AI5</f>
        <v>244162.48253343994</v>
      </c>
      <c r="AJ4" s="3">
        <f>AP4*AJ5</f>
        <v>255202.00822028791</v>
      </c>
      <c r="AK4" s="3">
        <f>AP4*AK5</f>
        <v>266241.53390713589</v>
      </c>
      <c r="AL4" s="3">
        <f>AP4*AL5</f>
        <v>277281.05959398387</v>
      </c>
      <c r="AM4" s="3">
        <f>AP4*AM5</f>
        <v>288320.58528083185</v>
      </c>
      <c r="AN4" s="3">
        <f>AP4*AN5</f>
        <v>299360.11096767988</v>
      </c>
      <c r="AO4" s="3">
        <f>AP4*AO5</f>
        <v>297868.28317216103</v>
      </c>
      <c r="AP4" s="425">
        <f>Funnel!G37</f>
        <v>2983655.5910400003</v>
      </c>
      <c r="AQ4" s="3">
        <f>BC4*AQ5</f>
        <v>212875.88521567997</v>
      </c>
      <c r="AR4" s="3">
        <f>BC4*AR5</f>
        <v>225312.31850985915</v>
      </c>
      <c r="AS4" s="3">
        <f>BC4*AS5</f>
        <v>237748.75180403833</v>
      </c>
      <c r="AT4" s="3">
        <f>BC4*AT5</f>
        <v>250185.18509821751</v>
      </c>
      <c r="AU4" s="3">
        <f>BC4*AU5</f>
        <v>262621.61839239672</v>
      </c>
      <c r="AV4" s="3">
        <f>BC4*AV5</f>
        <v>275058.05168657587</v>
      </c>
      <c r="AW4" s="3">
        <f>BC4*AW5</f>
        <v>287494.48498075508</v>
      </c>
      <c r="AX4" s="3">
        <f>BC4*AX5</f>
        <v>299930.91827493423</v>
      </c>
      <c r="AY4" s="3">
        <f>BC4*AY5</f>
        <v>312367.35156911344</v>
      </c>
      <c r="AZ4" s="3">
        <f>BC4*AZ5</f>
        <v>324803.78486329259</v>
      </c>
      <c r="BA4" s="3">
        <f>BC4*BA5</f>
        <v>337240.2181574718</v>
      </c>
      <c r="BB4" s="3">
        <f>BC4*BB5</f>
        <v>335559.6190636651</v>
      </c>
      <c r="BC4" s="425">
        <f>Funnel!H37</f>
        <v>3361198.187616</v>
      </c>
      <c r="BD4" s="3">
        <f>BP4*BD5</f>
        <v>243292.58697659196</v>
      </c>
      <c r="BE4" s="3">
        <f>BP4*BE5</f>
        <v>257505.99600522441</v>
      </c>
      <c r="BF4" s="3">
        <f>BP4*BF5</f>
        <v>271719.40503385686</v>
      </c>
      <c r="BG4" s="3">
        <f>BP4*BG5</f>
        <v>285932.81406248931</v>
      </c>
      <c r="BH4" s="3">
        <f>BP4*BH5</f>
        <v>300146.22309112182</v>
      </c>
      <c r="BI4" s="3">
        <f>BP4*BI5</f>
        <v>314359.63211975427</v>
      </c>
      <c r="BJ4" s="3">
        <f>BP4*BJ5</f>
        <v>328573.04114838672</v>
      </c>
      <c r="BK4" s="3">
        <f>BP4*BK5</f>
        <v>342786.45017701917</v>
      </c>
      <c r="BL4" s="3">
        <f>BP4*BL5</f>
        <v>356999.85920565162</v>
      </c>
      <c r="BM4" s="3">
        <f>BP4*BM5</f>
        <v>371213.26823428413</v>
      </c>
      <c r="BN4" s="3">
        <f>BP4*BN5</f>
        <v>385426.67726291658</v>
      </c>
      <c r="BO4" s="3">
        <f>BP4*BO5</f>
        <v>383505.94631310285</v>
      </c>
      <c r="BP4" s="425">
        <f>Funnel!I37</f>
        <v>3841461.8996303999</v>
      </c>
      <c r="CF4" s="3" t="s">
        <v>948</v>
      </c>
      <c r="CG4" s="5" t="s">
        <v>394</v>
      </c>
    </row>
    <row r="5" spans="1:85" s="40" customFormat="1">
      <c r="A5" s="40" t="s">
        <v>155</v>
      </c>
      <c r="B5" s="40" t="s">
        <v>231</v>
      </c>
      <c r="D5" s="40">
        <f>100%/12-2%</f>
        <v>6.3333333333333325E-2</v>
      </c>
      <c r="E5" s="40">
        <f t="shared" ref="E5:N5" si="0">D5+0.37%</f>
        <v>6.703333333333332E-2</v>
      </c>
      <c r="F5" s="40">
        <f t="shared" si="0"/>
        <v>7.0733333333333315E-2</v>
      </c>
      <c r="G5" s="40">
        <f t="shared" si="0"/>
        <v>7.443333333333331E-2</v>
      </c>
      <c r="H5" s="40">
        <f t="shared" si="0"/>
        <v>7.8133333333333305E-2</v>
      </c>
      <c r="I5" s="40">
        <f t="shared" si="0"/>
        <v>8.18333333333333E-2</v>
      </c>
      <c r="J5" s="40">
        <f t="shared" si="0"/>
        <v>8.5533333333333295E-2</v>
      </c>
      <c r="K5" s="40">
        <f t="shared" si="0"/>
        <v>8.923333333333329E-2</v>
      </c>
      <c r="L5" s="40">
        <f t="shared" si="0"/>
        <v>9.2933333333333284E-2</v>
      </c>
      <c r="M5" s="40">
        <f t="shared" si="0"/>
        <v>9.6633333333333279E-2</v>
      </c>
      <c r="N5" s="40">
        <f t="shared" si="0"/>
        <v>0.10033333333333327</v>
      </c>
      <c r="O5" s="40">
        <f>100%-SUM(D5:N5)</f>
        <v>9.9833333333333663E-2</v>
      </c>
      <c r="P5" s="427">
        <f>SUM(D5:O5)</f>
        <v>1</v>
      </c>
      <c r="Q5" s="40">
        <f>100%/12-2%</f>
        <v>6.3333333333333325E-2</v>
      </c>
      <c r="R5" s="40">
        <f t="shared" ref="R5:AA5" si="1">Q5+0.37%</f>
        <v>6.703333333333332E-2</v>
      </c>
      <c r="S5" s="40">
        <f t="shared" si="1"/>
        <v>7.0733333333333315E-2</v>
      </c>
      <c r="T5" s="40">
        <f t="shared" si="1"/>
        <v>7.443333333333331E-2</v>
      </c>
      <c r="U5" s="40">
        <f t="shared" si="1"/>
        <v>7.8133333333333305E-2</v>
      </c>
      <c r="V5" s="40">
        <f t="shared" si="1"/>
        <v>8.18333333333333E-2</v>
      </c>
      <c r="W5" s="40">
        <f t="shared" si="1"/>
        <v>8.5533333333333295E-2</v>
      </c>
      <c r="X5" s="40">
        <f t="shared" si="1"/>
        <v>8.923333333333329E-2</v>
      </c>
      <c r="Y5" s="40">
        <f t="shared" si="1"/>
        <v>9.2933333333333284E-2</v>
      </c>
      <c r="Z5" s="40">
        <f t="shared" si="1"/>
        <v>9.6633333333333279E-2</v>
      </c>
      <c r="AA5" s="40">
        <f t="shared" si="1"/>
        <v>0.10033333333333327</v>
      </c>
      <c r="AB5" s="40">
        <f>100%-SUM(Q5:AA5)</f>
        <v>9.9833333333333663E-2</v>
      </c>
      <c r="AC5" s="427">
        <f>SUM(Q5:AB5)</f>
        <v>1</v>
      </c>
      <c r="AD5" s="40">
        <f>100%/12-2%</f>
        <v>6.3333333333333325E-2</v>
      </c>
      <c r="AE5" s="40">
        <f t="shared" ref="AE5:AN5" si="2">AD5+0.37%</f>
        <v>6.703333333333332E-2</v>
      </c>
      <c r="AF5" s="40">
        <f t="shared" si="2"/>
        <v>7.0733333333333315E-2</v>
      </c>
      <c r="AG5" s="40">
        <f t="shared" si="2"/>
        <v>7.443333333333331E-2</v>
      </c>
      <c r="AH5" s="40">
        <f t="shared" si="2"/>
        <v>7.8133333333333305E-2</v>
      </c>
      <c r="AI5" s="40">
        <f t="shared" si="2"/>
        <v>8.18333333333333E-2</v>
      </c>
      <c r="AJ5" s="40">
        <f t="shared" si="2"/>
        <v>8.5533333333333295E-2</v>
      </c>
      <c r="AK5" s="40">
        <f t="shared" si="2"/>
        <v>8.923333333333329E-2</v>
      </c>
      <c r="AL5" s="40">
        <f t="shared" si="2"/>
        <v>9.2933333333333284E-2</v>
      </c>
      <c r="AM5" s="40">
        <f t="shared" si="2"/>
        <v>9.6633333333333279E-2</v>
      </c>
      <c r="AN5" s="40">
        <f t="shared" si="2"/>
        <v>0.10033333333333327</v>
      </c>
      <c r="AO5" s="40">
        <f>100%-SUM(AD5:AN5)</f>
        <v>9.9833333333333663E-2</v>
      </c>
      <c r="AP5" s="427">
        <f>SUM(AD5:AO5)</f>
        <v>1</v>
      </c>
      <c r="AQ5" s="40">
        <f>100%/12-2%</f>
        <v>6.3333333333333325E-2</v>
      </c>
      <c r="AR5" s="40">
        <f t="shared" ref="AR5:BA5" si="3">AQ5+0.37%</f>
        <v>6.703333333333332E-2</v>
      </c>
      <c r="AS5" s="40">
        <f t="shared" si="3"/>
        <v>7.0733333333333315E-2</v>
      </c>
      <c r="AT5" s="40">
        <f t="shared" si="3"/>
        <v>7.443333333333331E-2</v>
      </c>
      <c r="AU5" s="40">
        <f t="shared" si="3"/>
        <v>7.8133333333333305E-2</v>
      </c>
      <c r="AV5" s="40">
        <f t="shared" si="3"/>
        <v>8.18333333333333E-2</v>
      </c>
      <c r="AW5" s="40">
        <f t="shared" si="3"/>
        <v>8.5533333333333295E-2</v>
      </c>
      <c r="AX5" s="40">
        <f t="shared" si="3"/>
        <v>8.923333333333329E-2</v>
      </c>
      <c r="AY5" s="40">
        <f t="shared" si="3"/>
        <v>9.2933333333333284E-2</v>
      </c>
      <c r="AZ5" s="40">
        <f t="shared" si="3"/>
        <v>9.6633333333333279E-2</v>
      </c>
      <c r="BA5" s="40">
        <f t="shared" si="3"/>
        <v>0.10033333333333327</v>
      </c>
      <c r="BB5" s="40">
        <f>100%-SUM(AQ5:BA5)</f>
        <v>9.9833333333333663E-2</v>
      </c>
      <c r="BC5" s="427">
        <f>SUM(AQ5:BB5)</f>
        <v>1</v>
      </c>
      <c r="BD5" s="40">
        <f>100%/12-2%</f>
        <v>6.3333333333333325E-2</v>
      </c>
      <c r="BE5" s="40">
        <f t="shared" ref="BE5:BN5" si="4">BD5+0.37%</f>
        <v>6.703333333333332E-2</v>
      </c>
      <c r="BF5" s="40">
        <f t="shared" si="4"/>
        <v>7.0733333333333315E-2</v>
      </c>
      <c r="BG5" s="40">
        <f t="shared" si="4"/>
        <v>7.443333333333331E-2</v>
      </c>
      <c r="BH5" s="40">
        <f t="shared" si="4"/>
        <v>7.8133333333333305E-2</v>
      </c>
      <c r="BI5" s="40">
        <f t="shared" si="4"/>
        <v>8.18333333333333E-2</v>
      </c>
      <c r="BJ5" s="40">
        <f t="shared" si="4"/>
        <v>8.5533333333333295E-2</v>
      </c>
      <c r="BK5" s="40">
        <f t="shared" si="4"/>
        <v>8.923333333333329E-2</v>
      </c>
      <c r="BL5" s="40">
        <f t="shared" si="4"/>
        <v>9.2933333333333284E-2</v>
      </c>
      <c r="BM5" s="40">
        <f t="shared" si="4"/>
        <v>9.6633333333333279E-2</v>
      </c>
      <c r="BN5" s="40">
        <f t="shared" si="4"/>
        <v>0.10033333333333327</v>
      </c>
      <c r="BO5" s="40">
        <f>100%-SUM(BD5:BN5)</f>
        <v>9.9833333333333663E-2</v>
      </c>
      <c r="BP5" s="427">
        <f>SUM(BD5:BO5)</f>
        <v>1</v>
      </c>
      <c r="CF5" s="40" t="s">
        <v>1030</v>
      </c>
      <c r="CG5" s="40" t="s">
        <v>231</v>
      </c>
    </row>
    <row r="6" spans="1:85" s="65" customFormat="1">
      <c r="A6" s="76" t="s">
        <v>13</v>
      </c>
      <c r="B6" s="285" t="s">
        <v>231</v>
      </c>
      <c r="C6" s="40"/>
      <c r="J6" s="65">
        <v>0.5</v>
      </c>
      <c r="K6" s="65">
        <f t="shared" ref="K6:O6" si="5">J6</f>
        <v>0.5</v>
      </c>
      <c r="L6" s="65">
        <f t="shared" si="5"/>
        <v>0.5</v>
      </c>
      <c r="M6" s="65">
        <f t="shared" si="5"/>
        <v>0.5</v>
      </c>
      <c r="N6" s="65">
        <f t="shared" si="5"/>
        <v>0.5</v>
      </c>
      <c r="O6" s="65">
        <f t="shared" si="5"/>
        <v>0.5</v>
      </c>
      <c r="P6" s="426">
        <f>Funnel!E38</f>
        <v>0.5</v>
      </c>
      <c r="Q6" s="65">
        <f>AC6</f>
        <v>0.5</v>
      </c>
      <c r="R6" s="65">
        <f t="shared" ref="R6:AB6" si="6">Q6</f>
        <v>0.5</v>
      </c>
      <c r="S6" s="65">
        <f t="shared" si="6"/>
        <v>0.5</v>
      </c>
      <c r="T6" s="65">
        <f t="shared" si="6"/>
        <v>0.5</v>
      </c>
      <c r="U6" s="65">
        <f t="shared" si="6"/>
        <v>0.5</v>
      </c>
      <c r="V6" s="65">
        <f t="shared" si="6"/>
        <v>0.5</v>
      </c>
      <c r="W6" s="65">
        <f t="shared" si="6"/>
        <v>0.5</v>
      </c>
      <c r="X6" s="65">
        <f t="shared" si="6"/>
        <v>0.5</v>
      </c>
      <c r="Y6" s="65">
        <f t="shared" si="6"/>
        <v>0.5</v>
      </c>
      <c r="Z6" s="65">
        <f t="shared" si="6"/>
        <v>0.5</v>
      </c>
      <c r="AA6" s="65">
        <f t="shared" si="6"/>
        <v>0.5</v>
      </c>
      <c r="AB6" s="65">
        <f t="shared" si="6"/>
        <v>0.5</v>
      </c>
      <c r="AC6" s="426">
        <f>Funnel!F38</f>
        <v>0.5</v>
      </c>
      <c r="AD6" s="65">
        <f>AP6</f>
        <v>0.5</v>
      </c>
      <c r="AE6" s="65">
        <f t="shared" ref="AE6:AO6" si="7">AD6</f>
        <v>0.5</v>
      </c>
      <c r="AF6" s="65">
        <f t="shared" si="7"/>
        <v>0.5</v>
      </c>
      <c r="AG6" s="65">
        <f t="shared" si="7"/>
        <v>0.5</v>
      </c>
      <c r="AH6" s="65">
        <f t="shared" si="7"/>
        <v>0.5</v>
      </c>
      <c r="AI6" s="65">
        <f t="shared" si="7"/>
        <v>0.5</v>
      </c>
      <c r="AJ6" s="65">
        <f t="shared" si="7"/>
        <v>0.5</v>
      </c>
      <c r="AK6" s="65">
        <f t="shared" si="7"/>
        <v>0.5</v>
      </c>
      <c r="AL6" s="65">
        <f t="shared" si="7"/>
        <v>0.5</v>
      </c>
      <c r="AM6" s="65">
        <f t="shared" si="7"/>
        <v>0.5</v>
      </c>
      <c r="AN6" s="65">
        <f t="shared" si="7"/>
        <v>0.5</v>
      </c>
      <c r="AO6" s="65">
        <f t="shared" si="7"/>
        <v>0.5</v>
      </c>
      <c r="AP6" s="426">
        <f>Funnel!G38</f>
        <v>0.5</v>
      </c>
      <c r="AQ6" s="65">
        <f>BC6</f>
        <v>0.5</v>
      </c>
      <c r="AR6" s="65">
        <f t="shared" ref="AR6:BB6" si="8">AQ6</f>
        <v>0.5</v>
      </c>
      <c r="AS6" s="65">
        <f t="shared" si="8"/>
        <v>0.5</v>
      </c>
      <c r="AT6" s="65">
        <f t="shared" si="8"/>
        <v>0.5</v>
      </c>
      <c r="AU6" s="65">
        <f t="shared" si="8"/>
        <v>0.5</v>
      </c>
      <c r="AV6" s="65">
        <f t="shared" si="8"/>
        <v>0.5</v>
      </c>
      <c r="AW6" s="65">
        <f t="shared" si="8"/>
        <v>0.5</v>
      </c>
      <c r="AX6" s="65">
        <f t="shared" si="8"/>
        <v>0.5</v>
      </c>
      <c r="AY6" s="65">
        <f t="shared" si="8"/>
        <v>0.5</v>
      </c>
      <c r="AZ6" s="65">
        <f t="shared" si="8"/>
        <v>0.5</v>
      </c>
      <c r="BA6" s="65">
        <f t="shared" si="8"/>
        <v>0.5</v>
      </c>
      <c r="BB6" s="65">
        <f t="shared" si="8"/>
        <v>0.5</v>
      </c>
      <c r="BC6" s="426">
        <f>Funnel!H38</f>
        <v>0.5</v>
      </c>
      <c r="BD6" s="65">
        <f>BP6</f>
        <v>0.5</v>
      </c>
      <c r="BE6" s="65">
        <f t="shared" ref="BE6:BO6" si="9">BD6</f>
        <v>0.5</v>
      </c>
      <c r="BF6" s="65">
        <f t="shared" si="9"/>
        <v>0.5</v>
      </c>
      <c r="BG6" s="65">
        <f t="shared" si="9"/>
        <v>0.5</v>
      </c>
      <c r="BH6" s="65">
        <f t="shared" si="9"/>
        <v>0.5</v>
      </c>
      <c r="BI6" s="65">
        <f t="shared" si="9"/>
        <v>0.5</v>
      </c>
      <c r="BJ6" s="65">
        <f t="shared" si="9"/>
        <v>0.5</v>
      </c>
      <c r="BK6" s="65">
        <f t="shared" si="9"/>
        <v>0.5</v>
      </c>
      <c r="BL6" s="65">
        <f t="shared" si="9"/>
        <v>0.5</v>
      </c>
      <c r="BM6" s="65">
        <f t="shared" si="9"/>
        <v>0.5</v>
      </c>
      <c r="BN6" s="65">
        <f t="shared" si="9"/>
        <v>0.5</v>
      </c>
      <c r="BO6" s="65">
        <f t="shared" si="9"/>
        <v>0.5</v>
      </c>
      <c r="BP6" s="426">
        <f>Funnel!I38</f>
        <v>0.5</v>
      </c>
      <c r="CF6" s="76" t="s">
        <v>13</v>
      </c>
      <c r="CG6" s="285" t="s">
        <v>231</v>
      </c>
    </row>
    <row r="7" spans="1:85" s="3" customFormat="1">
      <c r="A7" s="3" t="s">
        <v>14</v>
      </c>
      <c r="B7" s="5" t="s">
        <v>245</v>
      </c>
      <c r="D7" s="3">
        <f t="shared" ref="D7:O7" si="10">D4*D6</f>
        <v>0</v>
      </c>
      <c r="E7" s="3">
        <f t="shared" si="10"/>
        <v>0</v>
      </c>
      <c r="F7" s="3">
        <f t="shared" si="10"/>
        <v>0</v>
      </c>
      <c r="G7" s="3">
        <f t="shared" si="10"/>
        <v>0</v>
      </c>
      <c r="H7" s="3">
        <f t="shared" si="10"/>
        <v>0</v>
      </c>
      <c r="I7" s="3">
        <f t="shared" si="10"/>
        <v>0</v>
      </c>
      <c r="J7" s="3">
        <f t="shared" si="10"/>
        <v>29973.071569279986</v>
      </c>
      <c r="K7" s="3">
        <f t="shared" si="10"/>
        <v>31269.646372159983</v>
      </c>
      <c r="L7" s="3">
        <f t="shared" si="10"/>
        <v>32566.221175039984</v>
      </c>
      <c r="M7" s="3">
        <f t="shared" si="10"/>
        <v>33862.795977919981</v>
      </c>
      <c r="N7" s="3">
        <f t="shared" si="10"/>
        <v>35159.370780799982</v>
      </c>
      <c r="O7" s="3">
        <f t="shared" si="10"/>
        <v>34984.157969600114</v>
      </c>
      <c r="P7" s="397">
        <f>SUM(D7:O7)</f>
        <v>197815.26384480004</v>
      </c>
      <c r="Q7" s="3">
        <f t="shared" ref="Q7:AB7" si="11">Q4*Q6</f>
        <v>70457.70445866666</v>
      </c>
      <c r="R7" s="3">
        <f t="shared" si="11"/>
        <v>74573.917719146659</v>
      </c>
      <c r="S7" s="3">
        <f t="shared" si="11"/>
        <v>78690.130979626658</v>
      </c>
      <c r="T7" s="3">
        <f t="shared" si="11"/>
        <v>82806.344240106642</v>
      </c>
      <c r="U7" s="3">
        <f t="shared" si="11"/>
        <v>86922.557500586641</v>
      </c>
      <c r="V7" s="3">
        <f t="shared" si="11"/>
        <v>91038.77076106664</v>
      </c>
      <c r="W7" s="3">
        <f t="shared" si="11"/>
        <v>95154.984021546625</v>
      </c>
      <c r="X7" s="3">
        <f t="shared" si="11"/>
        <v>99271.197282026624</v>
      </c>
      <c r="Y7" s="3">
        <f t="shared" si="11"/>
        <v>103387.41054250662</v>
      </c>
      <c r="Z7" s="3">
        <f t="shared" si="11"/>
        <v>107503.62380298662</v>
      </c>
      <c r="AA7" s="3">
        <f t="shared" si="11"/>
        <v>111619.83706346661</v>
      </c>
      <c r="AB7" s="3">
        <f t="shared" si="11"/>
        <v>111063.59202826704</v>
      </c>
      <c r="AC7" s="397">
        <f>SUM(Q7:AB7)</f>
        <v>1112490.0703999999</v>
      </c>
      <c r="AD7" s="3">
        <f t="shared" ref="AD7:AO7" si="12">AD4*AD6</f>
        <v>94482.427049599995</v>
      </c>
      <c r="AE7" s="3">
        <f t="shared" si="12"/>
        <v>100002.18989302398</v>
      </c>
      <c r="AF7" s="3">
        <f t="shared" si="12"/>
        <v>105521.95273644799</v>
      </c>
      <c r="AG7" s="3">
        <f t="shared" si="12"/>
        <v>111041.71557987198</v>
      </c>
      <c r="AH7" s="3">
        <f t="shared" si="12"/>
        <v>116561.47842329596</v>
      </c>
      <c r="AI7" s="3">
        <f t="shared" si="12"/>
        <v>122081.24126671997</v>
      </c>
      <c r="AJ7" s="3">
        <f t="shared" si="12"/>
        <v>127601.00411014396</v>
      </c>
      <c r="AK7" s="3">
        <f t="shared" si="12"/>
        <v>133120.76695356795</v>
      </c>
      <c r="AL7" s="3">
        <f t="shared" si="12"/>
        <v>138640.52979699193</v>
      </c>
      <c r="AM7" s="3">
        <f t="shared" si="12"/>
        <v>144160.29264041592</v>
      </c>
      <c r="AN7" s="3">
        <f t="shared" si="12"/>
        <v>149680.05548383994</v>
      </c>
      <c r="AO7" s="3">
        <f t="shared" si="12"/>
        <v>148934.14158608051</v>
      </c>
      <c r="AP7" s="397">
        <f>SUM(AD7:AO7)</f>
        <v>1491827.7955200002</v>
      </c>
      <c r="AQ7" s="3">
        <f t="shared" ref="AQ7:BB7" si="13">AQ4*AQ6</f>
        <v>106437.94260783998</v>
      </c>
      <c r="AR7" s="3">
        <f t="shared" si="13"/>
        <v>112656.15925492957</v>
      </c>
      <c r="AS7" s="3">
        <f t="shared" si="13"/>
        <v>118874.37590201916</v>
      </c>
      <c r="AT7" s="3">
        <f t="shared" si="13"/>
        <v>125092.59254910875</v>
      </c>
      <c r="AU7" s="3">
        <f t="shared" si="13"/>
        <v>131310.80919619836</v>
      </c>
      <c r="AV7" s="3">
        <f t="shared" si="13"/>
        <v>137529.02584328793</v>
      </c>
      <c r="AW7" s="3">
        <f t="shared" si="13"/>
        <v>143747.24249037754</v>
      </c>
      <c r="AX7" s="3">
        <f t="shared" si="13"/>
        <v>149965.45913746711</v>
      </c>
      <c r="AY7" s="3">
        <f t="shared" si="13"/>
        <v>156183.67578455672</v>
      </c>
      <c r="AZ7" s="3">
        <f t="shared" si="13"/>
        <v>162401.89243164629</v>
      </c>
      <c r="BA7" s="3">
        <f t="shared" si="13"/>
        <v>168620.1090787359</v>
      </c>
      <c r="BB7" s="3">
        <f t="shared" si="13"/>
        <v>167779.80953183255</v>
      </c>
      <c r="BC7" s="397">
        <f>SUM(AQ7:BB7)</f>
        <v>1680599.0938079997</v>
      </c>
      <c r="BD7" s="3">
        <f t="shared" ref="BD7:BO7" si="14">BD4*BD6</f>
        <v>121646.29348829598</v>
      </c>
      <c r="BE7" s="3">
        <f t="shared" si="14"/>
        <v>128752.99800261221</v>
      </c>
      <c r="BF7" s="3">
        <f t="shared" si="14"/>
        <v>135859.70251692843</v>
      </c>
      <c r="BG7" s="3">
        <f t="shared" si="14"/>
        <v>142966.40703124466</v>
      </c>
      <c r="BH7" s="3">
        <f t="shared" si="14"/>
        <v>150073.11154556091</v>
      </c>
      <c r="BI7" s="3">
        <f t="shared" si="14"/>
        <v>157179.81605987714</v>
      </c>
      <c r="BJ7" s="3">
        <f t="shared" si="14"/>
        <v>164286.52057419336</v>
      </c>
      <c r="BK7" s="3">
        <f t="shared" si="14"/>
        <v>171393.22508850959</v>
      </c>
      <c r="BL7" s="3">
        <f t="shared" si="14"/>
        <v>178499.92960282581</v>
      </c>
      <c r="BM7" s="3">
        <f t="shared" si="14"/>
        <v>185606.63411714206</v>
      </c>
      <c r="BN7" s="3">
        <f t="shared" si="14"/>
        <v>192713.33863145829</v>
      </c>
      <c r="BO7" s="3">
        <f t="shared" si="14"/>
        <v>191752.97315655142</v>
      </c>
      <c r="BP7" s="397">
        <f>SUM(BD7:BO7)</f>
        <v>1920730.9498151997</v>
      </c>
      <c r="CF7" s="3" t="s">
        <v>949</v>
      </c>
      <c r="CG7" s="5" t="s">
        <v>394</v>
      </c>
    </row>
    <row r="8" spans="1:85" s="65" customFormat="1">
      <c r="A8" s="76" t="s">
        <v>110</v>
      </c>
      <c r="B8" s="285" t="s">
        <v>231</v>
      </c>
      <c r="C8" s="40"/>
      <c r="D8" s="65">
        <f>P8</f>
        <v>0.3</v>
      </c>
      <c r="E8" s="65">
        <f t="shared" ref="E8:O8" si="15">D8</f>
        <v>0.3</v>
      </c>
      <c r="F8" s="65">
        <f t="shared" si="15"/>
        <v>0.3</v>
      </c>
      <c r="G8" s="65">
        <f t="shared" si="15"/>
        <v>0.3</v>
      </c>
      <c r="H8" s="65">
        <f t="shared" si="15"/>
        <v>0.3</v>
      </c>
      <c r="I8" s="65">
        <f t="shared" si="15"/>
        <v>0.3</v>
      </c>
      <c r="J8" s="65">
        <f t="shared" si="15"/>
        <v>0.3</v>
      </c>
      <c r="K8" s="65">
        <f t="shared" si="15"/>
        <v>0.3</v>
      </c>
      <c r="L8" s="65">
        <f t="shared" si="15"/>
        <v>0.3</v>
      </c>
      <c r="M8" s="65">
        <f t="shared" si="15"/>
        <v>0.3</v>
      </c>
      <c r="N8" s="65">
        <f t="shared" si="15"/>
        <v>0.3</v>
      </c>
      <c r="O8" s="65">
        <f t="shared" si="15"/>
        <v>0.3</v>
      </c>
      <c r="P8" s="426">
        <f>Funnel!E40</f>
        <v>0.3</v>
      </c>
      <c r="Q8" s="65">
        <f>AC8</f>
        <v>0.35</v>
      </c>
      <c r="R8" s="65">
        <f t="shared" ref="R8:AB8" si="16">Q8</f>
        <v>0.35</v>
      </c>
      <c r="S8" s="65">
        <f t="shared" si="16"/>
        <v>0.35</v>
      </c>
      <c r="T8" s="65">
        <f t="shared" si="16"/>
        <v>0.35</v>
      </c>
      <c r="U8" s="65">
        <f t="shared" si="16"/>
        <v>0.35</v>
      </c>
      <c r="V8" s="65">
        <f t="shared" si="16"/>
        <v>0.35</v>
      </c>
      <c r="W8" s="65">
        <f t="shared" si="16"/>
        <v>0.35</v>
      </c>
      <c r="X8" s="65">
        <f t="shared" si="16"/>
        <v>0.35</v>
      </c>
      <c r="Y8" s="65">
        <f t="shared" si="16"/>
        <v>0.35</v>
      </c>
      <c r="Z8" s="65">
        <f t="shared" si="16"/>
        <v>0.35</v>
      </c>
      <c r="AA8" s="65">
        <f t="shared" si="16"/>
        <v>0.35</v>
      </c>
      <c r="AB8" s="65">
        <f t="shared" si="16"/>
        <v>0.35</v>
      </c>
      <c r="AC8" s="426">
        <f>Funnel!F40</f>
        <v>0.35</v>
      </c>
      <c r="AD8" s="65">
        <f>AP8</f>
        <v>0.39999999999999997</v>
      </c>
      <c r="AE8" s="65">
        <f t="shared" ref="AE8:AO8" si="17">AD8</f>
        <v>0.39999999999999997</v>
      </c>
      <c r="AF8" s="65">
        <f t="shared" si="17"/>
        <v>0.39999999999999997</v>
      </c>
      <c r="AG8" s="65">
        <f t="shared" si="17"/>
        <v>0.39999999999999997</v>
      </c>
      <c r="AH8" s="65">
        <f t="shared" si="17"/>
        <v>0.39999999999999997</v>
      </c>
      <c r="AI8" s="65">
        <f t="shared" si="17"/>
        <v>0.39999999999999997</v>
      </c>
      <c r="AJ8" s="65">
        <f t="shared" si="17"/>
        <v>0.39999999999999997</v>
      </c>
      <c r="AK8" s="65">
        <f t="shared" si="17"/>
        <v>0.39999999999999997</v>
      </c>
      <c r="AL8" s="65">
        <f t="shared" si="17"/>
        <v>0.39999999999999997</v>
      </c>
      <c r="AM8" s="65">
        <f t="shared" si="17"/>
        <v>0.39999999999999997</v>
      </c>
      <c r="AN8" s="65">
        <f t="shared" si="17"/>
        <v>0.39999999999999997</v>
      </c>
      <c r="AO8" s="65">
        <f t="shared" si="17"/>
        <v>0.39999999999999997</v>
      </c>
      <c r="AP8" s="426">
        <f>Funnel!G40</f>
        <v>0.39999999999999997</v>
      </c>
      <c r="AQ8" s="65">
        <f>BC8</f>
        <v>0.39999999999999997</v>
      </c>
      <c r="AR8" s="65">
        <f t="shared" ref="AR8:BB8" si="18">AQ8</f>
        <v>0.39999999999999997</v>
      </c>
      <c r="AS8" s="65">
        <f t="shared" si="18"/>
        <v>0.39999999999999997</v>
      </c>
      <c r="AT8" s="65">
        <f t="shared" si="18"/>
        <v>0.39999999999999997</v>
      </c>
      <c r="AU8" s="65">
        <f t="shared" si="18"/>
        <v>0.39999999999999997</v>
      </c>
      <c r="AV8" s="65">
        <f t="shared" si="18"/>
        <v>0.39999999999999997</v>
      </c>
      <c r="AW8" s="65">
        <f t="shared" si="18"/>
        <v>0.39999999999999997</v>
      </c>
      <c r="AX8" s="65">
        <f t="shared" si="18"/>
        <v>0.39999999999999997</v>
      </c>
      <c r="AY8" s="65">
        <f t="shared" si="18"/>
        <v>0.39999999999999997</v>
      </c>
      <c r="AZ8" s="65">
        <f t="shared" si="18"/>
        <v>0.39999999999999997</v>
      </c>
      <c r="BA8" s="65">
        <f t="shared" si="18"/>
        <v>0.39999999999999997</v>
      </c>
      <c r="BB8" s="65">
        <f t="shared" si="18"/>
        <v>0.39999999999999997</v>
      </c>
      <c r="BC8" s="426">
        <f>Funnel!H40</f>
        <v>0.39999999999999997</v>
      </c>
      <c r="BD8" s="65">
        <f>BP8</f>
        <v>0.39999999999999997</v>
      </c>
      <c r="BE8" s="65">
        <f t="shared" ref="BE8:BO8" si="19">BD8</f>
        <v>0.39999999999999997</v>
      </c>
      <c r="BF8" s="65">
        <f t="shared" si="19"/>
        <v>0.39999999999999997</v>
      </c>
      <c r="BG8" s="65">
        <f t="shared" si="19"/>
        <v>0.39999999999999997</v>
      </c>
      <c r="BH8" s="65">
        <f t="shared" si="19"/>
        <v>0.39999999999999997</v>
      </c>
      <c r="BI8" s="65">
        <f t="shared" si="19"/>
        <v>0.39999999999999997</v>
      </c>
      <c r="BJ8" s="65">
        <f t="shared" si="19"/>
        <v>0.39999999999999997</v>
      </c>
      <c r="BK8" s="65">
        <f t="shared" si="19"/>
        <v>0.39999999999999997</v>
      </c>
      <c r="BL8" s="65">
        <f t="shared" si="19"/>
        <v>0.39999999999999997</v>
      </c>
      <c r="BM8" s="65">
        <f t="shared" si="19"/>
        <v>0.39999999999999997</v>
      </c>
      <c r="BN8" s="65">
        <f t="shared" si="19"/>
        <v>0.39999999999999997</v>
      </c>
      <c r="BO8" s="65">
        <f t="shared" si="19"/>
        <v>0.39999999999999997</v>
      </c>
      <c r="BP8" s="426">
        <f>Funnel!I40</f>
        <v>0.39999999999999997</v>
      </c>
      <c r="CF8" s="76" t="s">
        <v>952</v>
      </c>
      <c r="CG8" s="285" t="s">
        <v>231</v>
      </c>
    </row>
    <row r="9" spans="1:85" s="3" customFormat="1">
      <c r="A9" s="3" t="s">
        <v>663</v>
      </c>
      <c r="B9" s="5" t="s">
        <v>496</v>
      </c>
      <c r="D9" s="3">
        <f t="shared" ref="D9:O9" si="20">D7*D8</f>
        <v>0</v>
      </c>
      <c r="E9" s="3">
        <f t="shared" si="20"/>
        <v>0</v>
      </c>
      <c r="F9" s="3">
        <f t="shared" si="20"/>
        <v>0</v>
      </c>
      <c r="G9" s="3">
        <f t="shared" si="20"/>
        <v>0</v>
      </c>
      <c r="H9" s="3">
        <f t="shared" si="20"/>
        <v>0</v>
      </c>
      <c r="I9" s="3">
        <f t="shared" si="20"/>
        <v>0</v>
      </c>
      <c r="J9" s="3">
        <f t="shared" si="20"/>
        <v>8991.9214707839947</v>
      </c>
      <c r="K9" s="3">
        <f t="shared" si="20"/>
        <v>9380.8939116479942</v>
      </c>
      <c r="L9" s="3">
        <f t="shared" si="20"/>
        <v>9769.8663525119955</v>
      </c>
      <c r="M9" s="3">
        <f t="shared" si="20"/>
        <v>10158.838793375993</v>
      </c>
      <c r="N9" s="3">
        <f t="shared" si="20"/>
        <v>10547.811234239995</v>
      </c>
      <c r="O9" s="3">
        <f t="shared" si="20"/>
        <v>10495.247390880033</v>
      </c>
      <c r="P9" s="397">
        <f>SUM(D9:O9)</f>
        <v>59344.579153440005</v>
      </c>
      <c r="Q9" s="3">
        <f t="shared" ref="Q9:AB9" si="21">Q7*Q8</f>
        <v>24660.196560533328</v>
      </c>
      <c r="R9" s="3">
        <f t="shared" si="21"/>
        <v>26100.871201701328</v>
      </c>
      <c r="S9" s="3">
        <f t="shared" si="21"/>
        <v>27541.545842869327</v>
      </c>
      <c r="T9" s="3">
        <f t="shared" si="21"/>
        <v>28982.220484037323</v>
      </c>
      <c r="U9" s="3">
        <f t="shared" si="21"/>
        <v>30422.895125205323</v>
      </c>
      <c r="V9" s="3">
        <f t="shared" si="21"/>
        <v>31863.569766373323</v>
      </c>
      <c r="W9" s="3">
        <f t="shared" si="21"/>
        <v>33304.244407541315</v>
      </c>
      <c r="X9" s="3">
        <f t="shared" si="21"/>
        <v>34744.919048709315</v>
      </c>
      <c r="Y9" s="3">
        <f t="shared" si="21"/>
        <v>36185.593689877314</v>
      </c>
      <c r="Z9" s="3">
        <f t="shared" si="21"/>
        <v>37626.268331045314</v>
      </c>
      <c r="AA9" s="3">
        <f t="shared" si="21"/>
        <v>39066.942972213306</v>
      </c>
      <c r="AB9" s="3">
        <f t="shared" si="21"/>
        <v>38872.257209893462</v>
      </c>
      <c r="AC9" s="397">
        <f>SUM(Q9:AB9)</f>
        <v>389371.52463999996</v>
      </c>
      <c r="AD9" s="3">
        <f t="shared" ref="AD9:AO9" si="22">AD7*AD8</f>
        <v>37792.970819839997</v>
      </c>
      <c r="AE9" s="3">
        <f t="shared" si="22"/>
        <v>40000.875957209588</v>
      </c>
      <c r="AF9" s="3">
        <f t="shared" si="22"/>
        <v>42208.781094579193</v>
      </c>
      <c r="AG9" s="3">
        <f t="shared" si="22"/>
        <v>44416.686231948785</v>
      </c>
      <c r="AH9" s="3">
        <f t="shared" si="22"/>
        <v>46624.591369318383</v>
      </c>
      <c r="AI9" s="3">
        <f t="shared" si="22"/>
        <v>48832.496506687981</v>
      </c>
      <c r="AJ9" s="3">
        <f t="shared" si="22"/>
        <v>51040.40164405758</v>
      </c>
      <c r="AK9" s="3">
        <f t="shared" si="22"/>
        <v>53248.306781427171</v>
      </c>
      <c r="AL9" s="3">
        <f t="shared" si="22"/>
        <v>55456.211918796769</v>
      </c>
      <c r="AM9" s="3">
        <f t="shared" si="22"/>
        <v>57664.117056166368</v>
      </c>
      <c r="AN9" s="3">
        <f t="shared" si="22"/>
        <v>59872.022193535973</v>
      </c>
      <c r="AO9" s="3">
        <f t="shared" si="22"/>
        <v>59573.656634432198</v>
      </c>
      <c r="AP9" s="397">
        <f>SUM(AD9:AO9)</f>
        <v>596731.11820799985</v>
      </c>
      <c r="AQ9" s="3">
        <f t="shared" ref="AQ9:BB9" si="23">AQ7*AQ8</f>
        <v>42575.177043135991</v>
      </c>
      <c r="AR9" s="3">
        <f t="shared" si="23"/>
        <v>45062.463701971828</v>
      </c>
      <c r="AS9" s="3">
        <f t="shared" si="23"/>
        <v>47549.750360807659</v>
      </c>
      <c r="AT9" s="3">
        <f t="shared" si="23"/>
        <v>50037.037019643496</v>
      </c>
      <c r="AU9" s="3">
        <f t="shared" si="23"/>
        <v>52524.323678479341</v>
      </c>
      <c r="AV9" s="3">
        <f t="shared" si="23"/>
        <v>55011.610337315171</v>
      </c>
      <c r="AW9" s="3">
        <f t="shared" si="23"/>
        <v>57498.896996151008</v>
      </c>
      <c r="AX9" s="3">
        <f t="shared" si="23"/>
        <v>59986.183654986839</v>
      </c>
      <c r="AY9" s="3">
        <f t="shared" si="23"/>
        <v>62473.470313822683</v>
      </c>
      <c r="AZ9" s="3">
        <f t="shared" si="23"/>
        <v>64960.756972658513</v>
      </c>
      <c r="BA9" s="3">
        <f t="shared" si="23"/>
        <v>67448.043631494351</v>
      </c>
      <c r="BB9" s="3">
        <f t="shared" si="23"/>
        <v>67111.923812733017</v>
      </c>
      <c r="BC9" s="397">
        <f>SUM(AQ9:BB9)</f>
        <v>672239.63752320001</v>
      </c>
      <c r="BD9" s="3">
        <f t="shared" ref="BD9:BO9" si="24">BD7*BD8</f>
        <v>48658.517395318391</v>
      </c>
      <c r="BE9" s="3">
        <f t="shared" si="24"/>
        <v>51501.199201044881</v>
      </c>
      <c r="BF9" s="3">
        <f t="shared" si="24"/>
        <v>54343.881006771371</v>
      </c>
      <c r="BG9" s="3">
        <f t="shared" si="24"/>
        <v>57186.562812497861</v>
      </c>
      <c r="BH9" s="3">
        <f t="shared" si="24"/>
        <v>60029.244618224358</v>
      </c>
      <c r="BI9" s="3">
        <f t="shared" si="24"/>
        <v>62871.926423950848</v>
      </c>
      <c r="BJ9" s="3">
        <f t="shared" si="24"/>
        <v>65714.608229677338</v>
      </c>
      <c r="BK9" s="3">
        <f t="shared" si="24"/>
        <v>68557.290035403828</v>
      </c>
      <c r="BL9" s="3">
        <f t="shared" si="24"/>
        <v>71399.971841130318</v>
      </c>
      <c r="BM9" s="3">
        <f t="shared" si="24"/>
        <v>74242.653646856823</v>
      </c>
      <c r="BN9" s="3">
        <f t="shared" si="24"/>
        <v>77085.335452583313</v>
      </c>
      <c r="BO9" s="3">
        <f t="shared" si="24"/>
        <v>76701.189262620566</v>
      </c>
      <c r="BP9" s="397">
        <f>SUM(BD9:BO9)</f>
        <v>768292.37992607965</v>
      </c>
      <c r="CF9" s="3" t="s">
        <v>950</v>
      </c>
      <c r="CG9" s="5" t="s">
        <v>394</v>
      </c>
    </row>
    <row r="10" spans="1:85" s="65" customFormat="1">
      <c r="A10" s="76" t="s">
        <v>697</v>
      </c>
      <c r="B10" s="285" t="s">
        <v>231</v>
      </c>
      <c r="C10" s="40"/>
      <c r="D10" s="65">
        <f>P10</f>
        <v>0.7</v>
      </c>
      <c r="E10" s="65">
        <f t="shared" ref="E10:O10" si="25">D10</f>
        <v>0.7</v>
      </c>
      <c r="F10" s="65">
        <f t="shared" si="25"/>
        <v>0.7</v>
      </c>
      <c r="G10" s="65">
        <f t="shared" si="25"/>
        <v>0.7</v>
      </c>
      <c r="H10" s="65">
        <f t="shared" si="25"/>
        <v>0.7</v>
      </c>
      <c r="I10" s="65">
        <f t="shared" si="25"/>
        <v>0.7</v>
      </c>
      <c r="J10" s="65">
        <f t="shared" si="25"/>
        <v>0.7</v>
      </c>
      <c r="K10" s="65">
        <f t="shared" si="25"/>
        <v>0.7</v>
      </c>
      <c r="L10" s="65">
        <f t="shared" si="25"/>
        <v>0.7</v>
      </c>
      <c r="M10" s="65">
        <f t="shared" si="25"/>
        <v>0.7</v>
      </c>
      <c r="N10" s="65">
        <f t="shared" si="25"/>
        <v>0.7</v>
      </c>
      <c r="O10" s="65">
        <f t="shared" si="25"/>
        <v>0.7</v>
      </c>
      <c r="P10" s="371">
        <f>'packages (indiv)'!P100</f>
        <v>0.7</v>
      </c>
      <c r="Q10" s="65">
        <f>AC10</f>
        <v>0.7</v>
      </c>
      <c r="R10" s="65">
        <f t="shared" ref="R10:AB10" si="26">Q10</f>
        <v>0.7</v>
      </c>
      <c r="S10" s="65">
        <f t="shared" si="26"/>
        <v>0.7</v>
      </c>
      <c r="T10" s="65">
        <f t="shared" si="26"/>
        <v>0.7</v>
      </c>
      <c r="U10" s="65">
        <f t="shared" si="26"/>
        <v>0.7</v>
      </c>
      <c r="V10" s="65">
        <f t="shared" si="26"/>
        <v>0.7</v>
      </c>
      <c r="W10" s="65">
        <f t="shared" si="26"/>
        <v>0.7</v>
      </c>
      <c r="X10" s="65">
        <f t="shared" si="26"/>
        <v>0.7</v>
      </c>
      <c r="Y10" s="65">
        <f t="shared" si="26"/>
        <v>0.7</v>
      </c>
      <c r="Z10" s="65">
        <f t="shared" si="26"/>
        <v>0.7</v>
      </c>
      <c r="AA10" s="65">
        <f t="shared" si="26"/>
        <v>0.7</v>
      </c>
      <c r="AB10" s="65">
        <f t="shared" si="26"/>
        <v>0.7</v>
      </c>
      <c r="AC10" s="371">
        <f>'packages (indiv)'!AC100</f>
        <v>0.7</v>
      </c>
      <c r="AD10" s="65">
        <f>AP10</f>
        <v>0.7</v>
      </c>
      <c r="AE10" s="65">
        <f t="shared" ref="AE10:AO10" si="27">AD10</f>
        <v>0.7</v>
      </c>
      <c r="AF10" s="65">
        <f t="shared" si="27"/>
        <v>0.7</v>
      </c>
      <c r="AG10" s="65">
        <f t="shared" si="27"/>
        <v>0.7</v>
      </c>
      <c r="AH10" s="65">
        <f t="shared" si="27"/>
        <v>0.7</v>
      </c>
      <c r="AI10" s="65">
        <f t="shared" si="27"/>
        <v>0.7</v>
      </c>
      <c r="AJ10" s="65">
        <f t="shared" si="27"/>
        <v>0.7</v>
      </c>
      <c r="AK10" s="65">
        <f t="shared" si="27"/>
        <v>0.7</v>
      </c>
      <c r="AL10" s="65">
        <f t="shared" si="27"/>
        <v>0.7</v>
      </c>
      <c r="AM10" s="65">
        <f t="shared" si="27"/>
        <v>0.7</v>
      </c>
      <c r="AN10" s="65">
        <f t="shared" si="27"/>
        <v>0.7</v>
      </c>
      <c r="AO10" s="65">
        <f t="shared" si="27"/>
        <v>0.7</v>
      </c>
      <c r="AP10" s="371">
        <f>'packages (indiv)'!AP100</f>
        <v>0.7</v>
      </c>
      <c r="AQ10" s="65">
        <f>BC10</f>
        <v>0.7</v>
      </c>
      <c r="AR10" s="65">
        <f t="shared" ref="AR10:BB10" si="28">AQ10</f>
        <v>0.7</v>
      </c>
      <c r="AS10" s="65">
        <f t="shared" si="28"/>
        <v>0.7</v>
      </c>
      <c r="AT10" s="65">
        <f t="shared" si="28"/>
        <v>0.7</v>
      </c>
      <c r="AU10" s="65">
        <f t="shared" si="28"/>
        <v>0.7</v>
      </c>
      <c r="AV10" s="65">
        <f t="shared" si="28"/>
        <v>0.7</v>
      </c>
      <c r="AW10" s="65">
        <f t="shared" si="28"/>
        <v>0.7</v>
      </c>
      <c r="AX10" s="65">
        <f t="shared" si="28"/>
        <v>0.7</v>
      </c>
      <c r="AY10" s="65">
        <f t="shared" si="28"/>
        <v>0.7</v>
      </c>
      <c r="AZ10" s="65">
        <f t="shared" si="28"/>
        <v>0.7</v>
      </c>
      <c r="BA10" s="65">
        <f t="shared" si="28"/>
        <v>0.7</v>
      </c>
      <c r="BB10" s="65">
        <f t="shared" si="28"/>
        <v>0.7</v>
      </c>
      <c r="BC10" s="371">
        <f>'packages (indiv)'!BC100</f>
        <v>0.7</v>
      </c>
      <c r="BD10" s="65">
        <f>BP10</f>
        <v>0.7</v>
      </c>
      <c r="BE10" s="65">
        <f t="shared" ref="BE10:BO10" si="29">BD10</f>
        <v>0.7</v>
      </c>
      <c r="BF10" s="65">
        <f t="shared" si="29"/>
        <v>0.7</v>
      </c>
      <c r="BG10" s="65">
        <f t="shared" si="29"/>
        <v>0.7</v>
      </c>
      <c r="BH10" s="65">
        <f t="shared" si="29"/>
        <v>0.7</v>
      </c>
      <c r="BI10" s="65">
        <f t="shared" si="29"/>
        <v>0.7</v>
      </c>
      <c r="BJ10" s="65">
        <f t="shared" si="29"/>
        <v>0.7</v>
      </c>
      <c r="BK10" s="65">
        <f t="shared" si="29"/>
        <v>0.7</v>
      </c>
      <c r="BL10" s="65">
        <f t="shared" si="29"/>
        <v>0.7</v>
      </c>
      <c r="BM10" s="65">
        <f t="shared" si="29"/>
        <v>0.7</v>
      </c>
      <c r="BN10" s="65">
        <f t="shared" si="29"/>
        <v>0.7</v>
      </c>
      <c r="BO10" s="65">
        <f t="shared" si="29"/>
        <v>0.7</v>
      </c>
      <c r="BP10" s="371">
        <f>'packages (indiv)'!BP100</f>
        <v>0.7</v>
      </c>
      <c r="CF10" s="76" t="s">
        <v>951</v>
      </c>
      <c r="CG10" s="285" t="s">
        <v>231</v>
      </c>
    </row>
    <row r="11" spans="1:85" s="3" customFormat="1">
      <c r="A11" s="3" t="s">
        <v>662</v>
      </c>
      <c r="B11" s="5" t="s">
        <v>496</v>
      </c>
      <c r="D11" s="3">
        <f t="shared" ref="D11:O11" si="30">D9*D10</f>
        <v>0</v>
      </c>
      <c r="E11" s="3">
        <f t="shared" si="30"/>
        <v>0</v>
      </c>
      <c r="F11" s="3">
        <f t="shared" si="30"/>
        <v>0</v>
      </c>
      <c r="G11" s="3">
        <f t="shared" si="30"/>
        <v>0</v>
      </c>
      <c r="H11" s="3">
        <f t="shared" si="30"/>
        <v>0</v>
      </c>
      <c r="I11" s="3">
        <f t="shared" si="30"/>
        <v>0</v>
      </c>
      <c r="J11" s="3">
        <f t="shared" si="30"/>
        <v>6294.3450295487955</v>
      </c>
      <c r="K11" s="3">
        <f t="shared" si="30"/>
        <v>6566.6257381535952</v>
      </c>
      <c r="L11" s="3">
        <f t="shared" si="30"/>
        <v>6838.9064467583967</v>
      </c>
      <c r="M11" s="3">
        <f t="shared" si="30"/>
        <v>7111.1871553631945</v>
      </c>
      <c r="N11" s="3">
        <f t="shared" si="30"/>
        <v>7383.467863967996</v>
      </c>
      <c r="O11" s="3">
        <f t="shared" si="30"/>
        <v>7346.6731736160227</v>
      </c>
      <c r="P11" s="397">
        <f>SUM(D11:O11)</f>
        <v>41541.205407408001</v>
      </c>
      <c r="Q11" s="3">
        <f t="shared" ref="Q11:AB11" si="31">Q9*Q10</f>
        <v>17262.137592373329</v>
      </c>
      <c r="R11" s="3">
        <f t="shared" si="31"/>
        <v>18270.60984119093</v>
      </c>
      <c r="S11" s="3">
        <f t="shared" si="31"/>
        <v>19279.082090008527</v>
      </c>
      <c r="T11" s="3">
        <f t="shared" si="31"/>
        <v>20287.554338826125</v>
      </c>
      <c r="U11" s="3">
        <f t="shared" si="31"/>
        <v>21296.026587643726</v>
      </c>
      <c r="V11" s="3">
        <f t="shared" si="31"/>
        <v>22304.498836461324</v>
      </c>
      <c r="W11" s="3">
        <f t="shared" si="31"/>
        <v>23312.971085278918</v>
      </c>
      <c r="X11" s="3">
        <f t="shared" si="31"/>
        <v>24321.443334096519</v>
      </c>
      <c r="Y11" s="3">
        <f t="shared" si="31"/>
        <v>25329.91558291412</v>
      </c>
      <c r="Z11" s="3">
        <f t="shared" si="31"/>
        <v>26338.387831731718</v>
      </c>
      <c r="AA11" s="3">
        <f t="shared" si="31"/>
        <v>27346.860080549312</v>
      </c>
      <c r="AB11" s="3">
        <f t="shared" si="31"/>
        <v>27210.580046925421</v>
      </c>
      <c r="AC11" s="397">
        <f>SUM(Q11:AB11)</f>
        <v>272560.06724799995</v>
      </c>
      <c r="AD11" s="3">
        <f t="shared" ref="AD11:AO11" si="32">AD9*AD10</f>
        <v>26455.079573887997</v>
      </c>
      <c r="AE11" s="3">
        <f t="shared" si="32"/>
        <v>28000.613170046709</v>
      </c>
      <c r="AF11" s="3">
        <f t="shared" si="32"/>
        <v>29546.146766205435</v>
      </c>
      <c r="AG11" s="3">
        <f t="shared" si="32"/>
        <v>31091.680362364146</v>
      </c>
      <c r="AH11" s="3">
        <f t="shared" si="32"/>
        <v>32637.213958522865</v>
      </c>
      <c r="AI11" s="3">
        <f t="shared" si="32"/>
        <v>34182.747554681584</v>
      </c>
      <c r="AJ11" s="3">
        <f t="shared" si="32"/>
        <v>35728.281150840303</v>
      </c>
      <c r="AK11" s="3">
        <f t="shared" si="32"/>
        <v>37273.814746999014</v>
      </c>
      <c r="AL11" s="3">
        <f t="shared" si="32"/>
        <v>38819.348343157733</v>
      </c>
      <c r="AM11" s="3">
        <f t="shared" si="32"/>
        <v>40364.881939316452</v>
      </c>
      <c r="AN11" s="3">
        <f t="shared" si="32"/>
        <v>41910.415535475178</v>
      </c>
      <c r="AO11" s="3">
        <f t="shared" si="32"/>
        <v>41701.559644102534</v>
      </c>
      <c r="AP11" s="397">
        <f>SUM(AD11:AO11)</f>
        <v>417711.78274559992</v>
      </c>
      <c r="AQ11" s="3">
        <f t="shared" ref="AQ11:BB11" si="33">AQ9*AQ10</f>
        <v>29802.62393019519</v>
      </c>
      <c r="AR11" s="3">
        <f t="shared" si="33"/>
        <v>31543.724591380276</v>
      </c>
      <c r="AS11" s="3">
        <f t="shared" si="33"/>
        <v>33284.825252565359</v>
      </c>
      <c r="AT11" s="3">
        <f t="shared" si="33"/>
        <v>35025.925913750441</v>
      </c>
      <c r="AU11" s="3">
        <f t="shared" si="33"/>
        <v>36767.026574935539</v>
      </c>
      <c r="AV11" s="3">
        <f t="shared" si="33"/>
        <v>38508.127236120614</v>
      </c>
      <c r="AW11" s="3">
        <f t="shared" si="33"/>
        <v>40249.227897305704</v>
      </c>
      <c r="AX11" s="3">
        <f t="shared" si="33"/>
        <v>41990.328558490786</v>
      </c>
      <c r="AY11" s="3">
        <f t="shared" si="33"/>
        <v>43731.429219675876</v>
      </c>
      <c r="AZ11" s="3">
        <f t="shared" si="33"/>
        <v>45472.529880860959</v>
      </c>
      <c r="BA11" s="3">
        <f t="shared" si="33"/>
        <v>47213.630542046041</v>
      </c>
      <c r="BB11" s="3">
        <f t="shared" si="33"/>
        <v>46978.346668913109</v>
      </c>
      <c r="BC11" s="397">
        <f>SUM(AQ11:BB11)</f>
        <v>470567.7462662399</v>
      </c>
      <c r="BD11" s="3">
        <f t="shared" ref="BD11:BO11" si="34">BD9*BD10</f>
        <v>34060.962176722875</v>
      </c>
      <c r="BE11" s="3">
        <f t="shared" si="34"/>
        <v>36050.839440731412</v>
      </c>
      <c r="BF11" s="3">
        <f t="shared" si="34"/>
        <v>38040.716704739956</v>
      </c>
      <c r="BG11" s="3">
        <f t="shared" si="34"/>
        <v>40030.593968748501</v>
      </c>
      <c r="BH11" s="3">
        <f t="shared" si="34"/>
        <v>42020.471232757045</v>
      </c>
      <c r="BI11" s="3">
        <f t="shared" si="34"/>
        <v>44010.34849676559</v>
      </c>
      <c r="BJ11" s="3">
        <f t="shared" si="34"/>
        <v>46000.225760774134</v>
      </c>
      <c r="BK11" s="3">
        <f t="shared" si="34"/>
        <v>47990.103024782678</v>
      </c>
      <c r="BL11" s="3">
        <f t="shared" si="34"/>
        <v>49979.980288791223</v>
      </c>
      <c r="BM11" s="3">
        <f t="shared" si="34"/>
        <v>51969.857552799775</v>
      </c>
      <c r="BN11" s="3">
        <f t="shared" si="34"/>
        <v>53959.734816808319</v>
      </c>
      <c r="BO11" s="3">
        <f t="shared" si="34"/>
        <v>53690.832483834391</v>
      </c>
      <c r="BP11" s="397">
        <f>SUM(BD11:BO11)</f>
        <v>537804.66594825592</v>
      </c>
      <c r="CF11" s="3" t="s">
        <v>953</v>
      </c>
      <c r="CG11" s="5" t="s">
        <v>394</v>
      </c>
    </row>
    <row r="12" spans="1:85" s="65" customFormat="1">
      <c r="A12" s="76" t="s">
        <v>696</v>
      </c>
      <c r="B12" s="285" t="s">
        <v>231</v>
      </c>
      <c r="C12" s="40"/>
      <c r="D12" s="65">
        <f>P12</f>
        <v>1</v>
      </c>
      <c r="E12" s="65">
        <f t="shared" ref="E12:O12" si="35">D12</f>
        <v>1</v>
      </c>
      <c r="F12" s="65">
        <f t="shared" si="35"/>
        <v>1</v>
      </c>
      <c r="G12" s="65">
        <f t="shared" si="35"/>
        <v>1</v>
      </c>
      <c r="H12" s="65">
        <f t="shared" si="35"/>
        <v>1</v>
      </c>
      <c r="I12" s="65">
        <f t="shared" si="35"/>
        <v>1</v>
      </c>
      <c r="J12" s="65">
        <f t="shared" si="35"/>
        <v>1</v>
      </c>
      <c r="K12" s="65">
        <f t="shared" si="35"/>
        <v>1</v>
      </c>
      <c r="L12" s="65">
        <f t="shared" si="35"/>
        <v>1</v>
      </c>
      <c r="M12" s="65">
        <f t="shared" si="35"/>
        <v>1</v>
      </c>
      <c r="N12" s="65">
        <f t="shared" si="35"/>
        <v>1</v>
      </c>
      <c r="O12" s="65">
        <f t="shared" si="35"/>
        <v>1</v>
      </c>
      <c r="P12" s="371">
        <f>'packages (indiv)'!P101</f>
        <v>1</v>
      </c>
      <c r="Q12" s="65">
        <f>AC12</f>
        <v>1</v>
      </c>
      <c r="R12" s="65">
        <f t="shared" ref="R12:AB12" si="36">Q12</f>
        <v>1</v>
      </c>
      <c r="S12" s="65">
        <f t="shared" si="36"/>
        <v>1</v>
      </c>
      <c r="T12" s="65">
        <f t="shared" si="36"/>
        <v>1</v>
      </c>
      <c r="U12" s="65">
        <f t="shared" si="36"/>
        <v>1</v>
      </c>
      <c r="V12" s="65">
        <f t="shared" si="36"/>
        <v>1</v>
      </c>
      <c r="W12" s="65">
        <f t="shared" si="36"/>
        <v>1</v>
      </c>
      <c r="X12" s="65">
        <f t="shared" si="36"/>
        <v>1</v>
      </c>
      <c r="Y12" s="65">
        <f t="shared" si="36"/>
        <v>1</v>
      </c>
      <c r="Z12" s="65">
        <f t="shared" si="36"/>
        <v>1</v>
      </c>
      <c r="AA12" s="65">
        <f t="shared" si="36"/>
        <v>1</v>
      </c>
      <c r="AB12" s="65">
        <f t="shared" si="36"/>
        <v>1</v>
      </c>
      <c r="AC12" s="371">
        <f>'packages (indiv)'!AC101</f>
        <v>1</v>
      </c>
      <c r="AD12" s="65">
        <f>AP12</f>
        <v>1</v>
      </c>
      <c r="AE12" s="65">
        <f t="shared" ref="AE12:AO12" si="37">AD12</f>
        <v>1</v>
      </c>
      <c r="AF12" s="65">
        <f t="shared" si="37"/>
        <v>1</v>
      </c>
      <c r="AG12" s="65">
        <f t="shared" si="37"/>
        <v>1</v>
      </c>
      <c r="AH12" s="65">
        <f t="shared" si="37"/>
        <v>1</v>
      </c>
      <c r="AI12" s="65">
        <f t="shared" si="37"/>
        <v>1</v>
      </c>
      <c r="AJ12" s="65">
        <f t="shared" si="37"/>
        <v>1</v>
      </c>
      <c r="AK12" s="65">
        <f t="shared" si="37"/>
        <v>1</v>
      </c>
      <c r="AL12" s="65">
        <f t="shared" si="37"/>
        <v>1</v>
      </c>
      <c r="AM12" s="65">
        <f t="shared" si="37"/>
        <v>1</v>
      </c>
      <c r="AN12" s="65">
        <f t="shared" si="37"/>
        <v>1</v>
      </c>
      <c r="AO12" s="65">
        <f t="shared" si="37"/>
        <v>1</v>
      </c>
      <c r="AP12" s="371">
        <f>'packages (indiv)'!AP101</f>
        <v>1</v>
      </c>
      <c r="AQ12" s="65">
        <f>BC12</f>
        <v>1</v>
      </c>
      <c r="AR12" s="65">
        <f t="shared" ref="AR12:BB12" si="38">AQ12</f>
        <v>1</v>
      </c>
      <c r="AS12" s="65">
        <f t="shared" si="38"/>
        <v>1</v>
      </c>
      <c r="AT12" s="65">
        <f t="shared" si="38"/>
        <v>1</v>
      </c>
      <c r="AU12" s="65">
        <f t="shared" si="38"/>
        <v>1</v>
      </c>
      <c r="AV12" s="65">
        <f t="shared" si="38"/>
        <v>1</v>
      </c>
      <c r="AW12" s="65">
        <f t="shared" si="38"/>
        <v>1</v>
      </c>
      <c r="AX12" s="65">
        <f t="shared" si="38"/>
        <v>1</v>
      </c>
      <c r="AY12" s="65">
        <f t="shared" si="38"/>
        <v>1</v>
      </c>
      <c r="AZ12" s="65">
        <f t="shared" si="38"/>
        <v>1</v>
      </c>
      <c r="BA12" s="65">
        <f t="shared" si="38"/>
        <v>1</v>
      </c>
      <c r="BB12" s="65">
        <f t="shared" si="38"/>
        <v>1</v>
      </c>
      <c r="BC12" s="371">
        <f>'packages (indiv)'!BC101</f>
        <v>1</v>
      </c>
      <c r="BD12" s="65">
        <f>BP12</f>
        <v>1</v>
      </c>
      <c r="BE12" s="65">
        <f t="shared" ref="BE12:BO12" si="39">BD12</f>
        <v>1</v>
      </c>
      <c r="BF12" s="65">
        <f t="shared" si="39"/>
        <v>1</v>
      </c>
      <c r="BG12" s="65">
        <f t="shared" si="39"/>
        <v>1</v>
      </c>
      <c r="BH12" s="65">
        <f t="shared" si="39"/>
        <v>1</v>
      </c>
      <c r="BI12" s="65">
        <f t="shared" si="39"/>
        <v>1</v>
      </c>
      <c r="BJ12" s="65">
        <f t="shared" si="39"/>
        <v>1</v>
      </c>
      <c r="BK12" s="65">
        <f t="shared" si="39"/>
        <v>1</v>
      </c>
      <c r="BL12" s="65">
        <f t="shared" si="39"/>
        <v>1</v>
      </c>
      <c r="BM12" s="65">
        <f t="shared" si="39"/>
        <v>1</v>
      </c>
      <c r="BN12" s="65">
        <f t="shared" si="39"/>
        <v>1</v>
      </c>
      <c r="BO12" s="65">
        <f t="shared" si="39"/>
        <v>1</v>
      </c>
      <c r="BP12" s="371">
        <f>'packages (indiv)'!BP101</f>
        <v>1</v>
      </c>
      <c r="CF12" s="76" t="s">
        <v>954</v>
      </c>
      <c r="CG12" s="285" t="s">
        <v>231</v>
      </c>
    </row>
    <row r="13" spans="1:85" s="3" customFormat="1">
      <c r="A13" s="3" t="s">
        <v>660</v>
      </c>
      <c r="B13" s="5" t="s">
        <v>496</v>
      </c>
      <c r="D13" s="3">
        <f t="shared" ref="D13:O13" si="40">D11*D12</f>
        <v>0</v>
      </c>
      <c r="E13" s="3">
        <f t="shared" si="40"/>
        <v>0</v>
      </c>
      <c r="F13" s="3">
        <f t="shared" si="40"/>
        <v>0</v>
      </c>
      <c r="G13" s="3">
        <f t="shared" si="40"/>
        <v>0</v>
      </c>
      <c r="H13" s="3">
        <f t="shared" si="40"/>
        <v>0</v>
      </c>
      <c r="I13" s="3">
        <f t="shared" si="40"/>
        <v>0</v>
      </c>
      <c r="J13" s="3">
        <f t="shared" si="40"/>
        <v>6294.3450295487955</v>
      </c>
      <c r="K13" s="3">
        <f t="shared" si="40"/>
        <v>6566.6257381535952</v>
      </c>
      <c r="L13" s="3">
        <f t="shared" si="40"/>
        <v>6838.9064467583967</v>
      </c>
      <c r="M13" s="3">
        <f t="shared" si="40"/>
        <v>7111.1871553631945</v>
      </c>
      <c r="N13" s="3">
        <f t="shared" si="40"/>
        <v>7383.467863967996</v>
      </c>
      <c r="O13" s="3">
        <f t="shared" si="40"/>
        <v>7346.6731736160227</v>
      </c>
      <c r="P13" s="397">
        <f>SUM(D13:O13)</f>
        <v>41541.205407408001</v>
      </c>
      <c r="Q13" s="3">
        <f t="shared" ref="Q13:AB13" si="41">Q11*Q12</f>
        <v>17262.137592373329</v>
      </c>
      <c r="R13" s="3">
        <f t="shared" si="41"/>
        <v>18270.60984119093</v>
      </c>
      <c r="S13" s="3">
        <f t="shared" si="41"/>
        <v>19279.082090008527</v>
      </c>
      <c r="T13" s="3">
        <f t="shared" si="41"/>
        <v>20287.554338826125</v>
      </c>
      <c r="U13" s="3">
        <f t="shared" si="41"/>
        <v>21296.026587643726</v>
      </c>
      <c r="V13" s="3">
        <f t="shared" si="41"/>
        <v>22304.498836461324</v>
      </c>
      <c r="W13" s="3">
        <f t="shared" si="41"/>
        <v>23312.971085278918</v>
      </c>
      <c r="X13" s="3">
        <f t="shared" si="41"/>
        <v>24321.443334096519</v>
      </c>
      <c r="Y13" s="3">
        <f t="shared" si="41"/>
        <v>25329.91558291412</v>
      </c>
      <c r="Z13" s="3">
        <f t="shared" si="41"/>
        <v>26338.387831731718</v>
      </c>
      <c r="AA13" s="3">
        <f t="shared" si="41"/>
        <v>27346.860080549312</v>
      </c>
      <c r="AB13" s="3">
        <f t="shared" si="41"/>
        <v>27210.580046925421</v>
      </c>
      <c r="AC13" s="397">
        <f>SUM(Q13:AB13)</f>
        <v>272560.06724799995</v>
      </c>
      <c r="AD13" s="3">
        <f t="shared" ref="AD13:AO13" si="42">AD11*AD12</f>
        <v>26455.079573887997</v>
      </c>
      <c r="AE13" s="3">
        <f t="shared" si="42"/>
        <v>28000.613170046709</v>
      </c>
      <c r="AF13" s="3">
        <f t="shared" si="42"/>
        <v>29546.146766205435</v>
      </c>
      <c r="AG13" s="3">
        <f t="shared" si="42"/>
        <v>31091.680362364146</v>
      </c>
      <c r="AH13" s="3">
        <f t="shared" si="42"/>
        <v>32637.213958522865</v>
      </c>
      <c r="AI13" s="3">
        <f t="shared" si="42"/>
        <v>34182.747554681584</v>
      </c>
      <c r="AJ13" s="3">
        <f t="shared" si="42"/>
        <v>35728.281150840303</v>
      </c>
      <c r="AK13" s="3">
        <f t="shared" si="42"/>
        <v>37273.814746999014</v>
      </c>
      <c r="AL13" s="3">
        <f t="shared" si="42"/>
        <v>38819.348343157733</v>
      </c>
      <c r="AM13" s="3">
        <f t="shared" si="42"/>
        <v>40364.881939316452</v>
      </c>
      <c r="AN13" s="3">
        <f t="shared" si="42"/>
        <v>41910.415535475178</v>
      </c>
      <c r="AO13" s="3">
        <f t="shared" si="42"/>
        <v>41701.559644102534</v>
      </c>
      <c r="AP13" s="397">
        <f>SUM(AD13:AO13)</f>
        <v>417711.78274559992</v>
      </c>
      <c r="AQ13" s="3">
        <f t="shared" ref="AQ13:BB13" si="43">AQ11*AQ12</f>
        <v>29802.62393019519</v>
      </c>
      <c r="AR13" s="3">
        <f t="shared" si="43"/>
        <v>31543.724591380276</v>
      </c>
      <c r="AS13" s="3">
        <f t="shared" si="43"/>
        <v>33284.825252565359</v>
      </c>
      <c r="AT13" s="3">
        <f t="shared" si="43"/>
        <v>35025.925913750441</v>
      </c>
      <c r="AU13" s="3">
        <f t="shared" si="43"/>
        <v>36767.026574935539</v>
      </c>
      <c r="AV13" s="3">
        <f t="shared" si="43"/>
        <v>38508.127236120614</v>
      </c>
      <c r="AW13" s="3">
        <f t="shared" si="43"/>
        <v>40249.227897305704</v>
      </c>
      <c r="AX13" s="3">
        <f t="shared" si="43"/>
        <v>41990.328558490786</v>
      </c>
      <c r="AY13" s="3">
        <f t="shared" si="43"/>
        <v>43731.429219675876</v>
      </c>
      <c r="AZ13" s="3">
        <f t="shared" si="43"/>
        <v>45472.529880860959</v>
      </c>
      <c r="BA13" s="3">
        <f t="shared" si="43"/>
        <v>47213.630542046041</v>
      </c>
      <c r="BB13" s="3">
        <f t="shared" si="43"/>
        <v>46978.346668913109</v>
      </c>
      <c r="BC13" s="397">
        <f>SUM(AQ13:BB13)</f>
        <v>470567.7462662399</v>
      </c>
      <c r="BD13" s="3">
        <f t="shared" ref="BD13:BO13" si="44">BD11*BD12</f>
        <v>34060.962176722875</v>
      </c>
      <c r="BE13" s="3">
        <f t="shared" si="44"/>
        <v>36050.839440731412</v>
      </c>
      <c r="BF13" s="3">
        <f t="shared" si="44"/>
        <v>38040.716704739956</v>
      </c>
      <c r="BG13" s="3">
        <f t="shared" si="44"/>
        <v>40030.593968748501</v>
      </c>
      <c r="BH13" s="3">
        <f t="shared" si="44"/>
        <v>42020.471232757045</v>
      </c>
      <c r="BI13" s="3">
        <f t="shared" si="44"/>
        <v>44010.34849676559</v>
      </c>
      <c r="BJ13" s="3">
        <f t="shared" si="44"/>
        <v>46000.225760774134</v>
      </c>
      <c r="BK13" s="3">
        <f t="shared" si="44"/>
        <v>47990.103024782678</v>
      </c>
      <c r="BL13" s="3">
        <f t="shared" si="44"/>
        <v>49979.980288791223</v>
      </c>
      <c r="BM13" s="3">
        <f t="shared" si="44"/>
        <v>51969.857552799775</v>
      </c>
      <c r="BN13" s="3">
        <f t="shared" si="44"/>
        <v>53959.734816808319</v>
      </c>
      <c r="BO13" s="3">
        <f t="shared" si="44"/>
        <v>53690.832483834391</v>
      </c>
      <c r="BP13" s="397">
        <f>SUM(BD13:BO13)</f>
        <v>537804.66594825592</v>
      </c>
      <c r="CF13" s="3" t="s">
        <v>955</v>
      </c>
      <c r="CG13" s="5" t="s">
        <v>394</v>
      </c>
    </row>
    <row r="14" spans="1:85" s="65" customFormat="1">
      <c r="A14" s="76" t="s">
        <v>578</v>
      </c>
      <c r="B14" s="285" t="s">
        <v>231</v>
      </c>
      <c r="C14" s="40"/>
      <c r="D14" s="65">
        <f>P14</f>
        <v>0.95</v>
      </c>
      <c r="E14" s="65">
        <f t="shared" ref="E14:O14" si="45">D14</f>
        <v>0.95</v>
      </c>
      <c r="F14" s="65">
        <f t="shared" si="45"/>
        <v>0.95</v>
      </c>
      <c r="G14" s="65">
        <f t="shared" si="45"/>
        <v>0.95</v>
      </c>
      <c r="H14" s="65">
        <f t="shared" si="45"/>
        <v>0.95</v>
      </c>
      <c r="I14" s="65">
        <f t="shared" si="45"/>
        <v>0.95</v>
      </c>
      <c r="J14" s="65">
        <f t="shared" si="45"/>
        <v>0.95</v>
      </c>
      <c r="K14" s="65">
        <f t="shared" si="45"/>
        <v>0.95</v>
      </c>
      <c r="L14" s="65">
        <f t="shared" si="45"/>
        <v>0.95</v>
      </c>
      <c r="M14" s="65">
        <f t="shared" si="45"/>
        <v>0.95</v>
      </c>
      <c r="N14" s="65">
        <f t="shared" si="45"/>
        <v>0.95</v>
      </c>
      <c r="O14" s="65">
        <f t="shared" si="45"/>
        <v>0.95</v>
      </c>
      <c r="P14" s="426">
        <f>Funnel!E42</f>
        <v>0.95</v>
      </c>
      <c r="Q14" s="65">
        <f>AC14</f>
        <v>0.95</v>
      </c>
      <c r="R14" s="65">
        <f t="shared" ref="R14:AB14" si="46">Q14</f>
        <v>0.95</v>
      </c>
      <c r="S14" s="65">
        <f t="shared" si="46"/>
        <v>0.95</v>
      </c>
      <c r="T14" s="65">
        <f t="shared" si="46"/>
        <v>0.95</v>
      </c>
      <c r="U14" s="65">
        <f t="shared" si="46"/>
        <v>0.95</v>
      </c>
      <c r="V14" s="65">
        <f t="shared" si="46"/>
        <v>0.95</v>
      </c>
      <c r="W14" s="65">
        <f t="shared" si="46"/>
        <v>0.95</v>
      </c>
      <c r="X14" s="65">
        <f t="shared" si="46"/>
        <v>0.95</v>
      </c>
      <c r="Y14" s="65">
        <f t="shared" si="46"/>
        <v>0.95</v>
      </c>
      <c r="Z14" s="65">
        <f t="shared" si="46"/>
        <v>0.95</v>
      </c>
      <c r="AA14" s="65">
        <f t="shared" si="46"/>
        <v>0.95</v>
      </c>
      <c r="AB14" s="65">
        <f t="shared" si="46"/>
        <v>0.95</v>
      </c>
      <c r="AC14" s="426">
        <f>Funnel!F42</f>
        <v>0.95</v>
      </c>
      <c r="AD14" s="65">
        <f>AP14</f>
        <v>0.95</v>
      </c>
      <c r="AE14" s="65">
        <f t="shared" ref="AE14:AO14" si="47">AD14</f>
        <v>0.95</v>
      </c>
      <c r="AF14" s="65">
        <f t="shared" si="47"/>
        <v>0.95</v>
      </c>
      <c r="AG14" s="65">
        <f t="shared" si="47"/>
        <v>0.95</v>
      </c>
      <c r="AH14" s="65">
        <f t="shared" si="47"/>
        <v>0.95</v>
      </c>
      <c r="AI14" s="65">
        <f t="shared" si="47"/>
        <v>0.95</v>
      </c>
      <c r="AJ14" s="65">
        <f t="shared" si="47"/>
        <v>0.95</v>
      </c>
      <c r="AK14" s="65">
        <f t="shared" si="47"/>
        <v>0.95</v>
      </c>
      <c r="AL14" s="65">
        <f t="shared" si="47"/>
        <v>0.95</v>
      </c>
      <c r="AM14" s="65">
        <f t="shared" si="47"/>
        <v>0.95</v>
      </c>
      <c r="AN14" s="65">
        <f t="shared" si="47"/>
        <v>0.95</v>
      </c>
      <c r="AO14" s="65">
        <f t="shared" si="47"/>
        <v>0.95</v>
      </c>
      <c r="AP14" s="426">
        <f>Funnel!G42</f>
        <v>0.95</v>
      </c>
      <c r="AQ14" s="65">
        <f>BC14</f>
        <v>0.95</v>
      </c>
      <c r="AR14" s="65">
        <f t="shared" ref="AR14:BB14" si="48">AQ14</f>
        <v>0.95</v>
      </c>
      <c r="AS14" s="65">
        <f t="shared" si="48"/>
        <v>0.95</v>
      </c>
      <c r="AT14" s="65">
        <f t="shared" si="48"/>
        <v>0.95</v>
      </c>
      <c r="AU14" s="65">
        <f t="shared" si="48"/>
        <v>0.95</v>
      </c>
      <c r="AV14" s="65">
        <f t="shared" si="48"/>
        <v>0.95</v>
      </c>
      <c r="AW14" s="65">
        <f t="shared" si="48"/>
        <v>0.95</v>
      </c>
      <c r="AX14" s="65">
        <f t="shared" si="48"/>
        <v>0.95</v>
      </c>
      <c r="AY14" s="65">
        <f t="shared" si="48"/>
        <v>0.95</v>
      </c>
      <c r="AZ14" s="65">
        <f t="shared" si="48"/>
        <v>0.95</v>
      </c>
      <c r="BA14" s="65">
        <f t="shared" si="48"/>
        <v>0.95</v>
      </c>
      <c r="BB14" s="65">
        <f t="shared" si="48"/>
        <v>0.95</v>
      </c>
      <c r="BC14" s="426">
        <f>Funnel!H42</f>
        <v>0.95</v>
      </c>
      <c r="BD14" s="65">
        <f>BP14</f>
        <v>0.95</v>
      </c>
      <c r="BE14" s="65">
        <f t="shared" ref="BE14:BO14" si="49">BD14</f>
        <v>0.95</v>
      </c>
      <c r="BF14" s="65">
        <f t="shared" si="49"/>
        <v>0.95</v>
      </c>
      <c r="BG14" s="65">
        <f t="shared" si="49"/>
        <v>0.95</v>
      </c>
      <c r="BH14" s="65">
        <f t="shared" si="49"/>
        <v>0.95</v>
      </c>
      <c r="BI14" s="65">
        <f t="shared" si="49"/>
        <v>0.95</v>
      </c>
      <c r="BJ14" s="65">
        <f t="shared" si="49"/>
        <v>0.95</v>
      </c>
      <c r="BK14" s="65">
        <f t="shared" si="49"/>
        <v>0.95</v>
      </c>
      <c r="BL14" s="65">
        <f t="shared" si="49"/>
        <v>0.95</v>
      </c>
      <c r="BM14" s="65">
        <f t="shared" si="49"/>
        <v>0.95</v>
      </c>
      <c r="BN14" s="65">
        <f t="shared" si="49"/>
        <v>0.95</v>
      </c>
      <c r="BO14" s="65">
        <f t="shared" si="49"/>
        <v>0.95</v>
      </c>
      <c r="BP14" s="426">
        <f>Funnel!I42</f>
        <v>0.95</v>
      </c>
      <c r="CF14" s="76" t="s">
        <v>956</v>
      </c>
      <c r="CG14" s="285" t="s">
        <v>231</v>
      </c>
    </row>
    <row r="15" spans="1:85" s="3" customFormat="1">
      <c r="A15" s="3" t="s">
        <v>659</v>
      </c>
      <c r="B15" s="5" t="s">
        <v>496</v>
      </c>
      <c r="D15" s="3">
        <f t="shared" ref="D15:O15" si="50">D9*D14</f>
        <v>0</v>
      </c>
      <c r="E15" s="3">
        <f t="shared" si="50"/>
        <v>0</v>
      </c>
      <c r="F15" s="3">
        <f t="shared" si="50"/>
        <v>0</v>
      </c>
      <c r="G15" s="3">
        <f t="shared" si="50"/>
        <v>0</v>
      </c>
      <c r="H15" s="3">
        <f t="shared" si="50"/>
        <v>0</v>
      </c>
      <c r="I15" s="3">
        <f t="shared" si="50"/>
        <v>0</v>
      </c>
      <c r="J15" s="3">
        <f t="shared" si="50"/>
        <v>8542.3253972447947</v>
      </c>
      <c r="K15" s="3">
        <f t="shared" si="50"/>
        <v>8911.8492160655933</v>
      </c>
      <c r="L15" s="3">
        <f t="shared" si="50"/>
        <v>9281.3730348863955</v>
      </c>
      <c r="M15" s="3">
        <f t="shared" si="50"/>
        <v>9650.8968537071923</v>
      </c>
      <c r="N15" s="3">
        <f t="shared" si="50"/>
        <v>10020.420672527995</v>
      </c>
      <c r="O15" s="3">
        <f t="shared" si="50"/>
        <v>9970.4850213360314</v>
      </c>
      <c r="P15" s="397">
        <f>SUM(D15:O15)</f>
        <v>56377.350195768006</v>
      </c>
      <c r="Q15" s="3">
        <f t="shared" ref="Q15:AB15" si="51">Q9*Q14</f>
        <v>23427.18673250666</v>
      </c>
      <c r="R15" s="3">
        <f t="shared" si="51"/>
        <v>24795.827641616259</v>
      </c>
      <c r="S15" s="3">
        <f t="shared" si="51"/>
        <v>26164.468550725858</v>
      </c>
      <c r="T15" s="3">
        <f t="shared" si="51"/>
        <v>27533.109459835458</v>
      </c>
      <c r="U15" s="3">
        <f t="shared" si="51"/>
        <v>28901.750368945057</v>
      </c>
      <c r="V15" s="3">
        <f t="shared" si="51"/>
        <v>30270.391278054656</v>
      </c>
      <c r="W15" s="3">
        <f t="shared" si="51"/>
        <v>31639.032187164248</v>
      </c>
      <c r="X15" s="3">
        <f t="shared" si="51"/>
        <v>33007.673096273844</v>
      </c>
      <c r="Y15" s="3">
        <f t="shared" si="51"/>
        <v>34376.31400538345</v>
      </c>
      <c r="Z15" s="3">
        <f t="shared" si="51"/>
        <v>35744.95491449305</v>
      </c>
      <c r="AA15" s="3">
        <f t="shared" si="51"/>
        <v>37113.595823602642</v>
      </c>
      <c r="AB15" s="3">
        <f t="shared" si="51"/>
        <v>36928.64434939879</v>
      </c>
      <c r="AC15" s="397">
        <f>SUM(Q15:AB15)</f>
        <v>369902.94840799994</v>
      </c>
      <c r="AD15" s="3">
        <f t="shared" ref="AD15:AO15" si="52">AD9*AD14</f>
        <v>35903.322278847998</v>
      </c>
      <c r="AE15" s="3">
        <f t="shared" si="52"/>
        <v>38000.832159349105</v>
      </c>
      <c r="AF15" s="3">
        <f t="shared" si="52"/>
        <v>40098.342039850235</v>
      </c>
      <c r="AG15" s="3">
        <f t="shared" si="52"/>
        <v>42195.851920351342</v>
      </c>
      <c r="AH15" s="3">
        <f t="shared" si="52"/>
        <v>44293.361800852465</v>
      </c>
      <c r="AI15" s="3">
        <f t="shared" si="52"/>
        <v>46390.871681353579</v>
      </c>
      <c r="AJ15" s="3">
        <f t="shared" si="52"/>
        <v>48488.381561854701</v>
      </c>
      <c r="AK15" s="3">
        <f t="shared" si="52"/>
        <v>50585.891442355809</v>
      </c>
      <c r="AL15" s="3">
        <f t="shared" si="52"/>
        <v>52683.401322856931</v>
      </c>
      <c r="AM15" s="3">
        <f t="shared" si="52"/>
        <v>54780.911203358046</v>
      </c>
      <c r="AN15" s="3">
        <f t="shared" si="52"/>
        <v>56878.421083859175</v>
      </c>
      <c r="AO15" s="3">
        <f t="shared" si="52"/>
        <v>56594.973802710585</v>
      </c>
      <c r="AP15" s="397">
        <f>SUM(AD15:AO15)</f>
        <v>566894.56229759997</v>
      </c>
      <c r="AQ15" s="3">
        <f t="shared" ref="AQ15:BB15" si="53">AQ9*AQ14</f>
        <v>40446.418190979188</v>
      </c>
      <c r="AR15" s="3">
        <f t="shared" si="53"/>
        <v>42809.340516873235</v>
      </c>
      <c r="AS15" s="3">
        <f t="shared" si="53"/>
        <v>45172.262842767275</v>
      </c>
      <c r="AT15" s="3">
        <f t="shared" si="53"/>
        <v>47535.185168661315</v>
      </c>
      <c r="AU15" s="3">
        <f t="shared" si="53"/>
        <v>49898.10749455537</v>
      </c>
      <c r="AV15" s="3">
        <f t="shared" si="53"/>
        <v>52261.02982044941</v>
      </c>
      <c r="AW15" s="3">
        <f t="shared" si="53"/>
        <v>54623.952146343458</v>
      </c>
      <c r="AX15" s="3">
        <f t="shared" si="53"/>
        <v>56986.87447223749</v>
      </c>
      <c r="AY15" s="3">
        <f t="shared" si="53"/>
        <v>59349.796798131545</v>
      </c>
      <c r="AZ15" s="3">
        <f t="shared" si="53"/>
        <v>61712.719124025585</v>
      </c>
      <c r="BA15" s="3">
        <f t="shared" si="53"/>
        <v>64075.641449919633</v>
      </c>
      <c r="BB15" s="3">
        <f t="shared" si="53"/>
        <v>63756.32762209636</v>
      </c>
      <c r="BC15" s="397">
        <f>SUM(AQ15:BB15)</f>
        <v>638627.65564704</v>
      </c>
      <c r="BD15" s="3">
        <f t="shared" ref="BD15:BO15" si="54">BD9*BD14</f>
        <v>46225.591525552467</v>
      </c>
      <c r="BE15" s="3">
        <f t="shared" si="54"/>
        <v>48926.139240992634</v>
      </c>
      <c r="BF15" s="3">
        <f t="shared" si="54"/>
        <v>51626.686956432801</v>
      </c>
      <c r="BG15" s="3">
        <f t="shared" si="54"/>
        <v>54327.234671872968</v>
      </c>
      <c r="BH15" s="3">
        <f t="shared" si="54"/>
        <v>57027.782387313135</v>
      </c>
      <c r="BI15" s="3">
        <f t="shared" si="54"/>
        <v>59728.330102753302</v>
      </c>
      <c r="BJ15" s="3">
        <f t="shared" si="54"/>
        <v>62428.877818193469</v>
      </c>
      <c r="BK15" s="3">
        <f t="shared" si="54"/>
        <v>65129.425533633635</v>
      </c>
      <c r="BL15" s="3">
        <f t="shared" si="54"/>
        <v>67829.973249073795</v>
      </c>
      <c r="BM15" s="3">
        <f t="shared" si="54"/>
        <v>70530.520964513984</v>
      </c>
      <c r="BN15" s="3">
        <f t="shared" si="54"/>
        <v>73231.068679954144</v>
      </c>
      <c r="BO15" s="3">
        <f t="shared" si="54"/>
        <v>72866.129799489529</v>
      </c>
      <c r="BP15" s="397">
        <f>SUM(BD15:BO15)</f>
        <v>729877.76092977577</v>
      </c>
      <c r="CF15" s="3" t="s">
        <v>957</v>
      </c>
      <c r="CG15" s="5" t="s">
        <v>394</v>
      </c>
    </row>
    <row r="16" spans="1:85" s="65" customFormat="1">
      <c r="A16" s="76" t="s">
        <v>658</v>
      </c>
      <c r="B16" s="285" t="s">
        <v>231</v>
      </c>
      <c r="C16" s="68">
        <v>-5.0000000000000001E-4</v>
      </c>
      <c r="D16" s="439">
        <f t="shared" ref="D16:O16" si="55">C16+$C$16</f>
        <v>-1E-3</v>
      </c>
      <c r="E16" s="439">
        <f t="shared" si="55"/>
        <v>-1.5E-3</v>
      </c>
      <c r="F16" s="439">
        <f t="shared" si="55"/>
        <v>-2E-3</v>
      </c>
      <c r="G16" s="439">
        <f t="shared" si="55"/>
        <v>-2.5000000000000001E-3</v>
      </c>
      <c r="H16" s="439">
        <f t="shared" si="55"/>
        <v>-3.0000000000000001E-3</v>
      </c>
      <c r="I16" s="439">
        <f t="shared" si="55"/>
        <v>-3.5000000000000001E-3</v>
      </c>
      <c r="J16" s="439">
        <f t="shared" si="55"/>
        <v>-4.0000000000000001E-3</v>
      </c>
      <c r="K16" s="439">
        <f t="shared" si="55"/>
        <v>-4.5000000000000005E-3</v>
      </c>
      <c r="L16" s="439">
        <f t="shared" si="55"/>
        <v>-5.000000000000001E-3</v>
      </c>
      <c r="M16" s="439">
        <f t="shared" si="55"/>
        <v>-5.5000000000000014E-3</v>
      </c>
      <c r="N16" s="439">
        <f t="shared" si="55"/>
        <v>-6.0000000000000019E-3</v>
      </c>
      <c r="O16" s="439">
        <f t="shared" si="55"/>
        <v>-6.5000000000000023E-3</v>
      </c>
      <c r="P16" s="438"/>
      <c r="Q16" s="439">
        <f>O16+$C$16</f>
        <v>-7.0000000000000027E-3</v>
      </c>
      <c r="R16" s="439">
        <f t="shared" ref="R16:AB16" si="56">Q16+$C$16</f>
        <v>-7.5000000000000032E-3</v>
      </c>
      <c r="S16" s="439">
        <f t="shared" si="56"/>
        <v>-8.0000000000000036E-3</v>
      </c>
      <c r="T16" s="439">
        <f t="shared" si="56"/>
        <v>-8.5000000000000041E-3</v>
      </c>
      <c r="U16" s="439">
        <f t="shared" si="56"/>
        <v>-9.0000000000000045E-3</v>
      </c>
      <c r="V16" s="439">
        <f t="shared" si="56"/>
        <v>-9.500000000000005E-3</v>
      </c>
      <c r="W16" s="439">
        <f t="shared" si="56"/>
        <v>-1.0000000000000005E-2</v>
      </c>
      <c r="X16" s="439">
        <f t="shared" si="56"/>
        <v>-1.0500000000000006E-2</v>
      </c>
      <c r="Y16" s="439">
        <f t="shared" si="56"/>
        <v>-1.1000000000000006E-2</v>
      </c>
      <c r="Z16" s="439">
        <f t="shared" si="56"/>
        <v>-1.1500000000000007E-2</v>
      </c>
      <c r="AA16" s="439">
        <f t="shared" si="56"/>
        <v>-1.2000000000000007E-2</v>
      </c>
      <c r="AB16" s="439">
        <f t="shared" si="56"/>
        <v>-1.2500000000000008E-2</v>
      </c>
      <c r="AC16" s="438"/>
      <c r="AD16" s="439">
        <f>AB16+$C$16</f>
        <v>-1.3000000000000008E-2</v>
      </c>
      <c r="AE16" s="439">
        <f t="shared" ref="AE16:AO16" si="57">AD16+$C$16</f>
        <v>-1.3500000000000009E-2</v>
      </c>
      <c r="AF16" s="439">
        <f t="shared" si="57"/>
        <v>-1.4000000000000009E-2</v>
      </c>
      <c r="AG16" s="439">
        <f t="shared" si="57"/>
        <v>-1.4500000000000009E-2</v>
      </c>
      <c r="AH16" s="439">
        <f t="shared" si="57"/>
        <v>-1.500000000000001E-2</v>
      </c>
      <c r="AI16" s="439">
        <f t="shared" si="57"/>
        <v>-1.550000000000001E-2</v>
      </c>
      <c r="AJ16" s="439">
        <f t="shared" si="57"/>
        <v>-1.6000000000000011E-2</v>
      </c>
      <c r="AK16" s="439">
        <f t="shared" si="57"/>
        <v>-1.6500000000000011E-2</v>
      </c>
      <c r="AL16" s="439">
        <f t="shared" si="57"/>
        <v>-1.7000000000000012E-2</v>
      </c>
      <c r="AM16" s="439">
        <f t="shared" si="57"/>
        <v>-1.7500000000000012E-2</v>
      </c>
      <c r="AN16" s="439">
        <f t="shared" si="57"/>
        <v>-1.8000000000000013E-2</v>
      </c>
      <c r="AO16" s="439">
        <f t="shared" si="57"/>
        <v>-1.8500000000000013E-2</v>
      </c>
      <c r="AP16" s="438"/>
      <c r="AQ16" s="439">
        <f>AO16+$C$16</f>
        <v>-1.9000000000000013E-2</v>
      </c>
      <c r="AR16" s="439">
        <f t="shared" ref="AR16:BB16" si="58">AQ16+$C$16</f>
        <v>-1.9500000000000014E-2</v>
      </c>
      <c r="AS16" s="439">
        <f t="shared" si="58"/>
        <v>-2.0000000000000014E-2</v>
      </c>
      <c r="AT16" s="439">
        <f t="shared" si="58"/>
        <v>-2.0500000000000015E-2</v>
      </c>
      <c r="AU16" s="439">
        <f t="shared" si="58"/>
        <v>-2.1000000000000015E-2</v>
      </c>
      <c r="AV16" s="439">
        <f t="shared" si="58"/>
        <v>-2.1500000000000016E-2</v>
      </c>
      <c r="AW16" s="439">
        <f t="shared" si="58"/>
        <v>-2.2000000000000016E-2</v>
      </c>
      <c r="AX16" s="439">
        <f t="shared" si="58"/>
        <v>-2.2500000000000017E-2</v>
      </c>
      <c r="AY16" s="439">
        <f t="shared" si="58"/>
        <v>-2.3000000000000017E-2</v>
      </c>
      <c r="AZ16" s="439">
        <f t="shared" si="58"/>
        <v>-2.3500000000000017E-2</v>
      </c>
      <c r="BA16" s="439">
        <f t="shared" si="58"/>
        <v>-2.4000000000000018E-2</v>
      </c>
      <c r="BB16" s="439">
        <f t="shared" si="58"/>
        <v>-2.4500000000000018E-2</v>
      </c>
      <c r="BC16" s="438"/>
      <c r="BD16" s="439">
        <f>BB16+$C$16</f>
        <v>-2.5000000000000019E-2</v>
      </c>
      <c r="BE16" s="439">
        <f t="shared" ref="BE16:BO16" si="59">BD16+$C$16</f>
        <v>-2.5500000000000019E-2</v>
      </c>
      <c r="BF16" s="439">
        <f t="shared" si="59"/>
        <v>-2.600000000000002E-2</v>
      </c>
      <c r="BG16" s="439">
        <f t="shared" si="59"/>
        <v>-2.650000000000002E-2</v>
      </c>
      <c r="BH16" s="439">
        <f t="shared" si="59"/>
        <v>-2.7000000000000021E-2</v>
      </c>
      <c r="BI16" s="439">
        <f t="shared" si="59"/>
        <v>-2.7500000000000021E-2</v>
      </c>
      <c r="BJ16" s="439">
        <f t="shared" si="59"/>
        <v>-2.8000000000000021E-2</v>
      </c>
      <c r="BK16" s="439">
        <f t="shared" si="59"/>
        <v>-2.8500000000000022E-2</v>
      </c>
      <c r="BL16" s="439">
        <f t="shared" si="59"/>
        <v>-2.9000000000000022E-2</v>
      </c>
      <c r="BM16" s="439">
        <f t="shared" si="59"/>
        <v>-2.9500000000000023E-2</v>
      </c>
      <c r="BN16" s="439">
        <f t="shared" si="59"/>
        <v>-3.0000000000000023E-2</v>
      </c>
      <c r="BO16" s="439">
        <f t="shared" si="59"/>
        <v>-3.0500000000000024E-2</v>
      </c>
      <c r="BP16" s="438"/>
      <c r="CF16" s="76" t="s">
        <v>958</v>
      </c>
      <c r="CG16" s="285" t="s">
        <v>231</v>
      </c>
    </row>
    <row r="17" spans="1:85" s="3" customFormat="1">
      <c r="A17" s="3" t="s">
        <v>657</v>
      </c>
      <c r="B17" s="5" t="s">
        <v>496</v>
      </c>
      <c r="D17" s="3">
        <f t="shared" ref="D17:O17" si="60">C18*D16</f>
        <v>0</v>
      </c>
      <c r="E17" s="3">
        <f t="shared" si="60"/>
        <v>0</v>
      </c>
      <c r="F17" s="3">
        <f t="shared" si="60"/>
        <v>0</v>
      </c>
      <c r="G17" s="3">
        <f t="shared" si="60"/>
        <v>0</v>
      </c>
      <c r="H17" s="3">
        <f t="shared" si="60"/>
        <v>0</v>
      </c>
      <c r="I17" s="3">
        <f t="shared" si="60"/>
        <v>0</v>
      </c>
      <c r="J17" s="3">
        <f t="shared" si="60"/>
        <v>0</v>
      </c>
      <c r="K17" s="3">
        <f t="shared" si="60"/>
        <v>-38.440464287601579</v>
      </c>
      <c r="L17" s="3">
        <f t="shared" si="60"/>
        <v>-87.078670745113939</v>
      </c>
      <c r="M17" s="3">
        <f t="shared" si="60"/>
        <v>-146.35515682240239</v>
      </c>
      <c r="N17" s="3">
        <f t="shared" si="60"/>
        <v>-216.68742126029323</v>
      </c>
      <c r="O17" s="3">
        <f t="shared" si="60"/>
        <v>-298.46897249855778</v>
      </c>
      <c r="P17" s="397">
        <f>SUM(D17:O17)</f>
        <v>-787.0306856139689</v>
      </c>
      <c r="Q17" s="3">
        <f t="shared" ref="Q17:AB17" si="61">P18*Q16</f>
        <v>-389.13223657107841</v>
      </c>
      <c r="R17" s="3">
        <f t="shared" si="61"/>
        <v>-589.71280504567244</v>
      </c>
      <c r="S17" s="3">
        <f t="shared" si="61"/>
        <v>-822.67591074128211</v>
      </c>
      <c r="T17" s="3">
        <f t="shared" si="61"/>
        <v>-1089.4983926024813</v>
      </c>
      <c r="U17" s="3">
        <f t="shared" si="61"/>
        <v>-1391.5790329489005</v>
      </c>
      <c r="V17" s="3">
        <f t="shared" si="61"/>
        <v>-1730.2356069158031</v>
      </c>
      <c r="W17" s="3">
        <f t="shared" si="61"/>
        <v>-2106.7021955701289</v>
      </c>
      <c r="X17" s="3">
        <f t="shared" si="61"/>
        <v>-2522.1267702603732</v>
      </c>
      <c r="Y17" s="3">
        <f t="shared" si="61"/>
        <v>-2977.5690546208252</v>
      </c>
      <c r="Z17" s="3">
        <f t="shared" si="61"/>
        <v>-3473.9986694919062</v>
      </c>
      <c r="AA17" s="3">
        <f t="shared" si="61"/>
        <v>-4012.2935648446114</v>
      </c>
      <c r="AB17" s="3">
        <f t="shared" si="61"/>
        <v>-4593.2387416142792</v>
      </c>
      <c r="AC17" s="397">
        <f>SUM(Q17:AB17)</f>
        <v>-25698.762981227344</v>
      </c>
      <c r="AD17" s="3">
        <f t="shared" ref="AD17:AO17" si="62">AC18*AD16</f>
        <v>-5197.3285641800494</v>
      </c>
      <c r="AE17" s="3">
        <f t="shared" si="62"/>
        <v>-5811.7567317965304</v>
      </c>
      <c r="AF17" s="3">
        <f t="shared" si="62"/>
        <v>-6477.6540371080637</v>
      </c>
      <c r="AG17" s="3">
        <f t="shared" si="62"/>
        <v>-7196.4988001873999</v>
      </c>
      <c r="AH17" s="3">
        <f t="shared" si="62"/>
        <v>-7969.6442280308056</v>
      </c>
      <c r="AI17" s="3">
        <f t="shared" si="62"/>
        <v>-8798.3166580105681</v>
      </c>
      <c r="AJ17" s="3">
        <f t="shared" si="62"/>
        <v>-9683.614204771493</v>
      </c>
      <c r="AK17" s="3">
        <f t="shared" si="62"/>
        <v>-10626.505810062477</v>
      </c>
      <c r="AL17" s="3">
        <f t="shared" si="62"/>
        <v>-11627.830693389114</v>
      </c>
      <c r="AM17" s="3">
        <f t="shared" si="62"/>
        <v>-12688.298199798599</v>
      </c>
      <c r="AN17" s="3">
        <f t="shared" si="62"/>
        <v>-13808.488039571203</v>
      </c>
      <c r="AO17" s="3">
        <f t="shared" si="62"/>
        <v>-14988.850913100843</v>
      </c>
      <c r="AP17" s="397">
        <f>SUM(AD17:AO17)</f>
        <v>-114874.78688000716</v>
      </c>
      <c r="AQ17" s="3">
        <f t="shared" ref="AQ17:BB17" si="63">AP18*AQ16</f>
        <v>-16184.471326735882</v>
      </c>
      <c r="AR17" s="3">
        <f t="shared" si="63"/>
        <v>-17083.486430765886</v>
      </c>
      <c r="AS17" s="3">
        <f t="shared" si="63"/>
        <v>-18036.041626097416</v>
      </c>
      <c r="AT17" s="3">
        <f t="shared" si="63"/>
        <v>-19043.235201691583</v>
      </c>
      <c r="AU17" s="3">
        <f t="shared" si="63"/>
        <v>-20106.035302258715</v>
      </c>
      <c r="AV17" s="3">
        <f t="shared" si="63"/>
        <v>-21225.279980637351</v>
      </c>
      <c r="AW17" s="3">
        <f t="shared" si="63"/>
        <v>-22401.677639453621</v>
      </c>
      <c r="AX17" s="3">
        <f t="shared" si="63"/>
        <v>-23635.807853118949</v>
      </c>
      <c r="AY17" s="3">
        <f t="shared" si="63"/>
        <v>-24928.12255987243</v>
      </c>
      <c r="AZ17" s="3">
        <f t="shared" si="63"/>
        <v>-26278.947612294829</v>
      </c>
      <c r="BA17" s="3">
        <f t="shared" si="63"/>
        <v>-27688.484673518811</v>
      </c>
      <c r="BB17" s="3">
        <f t="shared" si="63"/>
        <v>-29156.813445238939</v>
      </c>
      <c r="BC17" s="397">
        <f>SUM(AQ17:BB17)</f>
        <v>-265768.40365168441</v>
      </c>
      <c r="BD17" s="3">
        <f t="shared" ref="BD17:BO17" si="64">BC18*BD16</f>
        <v>-30616.838308746886</v>
      </c>
      <c r="BE17" s="3">
        <f t="shared" si="64"/>
        <v>-31627.198281950368</v>
      </c>
      <c r="BF17" s="3">
        <f t="shared" si="64"/>
        <v>-32697.111889668809</v>
      </c>
      <c r="BG17" s="3">
        <f t="shared" si="64"/>
        <v>-33827.53624220092</v>
      </c>
      <c r="BH17" s="3">
        <f t="shared" si="64"/>
        <v>-35019.283500598314</v>
      </c>
      <c r="BI17" s="3">
        <f t="shared" si="64"/>
        <v>-36273.022469994052</v>
      </c>
      <c r="BJ17" s="3">
        <f t="shared" si="64"/>
        <v>-37589.280583165746</v>
      </c>
      <c r="BK17" s="3">
        <f t="shared" si="64"/>
        <v>-38968.446257634852</v>
      </c>
      <c r="BL17" s="3">
        <f t="shared" si="64"/>
        <v>-40410.771608527153</v>
      </c>
      <c r="BM17" s="3">
        <f t="shared" si="64"/>
        <v>-41916.375498449619</v>
      </c>
      <c r="BN17" s="3">
        <f t="shared" si="64"/>
        <v>-43485.246904778149</v>
      </c>
      <c r="BO17" s="3">
        <f t="shared" si="64"/>
        <v>-45117.248584000656</v>
      </c>
      <c r="BP17" s="397">
        <f>SUM(BD17:BO17)</f>
        <v>-447548.36012971553</v>
      </c>
      <c r="CF17" s="3" t="s">
        <v>959</v>
      </c>
      <c r="CG17" s="5" t="s">
        <v>394</v>
      </c>
    </row>
    <row r="18" spans="1:85" s="60" customFormat="1" ht="15.6">
      <c r="A18" s="60" t="s">
        <v>695</v>
      </c>
      <c r="B18" s="5" t="s">
        <v>496</v>
      </c>
      <c r="D18" s="60">
        <f t="shared" ref="D18:O18" si="65">C18+D15+D17</f>
        <v>0</v>
      </c>
      <c r="E18" s="60">
        <f t="shared" si="65"/>
        <v>0</v>
      </c>
      <c r="F18" s="60">
        <f t="shared" si="65"/>
        <v>0</v>
      </c>
      <c r="G18" s="60">
        <f t="shared" si="65"/>
        <v>0</v>
      </c>
      <c r="H18" s="60">
        <f t="shared" si="65"/>
        <v>0</v>
      </c>
      <c r="I18" s="60">
        <f t="shared" si="65"/>
        <v>0</v>
      </c>
      <c r="J18" s="60">
        <f t="shared" si="65"/>
        <v>8542.3253972447947</v>
      </c>
      <c r="K18" s="60">
        <f t="shared" si="65"/>
        <v>17415.734149022785</v>
      </c>
      <c r="L18" s="60">
        <f t="shared" si="65"/>
        <v>26610.028513164067</v>
      </c>
      <c r="M18" s="60">
        <f t="shared" si="65"/>
        <v>36114.570210048863</v>
      </c>
      <c r="N18" s="60">
        <f t="shared" si="65"/>
        <v>45918.303461316566</v>
      </c>
      <c r="O18" s="60">
        <f t="shared" si="65"/>
        <v>55590.31951015404</v>
      </c>
      <c r="P18" s="372">
        <f>O18</f>
        <v>55590.31951015404</v>
      </c>
      <c r="Q18" s="60">
        <f t="shared" ref="Q18:AB18" si="66">P18+Q15+Q17</f>
        <v>78628.374006089623</v>
      </c>
      <c r="R18" s="60">
        <f t="shared" si="66"/>
        <v>102834.48884266021</v>
      </c>
      <c r="S18" s="60">
        <f t="shared" si="66"/>
        <v>128176.28148264479</v>
      </c>
      <c r="T18" s="60">
        <f t="shared" si="66"/>
        <v>154619.89254987775</v>
      </c>
      <c r="U18" s="60">
        <f t="shared" si="66"/>
        <v>182130.06388587391</v>
      </c>
      <c r="V18" s="60">
        <f t="shared" si="66"/>
        <v>210670.21955701275</v>
      </c>
      <c r="W18" s="60">
        <f t="shared" si="66"/>
        <v>240202.54954860685</v>
      </c>
      <c r="X18" s="60">
        <f t="shared" si="66"/>
        <v>270688.09587462031</v>
      </c>
      <c r="Y18" s="60">
        <f t="shared" si="66"/>
        <v>302086.84082538297</v>
      </c>
      <c r="Z18" s="60">
        <f t="shared" si="66"/>
        <v>334357.79707038408</v>
      </c>
      <c r="AA18" s="60">
        <f t="shared" si="66"/>
        <v>367459.09932914213</v>
      </c>
      <c r="AB18" s="60">
        <f t="shared" si="66"/>
        <v>399794.50493692665</v>
      </c>
      <c r="AC18" s="372">
        <f>AB18</f>
        <v>399794.50493692665</v>
      </c>
      <c r="AD18" s="60">
        <f t="shared" ref="AD18:AO18" si="67">AC18+AD15+AD17</f>
        <v>430500.49865159456</v>
      </c>
      <c r="AE18" s="60">
        <f t="shared" si="67"/>
        <v>462689.57407914713</v>
      </c>
      <c r="AF18" s="60">
        <f t="shared" si="67"/>
        <v>496310.26208188932</v>
      </c>
      <c r="AG18" s="60">
        <f t="shared" si="67"/>
        <v>531309.61520205333</v>
      </c>
      <c r="AH18" s="60">
        <f t="shared" si="67"/>
        <v>567633.33277487499</v>
      </c>
      <c r="AI18" s="60">
        <f t="shared" si="67"/>
        <v>605225.88779821794</v>
      </c>
      <c r="AJ18" s="60">
        <f t="shared" si="67"/>
        <v>644030.65515530121</v>
      </c>
      <c r="AK18" s="60">
        <f t="shared" si="67"/>
        <v>683990.04078759451</v>
      </c>
      <c r="AL18" s="60">
        <f t="shared" si="67"/>
        <v>725045.61141706235</v>
      </c>
      <c r="AM18" s="60">
        <f t="shared" si="67"/>
        <v>767138.22442062187</v>
      </c>
      <c r="AN18" s="60">
        <f t="shared" si="67"/>
        <v>810208.15746490983</v>
      </c>
      <c r="AO18" s="60">
        <f t="shared" si="67"/>
        <v>851814.28035451949</v>
      </c>
      <c r="AP18" s="372">
        <f>AO18</f>
        <v>851814.28035451949</v>
      </c>
      <c r="AQ18" s="60">
        <f t="shared" ref="AQ18:BB18" si="68">AP18+AQ15+AQ17</f>
        <v>876076.22721876274</v>
      </c>
      <c r="AR18" s="60">
        <f t="shared" si="68"/>
        <v>901802.08130487008</v>
      </c>
      <c r="AS18" s="60">
        <f t="shared" si="68"/>
        <v>928938.30252153997</v>
      </c>
      <c r="AT18" s="60">
        <f t="shared" si="68"/>
        <v>957430.25248850964</v>
      </c>
      <c r="AU18" s="60">
        <f t="shared" si="68"/>
        <v>987222.32468080637</v>
      </c>
      <c r="AV18" s="60">
        <f t="shared" si="68"/>
        <v>1018258.0745206184</v>
      </c>
      <c r="AW18" s="60">
        <f t="shared" si="68"/>
        <v>1050480.3490275082</v>
      </c>
      <c r="AX18" s="60">
        <f t="shared" si="68"/>
        <v>1083831.4156466266</v>
      </c>
      <c r="AY18" s="60">
        <f t="shared" si="68"/>
        <v>1118253.0898848856</v>
      </c>
      <c r="AZ18" s="60">
        <f t="shared" si="68"/>
        <v>1153686.8613966163</v>
      </c>
      <c r="BA18" s="60">
        <f t="shared" si="68"/>
        <v>1190074.0181730171</v>
      </c>
      <c r="BB18" s="60">
        <f t="shared" si="68"/>
        <v>1224673.5323498745</v>
      </c>
      <c r="BC18" s="372">
        <f>BB18</f>
        <v>1224673.5323498745</v>
      </c>
      <c r="BD18" s="60">
        <f t="shared" ref="BD18:BO18" si="69">BC18+BD15+BD17</f>
        <v>1240282.2855666801</v>
      </c>
      <c r="BE18" s="60">
        <f t="shared" si="69"/>
        <v>1257581.2265257225</v>
      </c>
      <c r="BF18" s="60">
        <f t="shared" si="69"/>
        <v>1276510.8015924867</v>
      </c>
      <c r="BG18" s="60">
        <f t="shared" si="69"/>
        <v>1297010.5000221587</v>
      </c>
      <c r="BH18" s="60">
        <f t="shared" si="69"/>
        <v>1319018.9989088736</v>
      </c>
      <c r="BI18" s="60">
        <f t="shared" si="69"/>
        <v>1342474.3065416329</v>
      </c>
      <c r="BJ18" s="60">
        <f t="shared" si="69"/>
        <v>1367313.9037766606</v>
      </c>
      <c r="BK18" s="60">
        <f t="shared" si="69"/>
        <v>1393474.8830526595</v>
      </c>
      <c r="BL18" s="60">
        <f t="shared" si="69"/>
        <v>1420894.0846932062</v>
      </c>
      <c r="BM18" s="60">
        <f t="shared" si="69"/>
        <v>1449508.2301592706</v>
      </c>
      <c r="BN18" s="60">
        <f t="shared" si="69"/>
        <v>1479254.0519344467</v>
      </c>
      <c r="BO18" s="60">
        <f t="shared" si="69"/>
        <v>1507002.9331499357</v>
      </c>
      <c r="BP18" s="372">
        <f>BO18</f>
        <v>1507002.9331499357</v>
      </c>
      <c r="CF18" s="60" t="s">
        <v>1177</v>
      </c>
      <c r="CG18" s="5" t="s">
        <v>394</v>
      </c>
    </row>
    <row r="19" spans="1:85" s="78" customFormat="1">
      <c r="A19" s="78" t="s">
        <v>124</v>
      </c>
      <c r="B19" s="5" t="s">
        <v>130</v>
      </c>
      <c r="D19" s="78">
        <f>P19</f>
        <v>15000</v>
      </c>
      <c r="E19" s="78">
        <f>P19</f>
        <v>15000</v>
      </c>
      <c r="F19" s="78">
        <f>P19</f>
        <v>15000</v>
      </c>
      <c r="G19" s="78">
        <f>P19</f>
        <v>15000</v>
      </c>
      <c r="H19" s="78">
        <f>P19</f>
        <v>15000</v>
      </c>
      <c r="I19" s="78">
        <f>P19</f>
        <v>15000</v>
      </c>
      <c r="J19" s="78">
        <f>P19</f>
        <v>15000</v>
      </c>
      <c r="K19" s="78">
        <f>P19</f>
        <v>15000</v>
      </c>
      <c r="L19" s="78">
        <f>P19</f>
        <v>15000</v>
      </c>
      <c r="M19" s="78">
        <f>P19</f>
        <v>15000</v>
      </c>
      <c r="N19" s="78">
        <f>P19</f>
        <v>15000</v>
      </c>
      <c r="O19" s="78">
        <f>P19</f>
        <v>15000</v>
      </c>
      <c r="P19" s="437">
        <f>Funnel!E44</f>
        <v>15000</v>
      </c>
      <c r="Q19" s="78">
        <f>AC19</f>
        <v>15000</v>
      </c>
      <c r="R19" s="78">
        <f>AC19</f>
        <v>15000</v>
      </c>
      <c r="S19" s="78">
        <f>AC19</f>
        <v>15000</v>
      </c>
      <c r="T19" s="78">
        <f>AC19</f>
        <v>15000</v>
      </c>
      <c r="U19" s="78">
        <f>AC19</f>
        <v>15000</v>
      </c>
      <c r="V19" s="78">
        <f>AC19</f>
        <v>15000</v>
      </c>
      <c r="W19" s="78">
        <f>AC19</f>
        <v>15000</v>
      </c>
      <c r="X19" s="78">
        <f>AC19</f>
        <v>15000</v>
      </c>
      <c r="Y19" s="78">
        <f>AC19</f>
        <v>15000</v>
      </c>
      <c r="Z19" s="78">
        <f>AC19</f>
        <v>15000</v>
      </c>
      <c r="AA19" s="78">
        <f>AC19</f>
        <v>15000</v>
      </c>
      <c r="AB19" s="78">
        <f>AC19</f>
        <v>15000</v>
      </c>
      <c r="AC19" s="437">
        <f>Funnel!F44</f>
        <v>15000</v>
      </c>
      <c r="AD19" s="78">
        <f>AP19</f>
        <v>15000</v>
      </c>
      <c r="AE19" s="78">
        <f>AP19</f>
        <v>15000</v>
      </c>
      <c r="AF19" s="78">
        <f>AP19</f>
        <v>15000</v>
      </c>
      <c r="AG19" s="78">
        <f>AP19</f>
        <v>15000</v>
      </c>
      <c r="AH19" s="78">
        <f>AP19</f>
        <v>15000</v>
      </c>
      <c r="AI19" s="78">
        <f>AP19</f>
        <v>15000</v>
      </c>
      <c r="AJ19" s="78">
        <f>AP19</f>
        <v>15000</v>
      </c>
      <c r="AK19" s="78">
        <f>AP19</f>
        <v>15000</v>
      </c>
      <c r="AL19" s="78">
        <f>AP19</f>
        <v>15000</v>
      </c>
      <c r="AM19" s="78">
        <f>AP19</f>
        <v>15000</v>
      </c>
      <c r="AN19" s="78">
        <f>AP19</f>
        <v>15000</v>
      </c>
      <c r="AO19" s="78">
        <f>AP19</f>
        <v>15000</v>
      </c>
      <c r="AP19" s="437">
        <f>Funnel!G44</f>
        <v>15000</v>
      </c>
      <c r="AQ19" s="78">
        <f>BC19</f>
        <v>15000</v>
      </c>
      <c r="AR19" s="78">
        <f>BC19</f>
        <v>15000</v>
      </c>
      <c r="AS19" s="78">
        <f>BC19</f>
        <v>15000</v>
      </c>
      <c r="AT19" s="78">
        <f>BC19</f>
        <v>15000</v>
      </c>
      <c r="AU19" s="78">
        <f>BC19</f>
        <v>15000</v>
      </c>
      <c r="AV19" s="78">
        <f>BC19</f>
        <v>15000</v>
      </c>
      <c r="AW19" s="78">
        <f>BC19</f>
        <v>15000</v>
      </c>
      <c r="AX19" s="78">
        <f>BC19</f>
        <v>15000</v>
      </c>
      <c r="AY19" s="78">
        <f>BC19</f>
        <v>15000</v>
      </c>
      <c r="AZ19" s="78">
        <f>BC19</f>
        <v>15000</v>
      </c>
      <c r="BA19" s="78">
        <f>BC19</f>
        <v>15000</v>
      </c>
      <c r="BB19" s="78">
        <f>BC19</f>
        <v>15000</v>
      </c>
      <c r="BC19" s="437">
        <f>Funnel!H44</f>
        <v>15000</v>
      </c>
      <c r="BD19" s="78">
        <f>BP19</f>
        <v>15000</v>
      </c>
      <c r="BE19" s="78">
        <f>BP19</f>
        <v>15000</v>
      </c>
      <c r="BF19" s="78">
        <f>BP19</f>
        <v>15000</v>
      </c>
      <c r="BG19" s="78">
        <f>BP19</f>
        <v>15000</v>
      </c>
      <c r="BH19" s="78">
        <f>BP19</f>
        <v>15000</v>
      </c>
      <c r="BI19" s="78">
        <f>BP19</f>
        <v>15000</v>
      </c>
      <c r="BJ19" s="78">
        <f>BP19</f>
        <v>15000</v>
      </c>
      <c r="BK19" s="78">
        <f>BP19</f>
        <v>15000</v>
      </c>
      <c r="BL19" s="78">
        <f>BP19</f>
        <v>15000</v>
      </c>
      <c r="BM19" s="78">
        <f>BP19</f>
        <v>15000</v>
      </c>
      <c r="BN19" s="78">
        <f>BP19</f>
        <v>15000</v>
      </c>
      <c r="BO19" s="78">
        <f>BP19</f>
        <v>15000</v>
      </c>
      <c r="BP19" s="437">
        <f>Funnel!I44</f>
        <v>15000</v>
      </c>
      <c r="CF19" s="78" t="s">
        <v>1052</v>
      </c>
      <c r="CG19" s="5" t="s">
        <v>966</v>
      </c>
    </row>
    <row r="20" spans="1:85" s="3" customFormat="1">
      <c r="A20" s="3" t="s">
        <v>162</v>
      </c>
      <c r="B20" s="5" t="s">
        <v>502</v>
      </c>
      <c r="D20" s="3">
        <f t="shared" ref="D20:O20" si="70">D18*D19/1000000</f>
        <v>0</v>
      </c>
      <c r="E20" s="3">
        <f t="shared" si="70"/>
        <v>0</v>
      </c>
      <c r="F20" s="3">
        <f t="shared" si="70"/>
        <v>0</v>
      </c>
      <c r="G20" s="3">
        <f t="shared" si="70"/>
        <v>0</v>
      </c>
      <c r="H20" s="3">
        <f t="shared" si="70"/>
        <v>0</v>
      </c>
      <c r="I20" s="3">
        <f t="shared" si="70"/>
        <v>0</v>
      </c>
      <c r="J20" s="3">
        <f t="shared" si="70"/>
        <v>128.13488095867191</v>
      </c>
      <c r="K20" s="3">
        <f t="shared" si="70"/>
        <v>261.23601223534178</v>
      </c>
      <c r="L20" s="3">
        <f t="shared" si="70"/>
        <v>399.150427697461</v>
      </c>
      <c r="M20" s="3">
        <f t="shared" si="70"/>
        <v>541.71855315073299</v>
      </c>
      <c r="N20" s="3">
        <f t="shared" si="70"/>
        <v>688.77455191974843</v>
      </c>
      <c r="O20" s="3">
        <f t="shared" si="70"/>
        <v>833.85479265231061</v>
      </c>
      <c r="P20" s="397">
        <f>O20</f>
        <v>833.85479265231061</v>
      </c>
      <c r="Q20" s="3">
        <f t="shared" ref="Q20:AB20" si="71">Q18*Q19/1000000</f>
        <v>1179.4256100913444</v>
      </c>
      <c r="R20" s="3">
        <f t="shared" si="71"/>
        <v>1542.5173326399031</v>
      </c>
      <c r="S20" s="3">
        <f t="shared" si="71"/>
        <v>1922.6442222396718</v>
      </c>
      <c r="T20" s="3">
        <f t="shared" si="71"/>
        <v>2319.2983882481662</v>
      </c>
      <c r="U20" s="3">
        <f t="shared" si="71"/>
        <v>2731.9509582881087</v>
      </c>
      <c r="V20" s="3">
        <f t="shared" si="71"/>
        <v>3160.0532933551913</v>
      </c>
      <c r="W20" s="3">
        <f t="shared" si="71"/>
        <v>3603.0382432291026</v>
      </c>
      <c r="X20" s="3">
        <f t="shared" si="71"/>
        <v>4060.3214381193047</v>
      </c>
      <c r="Y20" s="3">
        <f t="shared" si="71"/>
        <v>4531.3026123807449</v>
      </c>
      <c r="Z20" s="3">
        <f t="shared" si="71"/>
        <v>5015.366956055761</v>
      </c>
      <c r="AA20" s="3">
        <f t="shared" si="71"/>
        <v>5511.886489937132</v>
      </c>
      <c r="AB20" s="3">
        <f t="shared" si="71"/>
        <v>5996.9175740538994</v>
      </c>
      <c r="AC20" s="397">
        <f>AB20</f>
        <v>5996.9175740538994</v>
      </c>
      <c r="AD20" s="3">
        <f t="shared" ref="AD20:AO20" si="72">AD18*AD19/1000000</f>
        <v>6457.507479773918</v>
      </c>
      <c r="AE20" s="3">
        <f t="shared" si="72"/>
        <v>6940.343611187207</v>
      </c>
      <c r="AF20" s="3">
        <f t="shared" si="72"/>
        <v>7444.6539312283403</v>
      </c>
      <c r="AG20" s="3">
        <f t="shared" si="72"/>
        <v>7969.6442280308002</v>
      </c>
      <c r="AH20" s="3">
        <f t="shared" si="72"/>
        <v>8514.4999916231245</v>
      </c>
      <c r="AI20" s="3">
        <f t="shared" si="72"/>
        <v>9078.388316973269</v>
      </c>
      <c r="AJ20" s="3">
        <f t="shared" si="72"/>
        <v>9660.4598273295178</v>
      </c>
      <c r="AK20" s="3">
        <f t="shared" si="72"/>
        <v>10259.850611813918</v>
      </c>
      <c r="AL20" s="3">
        <f t="shared" si="72"/>
        <v>10875.684171255936</v>
      </c>
      <c r="AM20" s="3">
        <f t="shared" si="72"/>
        <v>11507.073366309329</v>
      </c>
      <c r="AN20" s="3">
        <f t="shared" si="72"/>
        <v>12153.122361973648</v>
      </c>
      <c r="AO20" s="3">
        <f t="shared" si="72"/>
        <v>12777.214205317792</v>
      </c>
      <c r="AP20" s="397">
        <f>AO20</f>
        <v>12777.214205317792</v>
      </c>
      <c r="AQ20" s="3">
        <f t="shared" ref="AQ20:BB20" si="73">AQ18*AQ19/1000000</f>
        <v>13141.143408281441</v>
      </c>
      <c r="AR20" s="3">
        <f t="shared" si="73"/>
        <v>13527.031219573051</v>
      </c>
      <c r="AS20" s="3">
        <f t="shared" si="73"/>
        <v>13934.074537823099</v>
      </c>
      <c r="AT20" s="3">
        <f t="shared" si="73"/>
        <v>14361.453787327644</v>
      </c>
      <c r="AU20" s="3">
        <f t="shared" si="73"/>
        <v>14808.334870212095</v>
      </c>
      <c r="AV20" s="3">
        <f t="shared" si="73"/>
        <v>15273.871117809276</v>
      </c>
      <c r="AW20" s="3">
        <f t="shared" si="73"/>
        <v>15757.205235412623</v>
      </c>
      <c r="AX20" s="3">
        <f t="shared" si="73"/>
        <v>16257.4712346994</v>
      </c>
      <c r="AY20" s="3">
        <f t="shared" si="73"/>
        <v>16773.796348273285</v>
      </c>
      <c r="AZ20" s="3">
        <f t="shared" si="73"/>
        <v>17305.302920949245</v>
      </c>
      <c r="BA20" s="3">
        <f t="shared" si="73"/>
        <v>17851.110272595255</v>
      </c>
      <c r="BB20" s="3">
        <f t="shared" si="73"/>
        <v>18370.102985248119</v>
      </c>
      <c r="BC20" s="397">
        <f>BB20</f>
        <v>18370.102985248119</v>
      </c>
      <c r="BD20" s="3">
        <f t="shared" ref="BD20:BO20" si="74">BD18*BD19/1000000</f>
        <v>18604.234283500202</v>
      </c>
      <c r="BE20" s="3">
        <f t="shared" si="74"/>
        <v>18863.718397885837</v>
      </c>
      <c r="BF20" s="3">
        <f t="shared" si="74"/>
        <v>19147.6620238873</v>
      </c>
      <c r="BG20" s="3">
        <f t="shared" si="74"/>
        <v>19455.157500332381</v>
      </c>
      <c r="BH20" s="3">
        <f t="shared" si="74"/>
        <v>19785.284983633108</v>
      </c>
      <c r="BI20" s="3">
        <f t="shared" si="74"/>
        <v>20137.114598124492</v>
      </c>
      <c r="BJ20" s="3">
        <f t="shared" si="74"/>
        <v>20509.708556649912</v>
      </c>
      <c r="BK20" s="3">
        <f t="shared" si="74"/>
        <v>20902.123245789891</v>
      </c>
      <c r="BL20" s="3">
        <f t="shared" si="74"/>
        <v>21313.411270398094</v>
      </c>
      <c r="BM20" s="3">
        <f t="shared" si="74"/>
        <v>21742.623452389056</v>
      </c>
      <c r="BN20" s="3">
        <f t="shared" si="74"/>
        <v>22188.810779016701</v>
      </c>
      <c r="BO20" s="3">
        <f t="shared" si="74"/>
        <v>22605.043997249035</v>
      </c>
      <c r="BP20" s="397">
        <f>BO20</f>
        <v>22605.043997249035</v>
      </c>
      <c r="CF20" s="3" t="s">
        <v>1041</v>
      </c>
      <c r="CG20" s="5" t="s">
        <v>965</v>
      </c>
    </row>
    <row r="21" spans="1:85" s="65" customFormat="1">
      <c r="A21" s="76" t="s">
        <v>113</v>
      </c>
      <c r="B21" s="285" t="s">
        <v>231</v>
      </c>
      <c r="C21" s="40"/>
      <c r="D21" s="65">
        <f>P21</f>
        <v>0.8</v>
      </c>
      <c r="E21" s="65">
        <f>P21</f>
        <v>0.8</v>
      </c>
      <c r="F21" s="65">
        <f>P21</f>
        <v>0.8</v>
      </c>
      <c r="G21" s="65">
        <f>P21</f>
        <v>0.8</v>
      </c>
      <c r="H21" s="65">
        <f>P21</f>
        <v>0.8</v>
      </c>
      <c r="I21" s="65">
        <f>P21</f>
        <v>0.8</v>
      </c>
      <c r="J21" s="65">
        <f>P21</f>
        <v>0.8</v>
      </c>
      <c r="K21" s="65">
        <f>P21</f>
        <v>0.8</v>
      </c>
      <c r="L21" s="65">
        <f>P21</f>
        <v>0.8</v>
      </c>
      <c r="M21" s="65">
        <f>P21</f>
        <v>0.8</v>
      </c>
      <c r="N21" s="65">
        <f>P21</f>
        <v>0.8</v>
      </c>
      <c r="O21" s="65">
        <f>P21</f>
        <v>0.8</v>
      </c>
      <c r="P21" s="426">
        <f>Funnel!E47</f>
        <v>0.8</v>
      </c>
      <c r="Q21" s="65">
        <f>AC21</f>
        <v>0.8</v>
      </c>
      <c r="R21" s="65">
        <f>AC21</f>
        <v>0.8</v>
      </c>
      <c r="S21" s="65">
        <f>AC21</f>
        <v>0.8</v>
      </c>
      <c r="T21" s="65">
        <f>AC21</f>
        <v>0.8</v>
      </c>
      <c r="U21" s="65">
        <f>AC21</f>
        <v>0.8</v>
      </c>
      <c r="V21" s="65">
        <f>AC21</f>
        <v>0.8</v>
      </c>
      <c r="W21" s="65">
        <f>AC21</f>
        <v>0.8</v>
      </c>
      <c r="X21" s="65">
        <f>AC21</f>
        <v>0.8</v>
      </c>
      <c r="Y21" s="65">
        <f>AC21</f>
        <v>0.8</v>
      </c>
      <c r="Z21" s="65">
        <f>AC21</f>
        <v>0.8</v>
      </c>
      <c r="AA21" s="65">
        <f>AC21</f>
        <v>0.8</v>
      </c>
      <c r="AB21" s="65">
        <f>AC21</f>
        <v>0.8</v>
      </c>
      <c r="AC21" s="426">
        <f>Funnel!F47</f>
        <v>0.8</v>
      </c>
      <c r="AD21" s="65">
        <f>AP21</f>
        <v>0.8</v>
      </c>
      <c r="AE21" s="65">
        <f>AP21</f>
        <v>0.8</v>
      </c>
      <c r="AF21" s="65">
        <f>AP21</f>
        <v>0.8</v>
      </c>
      <c r="AG21" s="65">
        <f>AP21</f>
        <v>0.8</v>
      </c>
      <c r="AH21" s="65">
        <f>AP21</f>
        <v>0.8</v>
      </c>
      <c r="AI21" s="65">
        <f>AP21</f>
        <v>0.8</v>
      </c>
      <c r="AJ21" s="65">
        <f>AP21</f>
        <v>0.8</v>
      </c>
      <c r="AK21" s="65">
        <f>AP21</f>
        <v>0.8</v>
      </c>
      <c r="AL21" s="65">
        <f>AP21</f>
        <v>0.8</v>
      </c>
      <c r="AM21" s="65">
        <f>AP21</f>
        <v>0.8</v>
      </c>
      <c r="AN21" s="65">
        <f>AP21</f>
        <v>0.8</v>
      </c>
      <c r="AO21" s="65">
        <f>AP21</f>
        <v>0.8</v>
      </c>
      <c r="AP21" s="426">
        <f>Funnel!G47</f>
        <v>0.8</v>
      </c>
      <c r="AQ21" s="65">
        <f>BC21</f>
        <v>0.8</v>
      </c>
      <c r="AR21" s="65">
        <f>BC21</f>
        <v>0.8</v>
      </c>
      <c r="AS21" s="65">
        <f>BC21</f>
        <v>0.8</v>
      </c>
      <c r="AT21" s="65">
        <f>BC21</f>
        <v>0.8</v>
      </c>
      <c r="AU21" s="65">
        <f>BC21</f>
        <v>0.8</v>
      </c>
      <c r="AV21" s="65">
        <f>BC21</f>
        <v>0.8</v>
      </c>
      <c r="AW21" s="65">
        <f>BC21</f>
        <v>0.8</v>
      </c>
      <c r="AX21" s="65">
        <f>BC21</f>
        <v>0.8</v>
      </c>
      <c r="AY21" s="65">
        <f>BC21</f>
        <v>0.8</v>
      </c>
      <c r="AZ21" s="65">
        <f>BC21</f>
        <v>0.8</v>
      </c>
      <c r="BA21" s="65">
        <f>BC21</f>
        <v>0.8</v>
      </c>
      <c r="BB21" s="65">
        <f>BC21</f>
        <v>0.8</v>
      </c>
      <c r="BC21" s="426">
        <f>Funnel!H47</f>
        <v>0.8</v>
      </c>
      <c r="BD21" s="65">
        <f>BP21</f>
        <v>0.8</v>
      </c>
      <c r="BE21" s="65">
        <f>BP21</f>
        <v>0.8</v>
      </c>
      <c r="BF21" s="65">
        <f>BP21</f>
        <v>0.8</v>
      </c>
      <c r="BG21" s="65">
        <f>BP21</f>
        <v>0.8</v>
      </c>
      <c r="BH21" s="65">
        <f>BP21</f>
        <v>0.8</v>
      </c>
      <c r="BI21" s="65">
        <f>BP21</f>
        <v>0.8</v>
      </c>
      <c r="BJ21" s="65">
        <f>BP21</f>
        <v>0.8</v>
      </c>
      <c r="BK21" s="65">
        <f>BP21</f>
        <v>0.8</v>
      </c>
      <c r="BL21" s="65">
        <f>BP21</f>
        <v>0.8</v>
      </c>
      <c r="BM21" s="65">
        <f>BP21</f>
        <v>0.8</v>
      </c>
      <c r="BN21" s="65">
        <f>BP21</f>
        <v>0.8</v>
      </c>
      <c r="BO21" s="65">
        <f>BP21</f>
        <v>0.8</v>
      </c>
      <c r="BP21" s="426">
        <f>Funnel!I47</f>
        <v>0.8</v>
      </c>
      <c r="CF21" s="76" t="s">
        <v>1042</v>
      </c>
      <c r="CG21" s="285" t="s">
        <v>231</v>
      </c>
    </row>
    <row r="22" spans="1:85" s="60" customFormat="1" ht="15.6">
      <c r="A22" s="60" t="s">
        <v>694</v>
      </c>
      <c r="B22" s="5" t="s">
        <v>245</v>
      </c>
      <c r="D22" s="60">
        <f t="shared" ref="D22:O22" si="75">D18*D21</f>
        <v>0</v>
      </c>
      <c r="E22" s="60">
        <f t="shared" si="75"/>
        <v>0</v>
      </c>
      <c r="F22" s="60">
        <f t="shared" si="75"/>
        <v>0</v>
      </c>
      <c r="G22" s="60">
        <f t="shared" si="75"/>
        <v>0</v>
      </c>
      <c r="H22" s="60">
        <f t="shared" si="75"/>
        <v>0</v>
      </c>
      <c r="I22" s="60">
        <f t="shared" si="75"/>
        <v>0</v>
      </c>
      <c r="J22" s="60">
        <f t="shared" si="75"/>
        <v>6833.8603177958357</v>
      </c>
      <c r="K22" s="60">
        <f t="shared" si="75"/>
        <v>13932.587319218228</v>
      </c>
      <c r="L22" s="60">
        <f t="shared" si="75"/>
        <v>21288.022810531256</v>
      </c>
      <c r="M22" s="60">
        <f t="shared" si="75"/>
        <v>28891.656168039091</v>
      </c>
      <c r="N22" s="60">
        <f t="shared" si="75"/>
        <v>36734.642769053251</v>
      </c>
      <c r="O22" s="60">
        <f t="shared" si="75"/>
        <v>44472.255608123232</v>
      </c>
      <c r="P22" s="372">
        <f>O22</f>
        <v>44472.255608123232</v>
      </c>
      <c r="Q22" s="60">
        <f t="shared" ref="Q22:AB22" si="76">Q18*Q21</f>
        <v>62902.6992048717</v>
      </c>
      <c r="R22" s="60">
        <f t="shared" si="76"/>
        <v>82267.59107412817</v>
      </c>
      <c r="S22" s="60">
        <f t="shared" si="76"/>
        <v>102541.02518611583</v>
      </c>
      <c r="T22" s="60">
        <f t="shared" si="76"/>
        <v>123695.91403990221</v>
      </c>
      <c r="U22" s="60">
        <f t="shared" si="76"/>
        <v>145704.05110869915</v>
      </c>
      <c r="V22" s="60">
        <f t="shared" si="76"/>
        <v>168536.1756456102</v>
      </c>
      <c r="W22" s="60">
        <f t="shared" si="76"/>
        <v>192162.0396388855</v>
      </c>
      <c r="X22" s="60">
        <f t="shared" si="76"/>
        <v>216550.47669969627</v>
      </c>
      <c r="Y22" s="60">
        <f t="shared" si="76"/>
        <v>241669.47266030638</v>
      </c>
      <c r="Z22" s="60">
        <f t="shared" si="76"/>
        <v>267486.23765630729</v>
      </c>
      <c r="AA22" s="60">
        <f t="shared" si="76"/>
        <v>293967.27946331369</v>
      </c>
      <c r="AB22" s="60">
        <f t="shared" si="76"/>
        <v>319835.60394954134</v>
      </c>
      <c r="AC22" s="372">
        <f>AB22</f>
        <v>319835.60394954134</v>
      </c>
      <c r="AD22" s="60">
        <f t="shared" ref="AD22:AO22" si="77">AD18*AD21</f>
        <v>344400.39892127569</v>
      </c>
      <c r="AE22" s="60">
        <f t="shared" si="77"/>
        <v>370151.65926331771</v>
      </c>
      <c r="AF22" s="60">
        <f t="shared" si="77"/>
        <v>397048.2096655115</v>
      </c>
      <c r="AG22" s="60">
        <f t="shared" si="77"/>
        <v>425047.69216164271</v>
      </c>
      <c r="AH22" s="60">
        <f t="shared" si="77"/>
        <v>454106.66621990001</v>
      </c>
      <c r="AI22" s="60">
        <f t="shared" si="77"/>
        <v>484180.71023857436</v>
      </c>
      <c r="AJ22" s="60">
        <f t="shared" si="77"/>
        <v>515224.52412424097</v>
      </c>
      <c r="AK22" s="60">
        <f t="shared" si="77"/>
        <v>547192.03263007558</v>
      </c>
      <c r="AL22" s="60">
        <f t="shared" si="77"/>
        <v>580036.48913364985</v>
      </c>
      <c r="AM22" s="60">
        <f t="shared" si="77"/>
        <v>613710.57953649748</v>
      </c>
      <c r="AN22" s="60">
        <f t="shared" si="77"/>
        <v>648166.52597192791</v>
      </c>
      <c r="AO22" s="60">
        <f t="shared" si="77"/>
        <v>681451.42428361566</v>
      </c>
      <c r="AP22" s="372">
        <f>AO22</f>
        <v>681451.42428361566</v>
      </c>
      <c r="AQ22" s="60">
        <f t="shared" ref="AQ22:BB22" si="78">AQ18*AQ21</f>
        <v>700860.98177501024</v>
      </c>
      <c r="AR22" s="60">
        <f t="shared" si="78"/>
        <v>721441.66504389606</v>
      </c>
      <c r="AS22" s="60">
        <f t="shared" si="78"/>
        <v>743150.64201723202</v>
      </c>
      <c r="AT22" s="60">
        <f t="shared" si="78"/>
        <v>765944.20199080778</v>
      </c>
      <c r="AU22" s="60">
        <f t="shared" si="78"/>
        <v>789777.85974464519</v>
      </c>
      <c r="AV22" s="60">
        <f t="shared" si="78"/>
        <v>814606.45961649483</v>
      </c>
      <c r="AW22" s="60">
        <f t="shared" si="78"/>
        <v>840384.27922200656</v>
      </c>
      <c r="AX22" s="60">
        <f t="shared" si="78"/>
        <v>867065.13251730136</v>
      </c>
      <c r="AY22" s="60">
        <f t="shared" si="78"/>
        <v>894602.47190790856</v>
      </c>
      <c r="AZ22" s="60">
        <f t="shared" si="78"/>
        <v>922949.48911729315</v>
      </c>
      <c r="BA22" s="60">
        <f t="shared" si="78"/>
        <v>952059.21453841368</v>
      </c>
      <c r="BB22" s="60">
        <f t="shared" si="78"/>
        <v>979738.82587989967</v>
      </c>
      <c r="BC22" s="372">
        <f>BB22</f>
        <v>979738.82587989967</v>
      </c>
      <c r="BD22" s="60">
        <f t="shared" ref="BD22:BO22" si="79">BD18*BD21</f>
        <v>992225.82845334418</v>
      </c>
      <c r="BE22" s="60">
        <f t="shared" si="79"/>
        <v>1006064.9812205781</v>
      </c>
      <c r="BF22" s="60">
        <f t="shared" si="79"/>
        <v>1021208.6412739893</v>
      </c>
      <c r="BG22" s="60">
        <f t="shared" si="79"/>
        <v>1037608.400017727</v>
      </c>
      <c r="BH22" s="60">
        <f t="shared" si="79"/>
        <v>1055215.199127099</v>
      </c>
      <c r="BI22" s="60">
        <f t="shared" si="79"/>
        <v>1073979.4452333064</v>
      </c>
      <c r="BJ22" s="60">
        <f t="shared" si="79"/>
        <v>1093851.1230213286</v>
      </c>
      <c r="BK22" s="60">
        <f t="shared" si="79"/>
        <v>1114779.9064421277</v>
      </c>
      <c r="BL22" s="60">
        <f t="shared" si="79"/>
        <v>1136715.267754565</v>
      </c>
      <c r="BM22" s="60">
        <f t="shared" si="79"/>
        <v>1159606.5841274166</v>
      </c>
      <c r="BN22" s="60">
        <f t="shared" si="79"/>
        <v>1183403.2415475573</v>
      </c>
      <c r="BO22" s="60">
        <f t="shared" si="79"/>
        <v>1205602.3465199487</v>
      </c>
      <c r="BP22" s="372">
        <f>BO22</f>
        <v>1205602.3465199487</v>
      </c>
      <c r="CF22" s="60" t="s">
        <v>1178</v>
      </c>
      <c r="CG22" s="5" t="s">
        <v>394</v>
      </c>
    </row>
    <row r="23" spans="1:85" s="65" customFormat="1">
      <c r="A23" s="76" t="s">
        <v>693</v>
      </c>
      <c r="B23" s="285" t="s">
        <v>231</v>
      </c>
      <c r="C23" s="40"/>
      <c r="D23" s="65">
        <f>P23</f>
        <v>0.05</v>
      </c>
      <c r="E23" s="65">
        <f>P23</f>
        <v>0.05</v>
      </c>
      <c r="F23" s="65">
        <f>P23</f>
        <v>0.05</v>
      </c>
      <c r="G23" s="65">
        <f>P23</f>
        <v>0.05</v>
      </c>
      <c r="H23" s="65">
        <f>P23</f>
        <v>0.05</v>
      </c>
      <c r="I23" s="65">
        <f>P23</f>
        <v>0.05</v>
      </c>
      <c r="J23" s="65">
        <f>P23</f>
        <v>0.05</v>
      </c>
      <c r="K23" s="65">
        <f>P23</f>
        <v>0.05</v>
      </c>
      <c r="L23" s="65">
        <f>P23</f>
        <v>0.05</v>
      </c>
      <c r="M23" s="65">
        <f>P23</f>
        <v>0.05</v>
      </c>
      <c r="N23" s="65">
        <f>P23</f>
        <v>0.05</v>
      </c>
      <c r="O23" s="65">
        <f>P23</f>
        <v>0.05</v>
      </c>
      <c r="P23" s="426">
        <f>Funnel!E49</f>
        <v>0.05</v>
      </c>
      <c r="Q23" s="65">
        <f>AC23</f>
        <v>0.05</v>
      </c>
      <c r="R23" s="65">
        <f>AC23</f>
        <v>0.05</v>
      </c>
      <c r="S23" s="65">
        <f>AC23</f>
        <v>0.05</v>
      </c>
      <c r="T23" s="65">
        <f>AC23</f>
        <v>0.05</v>
      </c>
      <c r="U23" s="65">
        <f>AC23</f>
        <v>0.05</v>
      </c>
      <c r="V23" s="65">
        <f>AC23</f>
        <v>0.05</v>
      </c>
      <c r="W23" s="65">
        <f>AC23</f>
        <v>0.05</v>
      </c>
      <c r="X23" s="65">
        <f>AC23</f>
        <v>0.05</v>
      </c>
      <c r="Y23" s="65">
        <f>AC23</f>
        <v>0.05</v>
      </c>
      <c r="Z23" s="65">
        <f>AC23</f>
        <v>0.05</v>
      </c>
      <c r="AA23" s="65">
        <f>AC23</f>
        <v>0.05</v>
      </c>
      <c r="AB23" s="65">
        <f>AC23</f>
        <v>0.05</v>
      </c>
      <c r="AC23" s="426">
        <f>Funnel!F49</f>
        <v>0.05</v>
      </c>
      <c r="AD23" s="65">
        <f>AP23</f>
        <v>0.05</v>
      </c>
      <c r="AE23" s="65">
        <f>AP23</f>
        <v>0.05</v>
      </c>
      <c r="AF23" s="65">
        <f>AP23</f>
        <v>0.05</v>
      </c>
      <c r="AG23" s="65">
        <f>AP23</f>
        <v>0.05</v>
      </c>
      <c r="AH23" s="65">
        <f>AP23</f>
        <v>0.05</v>
      </c>
      <c r="AI23" s="65">
        <f>AP23</f>
        <v>0.05</v>
      </c>
      <c r="AJ23" s="65">
        <f>AP23</f>
        <v>0.05</v>
      </c>
      <c r="AK23" s="65">
        <f>AP23</f>
        <v>0.05</v>
      </c>
      <c r="AL23" s="65">
        <f>AP23</f>
        <v>0.05</v>
      </c>
      <c r="AM23" s="65">
        <f>AP23</f>
        <v>0.05</v>
      </c>
      <c r="AN23" s="65">
        <f>AP23</f>
        <v>0.05</v>
      </c>
      <c r="AO23" s="65">
        <f>AP23</f>
        <v>0.05</v>
      </c>
      <c r="AP23" s="426">
        <f>Funnel!G49</f>
        <v>0.05</v>
      </c>
      <c r="AQ23" s="65">
        <f>BC23</f>
        <v>0.05</v>
      </c>
      <c r="AR23" s="65">
        <f>BC23</f>
        <v>0.05</v>
      </c>
      <c r="AS23" s="65">
        <f>BC23</f>
        <v>0.05</v>
      </c>
      <c r="AT23" s="65">
        <f>BC23</f>
        <v>0.05</v>
      </c>
      <c r="AU23" s="65">
        <f>BC23</f>
        <v>0.05</v>
      </c>
      <c r="AV23" s="65">
        <f>BC23</f>
        <v>0.05</v>
      </c>
      <c r="AW23" s="65">
        <f>BC23</f>
        <v>0.05</v>
      </c>
      <c r="AX23" s="65">
        <f>BC23</f>
        <v>0.05</v>
      </c>
      <c r="AY23" s="65">
        <f>BC23</f>
        <v>0.05</v>
      </c>
      <c r="AZ23" s="65">
        <f>BC23</f>
        <v>0.05</v>
      </c>
      <c r="BA23" s="65">
        <f>BC23</f>
        <v>0.05</v>
      </c>
      <c r="BB23" s="65">
        <f>BC23</f>
        <v>0.05</v>
      </c>
      <c r="BC23" s="426">
        <f>Funnel!H49</f>
        <v>0.05</v>
      </c>
      <c r="BD23" s="65">
        <f>BP23</f>
        <v>0.05</v>
      </c>
      <c r="BE23" s="65">
        <f>BP23</f>
        <v>0.05</v>
      </c>
      <c r="BF23" s="65">
        <f>BP23</f>
        <v>0.05</v>
      </c>
      <c r="BG23" s="65">
        <f>BP23</f>
        <v>0.05</v>
      </c>
      <c r="BH23" s="65">
        <f>BP23</f>
        <v>0.05</v>
      </c>
      <c r="BI23" s="65">
        <f>BP23</f>
        <v>0.05</v>
      </c>
      <c r="BJ23" s="65">
        <f>BP23</f>
        <v>0.05</v>
      </c>
      <c r="BK23" s="65">
        <f>BP23</f>
        <v>0.05</v>
      </c>
      <c r="BL23" s="65">
        <f>BP23</f>
        <v>0.05</v>
      </c>
      <c r="BM23" s="65">
        <f>BP23</f>
        <v>0.05</v>
      </c>
      <c r="BN23" s="65">
        <f>BP23</f>
        <v>0.05</v>
      </c>
      <c r="BO23" s="65">
        <f>BP23</f>
        <v>0.05</v>
      </c>
      <c r="BP23" s="426">
        <f>Funnel!I49</f>
        <v>0.05</v>
      </c>
      <c r="CF23" s="76" t="s">
        <v>1043</v>
      </c>
      <c r="CG23" s="285" t="s">
        <v>231</v>
      </c>
    </row>
    <row r="24" spans="1:85" s="3" customFormat="1">
      <c r="A24" s="3" t="s">
        <v>692</v>
      </c>
      <c r="B24" s="5" t="s">
        <v>502</v>
      </c>
      <c r="C24" s="3">
        <v>0</v>
      </c>
      <c r="D24" s="3">
        <f t="shared" ref="D24:AI24" si="80">D20*D23</f>
        <v>0</v>
      </c>
      <c r="E24" s="3">
        <f t="shared" si="80"/>
        <v>0</v>
      </c>
      <c r="F24" s="3">
        <f t="shared" si="80"/>
        <v>0</v>
      </c>
      <c r="G24" s="3">
        <f t="shared" si="80"/>
        <v>0</v>
      </c>
      <c r="H24" s="3">
        <f t="shared" si="80"/>
        <v>0</v>
      </c>
      <c r="I24" s="3">
        <f t="shared" si="80"/>
        <v>0</v>
      </c>
      <c r="J24" s="3">
        <f t="shared" si="80"/>
        <v>6.4067440479335964</v>
      </c>
      <c r="K24" s="3">
        <f t="shared" si="80"/>
        <v>13.06180061176709</v>
      </c>
      <c r="L24" s="3">
        <f t="shared" si="80"/>
        <v>19.957521384873051</v>
      </c>
      <c r="M24" s="3">
        <f t="shared" si="80"/>
        <v>27.085927657536651</v>
      </c>
      <c r="N24" s="3">
        <f t="shared" si="80"/>
        <v>34.438727595987423</v>
      </c>
      <c r="O24" s="3">
        <f t="shared" si="80"/>
        <v>41.692739632615535</v>
      </c>
      <c r="P24" s="397">
        <f t="shared" si="80"/>
        <v>41.692739632615535</v>
      </c>
      <c r="Q24" s="3">
        <f t="shared" si="80"/>
        <v>58.971280504567225</v>
      </c>
      <c r="R24" s="3">
        <f t="shared" si="80"/>
        <v>77.125866631995166</v>
      </c>
      <c r="S24" s="3">
        <f t="shared" si="80"/>
        <v>96.132211111983594</v>
      </c>
      <c r="T24" s="3">
        <f t="shared" si="80"/>
        <v>115.96491941240832</v>
      </c>
      <c r="U24" s="3">
        <f t="shared" si="80"/>
        <v>136.59754791440545</v>
      </c>
      <c r="V24" s="3">
        <f t="shared" si="80"/>
        <v>158.00266466775957</v>
      </c>
      <c r="W24" s="3">
        <f t="shared" si="80"/>
        <v>180.15191216145513</v>
      </c>
      <c r="X24" s="3">
        <f t="shared" si="80"/>
        <v>203.01607190596525</v>
      </c>
      <c r="Y24" s="3">
        <f t="shared" si="80"/>
        <v>226.56513061903726</v>
      </c>
      <c r="Z24" s="3">
        <f t="shared" si="80"/>
        <v>250.76834780278807</v>
      </c>
      <c r="AA24" s="3">
        <f t="shared" si="80"/>
        <v>275.59432449685659</v>
      </c>
      <c r="AB24" s="3">
        <f t="shared" si="80"/>
        <v>299.84587870269496</v>
      </c>
      <c r="AC24" s="397">
        <f t="shared" si="80"/>
        <v>299.84587870269496</v>
      </c>
      <c r="AD24" s="3">
        <f t="shared" si="80"/>
        <v>322.87537398869591</v>
      </c>
      <c r="AE24" s="3">
        <f t="shared" si="80"/>
        <v>347.01718055936038</v>
      </c>
      <c r="AF24" s="3">
        <f t="shared" si="80"/>
        <v>372.23269656141701</v>
      </c>
      <c r="AG24" s="3">
        <f t="shared" si="80"/>
        <v>398.48221140154004</v>
      </c>
      <c r="AH24" s="3">
        <f t="shared" si="80"/>
        <v>425.72499958115623</v>
      </c>
      <c r="AI24" s="3">
        <f t="shared" si="80"/>
        <v>453.91941584866345</v>
      </c>
      <c r="AJ24" s="3">
        <f t="shared" ref="AJ24:BO24" si="81">AJ20*AJ23</f>
        <v>483.02299136647594</v>
      </c>
      <c r="AK24" s="3">
        <f t="shared" si="81"/>
        <v>512.99253059069588</v>
      </c>
      <c r="AL24" s="3">
        <f t="shared" si="81"/>
        <v>543.78420856279683</v>
      </c>
      <c r="AM24" s="3">
        <f t="shared" si="81"/>
        <v>575.35366831546651</v>
      </c>
      <c r="AN24" s="3">
        <f t="shared" si="81"/>
        <v>607.65611809868244</v>
      </c>
      <c r="AO24" s="3">
        <f t="shared" si="81"/>
        <v>638.86071026588968</v>
      </c>
      <c r="AP24" s="397">
        <f t="shared" si="81"/>
        <v>638.86071026588968</v>
      </c>
      <c r="AQ24" s="3">
        <f t="shared" si="81"/>
        <v>657.05717041407206</v>
      </c>
      <c r="AR24" s="3">
        <f t="shared" si="81"/>
        <v>676.35156097865263</v>
      </c>
      <c r="AS24" s="3">
        <f t="shared" si="81"/>
        <v>696.70372689115493</v>
      </c>
      <c r="AT24" s="3">
        <f t="shared" si="81"/>
        <v>718.07268936638229</v>
      </c>
      <c r="AU24" s="3">
        <f t="shared" si="81"/>
        <v>740.41674351060476</v>
      </c>
      <c r="AV24" s="3">
        <f t="shared" si="81"/>
        <v>763.69355589046381</v>
      </c>
      <c r="AW24" s="3">
        <f t="shared" si="81"/>
        <v>787.86026177063115</v>
      </c>
      <c r="AX24" s="3">
        <f t="shared" si="81"/>
        <v>812.87356173497005</v>
      </c>
      <c r="AY24" s="3">
        <f t="shared" si="81"/>
        <v>838.68981741366429</v>
      </c>
      <c r="AZ24" s="3">
        <f t="shared" si="81"/>
        <v>865.26514604746228</v>
      </c>
      <c r="BA24" s="3">
        <f t="shared" si="81"/>
        <v>892.5555136297628</v>
      </c>
      <c r="BB24" s="3">
        <f t="shared" si="81"/>
        <v>918.50514926240601</v>
      </c>
      <c r="BC24" s="397">
        <f t="shared" si="81"/>
        <v>918.50514926240601</v>
      </c>
      <c r="BD24" s="3">
        <f t="shared" si="81"/>
        <v>930.21171417501012</v>
      </c>
      <c r="BE24" s="3">
        <f t="shared" si="81"/>
        <v>943.18591989429194</v>
      </c>
      <c r="BF24" s="3">
        <f t="shared" si="81"/>
        <v>957.38310119436505</v>
      </c>
      <c r="BG24" s="3">
        <f t="shared" si="81"/>
        <v>972.7578750166191</v>
      </c>
      <c r="BH24" s="3">
        <f t="shared" si="81"/>
        <v>989.26424918165549</v>
      </c>
      <c r="BI24" s="3">
        <f t="shared" si="81"/>
        <v>1006.8557299062246</v>
      </c>
      <c r="BJ24" s="3">
        <f t="shared" si="81"/>
        <v>1025.4854278324956</v>
      </c>
      <c r="BK24" s="3">
        <f t="shared" si="81"/>
        <v>1045.1061622894947</v>
      </c>
      <c r="BL24" s="3">
        <f t="shared" si="81"/>
        <v>1065.6705635199048</v>
      </c>
      <c r="BM24" s="3">
        <f t="shared" si="81"/>
        <v>1087.1311726194529</v>
      </c>
      <c r="BN24" s="3">
        <f t="shared" si="81"/>
        <v>1109.4405389508352</v>
      </c>
      <c r="BO24" s="3">
        <f t="shared" si="81"/>
        <v>1130.2521998624518</v>
      </c>
      <c r="BP24" s="397">
        <f t="shared" ref="BP24" si="82">BP20*BP23</f>
        <v>1130.2521998624518</v>
      </c>
      <c r="CF24" s="3" t="s">
        <v>1044</v>
      </c>
      <c r="CG24" s="5" t="s">
        <v>965</v>
      </c>
    </row>
    <row r="25" spans="1:85" s="5" customFormat="1">
      <c r="A25" s="5" t="s">
        <v>691</v>
      </c>
      <c r="B25" s="5" t="s">
        <v>130</v>
      </c>
      <c r="J25" s="5">
        <f t="shared" ref="J25:AI25" si="83">J24*1000000/J22</f>
        <v>937.5</v>
      </c>
      <c r="K25" s="5">
        <f t="shared" si="83"/>
        <v>937.50000000000011</v>
      </c>
      <c r="L25" s="5">
        <f t="shared" si="83"/>
        <v>937.49999999999989</v>
      </c>
      <c r="M25" s="5">
        <f t="shared" si="83"/>
        <v>937.50000000000011</v>
      </c>
      <c r="N25" s="5">
        <f t="shared" si="83"/>
        <v>937.5</v>
      </c>
      <c r="O25" s="5">
        <f t="shared" si="83"/>
        <v>937.50000000000011</v>
      </c>
      <c r="P25" s="383">
        <f t="shared" si="83"/>
        <v>937.50000000000011</v>
      </c>
      <c r="Q25" s="5">
        <f t="shared" si="83"/>
        <v>937.50000000000011</v>
      </c>
      <c r="R25" s="5">
        <f t="shared" si="83"/>
        <v>937.50000000000011</v>
      </c>
      <c r="S25" s="5">
        <f t="shared" si="83"/>
        <v>937.5</v>
      </c>
      <c r="T25" s="5">
        <f t="shared" si="83"/>
        <v>937.5</v>
      </c>
      <c r="U25" s="5">
        <f t="shared" si="83"/>
        <v>937.50000000000011</v>
      </c>
      <c r="V25" s="5">
        <f t="shared" si="83"/>
        <v>937.5</v>
      </c>
      <c r="W25" s="5">
        <f t="shared" si="83"/>
        <v>937.49999999999989</v>
      </c>
      <c r="X25" s="5">
        <f t="shared" si="83"/>
        <v>937.49999999999989</v>
      </c>
      <c r="Y25" s="5">
        <f t="shared" si="83"/>
        <v>937.50000000000023</v>
      </c>
      <c r="Z25" s="5">
        <f t="shared" si="83"/>
        <v>937.5</v>
      </c>
      <c r="AA25" s="5">
        <f t="shared" si="83"/>
        <v>937.49999999999989</v>
      </c>
      <c r="AB25" s="5">
        <f t="shared" si="83"/>
        <v>937.49999999999977</v>
      </c>
      <c r="AC25" s="383">
        <f t="shared" si="83"/>
        <v>937.49999999999977</v>
      </c>
      <c r="AD25" s="5">
        <f t="shared" si="83"/>
        <v>937.49999999999989</v>
      </c>
      <c r="AE25" s="5">
        <f t="shared" si="83"/>
        <v>937.50000000000011</v>
      </c>
      <c r="AF25" s="5">
        <f t="shared" si="83"/>
        <v>937.5</v>
      </c>
      <c r="AG25" s="5">
        <f t="shared" si="83"/>
        <v>937.5</v>
      </c>
      <c r="AH25" s="5">
        <f t="shared" si="83"/>
        <v>937.5</v>
      </c>
      <c r="AI25" s="5">
        <f t="shared" si="83"/>
        <v>937.5</v>
      </c>
      <c r="AJ25" s="5">
        <f t="shared" ref="AJ25:BO25" si="84">AJ24*1000000/AJ22</f>
        <v>937.50000000000011</v>
      </c>
      <c r="AK25" s="5">
        <f t="shared" si="84"/>
        <v>937.5</v>
      </c>
      <c r="AL25" s="5">
        <f t="shared" si="84"/>
        <v>937.50000000000011</v>
      </c>
      <c r="AM25" s="5">
        <f t="shared" si="84"/>
        <v>937.50000000000023</v>
      </c>
      <c r="AN25" s="5">
        <f t="shared" si="84"/>
        <v>937.5</v>
      </c>
      <c r="AO25" s="5">
        <f t="shared" si="84"/>
        <v>937.49999999999989</v>
      </c>
      <c r="AP25" s="383">
        <f t="shared" si="84"/>
        <v>937.49999999999989</v>
      </c>
      <c r="AQ25" s="5">
        <f t="shared" si="84"/>
        <v>937.49999999999989</v>
      </c>
      <c r="AR25" s="5">
        <f t="shared" si="84"/>
        <v>937.5</v>
      </c>
      <c r="AS25" s="5">
        <f t="shared" si="84"/>
        <v>937.49999999999977</v>
      </c>
      <c r="AT25" s="5">
        <f t="shared" si="84"/>
        <v>937.49999999999989</v>
      </c>
      <c r="AU25" s="5">
        <f t="shared" si="84"/>
        <v>937.49999999999989</v>
      </c>
      <c r="AV25" s="5">
        <f t="shared" si="84"/>
        <v>937.49999999999989</v>
      </c>
      <c r="AW25" s="5">
        <f t="shared" si="84"/>
        <v>937.5</v>
      </c>
      <c r="AX25" s="5">
        <f t="shared" si="84"/>
        <v>937.50000000000011</v>
      </c>
      <c r="AY25" s="5">
        <f t="shared" si="84"/>
        <v>937.50000000000011</v>
      </c>
      <c r="AZ25" s="5">
        <f t="shared" si="84"/>
        <v>937.49999999999989</v>
      </c>
      <c r="BA25" s="5">
        <f t="shared" si="84"/>
        <v>937.49999999999989</v>
      </c>
      <c r="BB25" s="5">
        <f t="shared" si="84"/>
        <v>937.5</v>
      </c>
      <c r="BC25" s="383">
        <f t="shared" si="84"/>
        <v>937.5</v>
      </c>
      <c r="BD25" s="5">
        <f t="shared" si="84"/>
        <v>937.49999999999989</v>
      </c>
      <c r="BE25" s="5">
        <f t="shared" si="84"/>
        <v>937.5</v>
      </c>
      <c r="BF25" s="5">
        <f t="shared" si="84"/>
        <v>937.5</v>
      </c>
      <c r="BG25" s="5">
        <f t="shared" si="84"/>
        <v>937.5</v>
      </c>
      <c r="BH25" s="5">
        <f t="shared" si="84"/>
        <v>937.50000000000023</v>
      </c>
      <c r="BI25" s="5">
        <f t="shared" si="84"/>
        <v>937.49999999999989</v>
      </c>
      <c r="BJ25" s="5">
        <f t="shared" si="84"/>
        <v>937.5</v>
      </c>
      <c r="BK25" s="5">
        <f t="shared" si="84"/>
        <v>937.50000000000011</v>
      </c>
      <c r="BL25" s="5">
        <f t="shared" si="84"/>
        <v>937.50000000000011</v>
      </c>
      <c r="BM25" s="5">
        <f t="shared" si="84"/>
        <v>937.49999999999989</v>
      </c>
      <c r="BN25" s="5">
        <f t="shared" si="84"/>
        <v>937.50000000000023</v>
      </c>
      <c r="BO25" s="5">
        <f t="shared" si="84"/>
        <v>937.49999999999989</v>
      </c>
      <c r="BP25" s="383">
        <f t="shared" ref="BP25" si="85">BP24*1000000/BP22</f>
        <v>937.49999999999989</v>
      </c>
      <c r="CF25" s="5" t="s">
        <v>1045</v>
      </c>
      <c r="CG25" s="5" t="s">
        <v>966</v>
      </c>
    </row>
    <row r="26" spans="1:85" s="43" customFormat="1">
      <c r="A26" s="43" t="s">
        <v>163</v>
      </c>
      <c r="B26" s="5" t="s">
        <v>502</v>
      </c>
      <c r="C26" s="43">
        <v>0</v>
      </c>
      <c r="D26" s="43">
        <f t="shared" ref="D26:O26" si="86">D20*D21</f>
        <v>0</v>
      </c>
      <c r="E26" s="43">
        <f t="shared" si="86"/>
        <v>0</v>
      </c>
      <c r="F26" s="43">
        <f t="shared" si="86"/>
        <v>0</v>
      </c>
      <c r="G26" s="43">
        <f t="shared" si="86"/>
        <v>0</v>
      </c>
      <c r="H26" s="43">
        <f t="shared" si="86"/>
        <v>0</v>
      </c>
      <c r="I26" s="43">
        <f t="shared" si="86"/>
        <v>0</v>
      </c>
      <c r="J26" s="43">
        <f t="shared" si="86"/>
        <v>102.50790476693754</v>
      </c>
      <c r="K26" s="43">
        <f t="shared" si="86"/>
        <v>208.98880978827344</v>
      </c>
      <c r="L26" s="43">
        <f t="shared" si="86"/>
        <v>319.32034215796881</v>
      </c>
      <c r="M26" s="43">
        <f t="shared" si="86"/>
        <v>433.37484252058641</v>
      </c>
      <c r="N26" s="43">
        <f t="shared" si="86"/>
        <v>551.01964153579877</v>
      </c>
      <c r="O26" s="43">
        <f t="shared" si="86"/>
        <v>667.08383412184855</v>
      </c>
      <c r="P26" s="436">
        <f>SUM(D26:O26)</f>
        <v>2282.2953748914138</v>
      </c>
      <c r="Q26" s="43">
        <f t="shared" ref="Q26:AB26" si="87">Q20*Q21</f>
        <v>943.54048807307561</v>
      </c>
      <c r="R26" s="43">
        <f t="shared" si="87"/>
        <v>1234.0138661119227</v>
      </c>
      <c r="S26" s="43">
        <f t="shared" si="87"/>
        <v>1538.1153777917375</v>
      </c>
      <c r="T26" s="43">
        <f t="shared" si="87"/>
        <v>1855.4387105985331</v>
      </c>
      <c r="U26" s="43">
        <f t="shared" si="87"/>
        <v>2185.5607666304873</v>
      </c>
      <c r="V26" s="43">
        <f t="shared" si="87"/>
        <v>2528.0426346841532</v>
      </c>
      <c r="W26" s="43">
        <f t="shared" si="87"/>
        <v>2882.4305945832821</v>
      </c>
      <c r="X26" s="43">
        <f t="shared" si="87"/>
        <v>3248.257150495444</v>
      </c>
      <c r="Y26" s="43">
        <f t="shared" si="87"/>
        <v>3625.0420899045962</v>
      </c>
      <c r="Z26" s="43">
        <f t="shared" si="87"/>
        <v>4012.2935648446091</v>
      </c>
      <c r="AA26" s="43">
        <f t="shared" si="87"/>
        <v>4409.5091919497054</v>
      </c>
      <c r="AB26" s="43">
        <f t="shared" si="87"/>
        <v>4797.5340592431194</v>
      </c>
      <c r="AC26" s="436">
        <f>SUM(Q26:AB26)</f>
        <v>33259.778494910664</v>
      </c>
      <c r="AD26" s="43">
        <f t="shared" ref="AD26:AO26" si="88">AD20*AD21</f>
        <v>5166.0059838191346</v>
      </c>
      <c r="AE26" s="43">
        <f t="shared" si="88"/>
        <v>5552.2748889497661</v>
      </c>
      <c r="AF26" s="43">
        <f t="shared" si="88"/>
        <v>5955.7231449826722</v>
      </c>
      <c r="AG26" s="43">
        <f t="shared" si="88"/>
        <v>6375.7153824246407</v>
      </c>
      <c r="AH26" s="43">
        <f t="shared" si="88"/>
        <v>6811.5999932984996</v>
      </c>
      <c r="AI26" s="43">
        <f t="shared" si="88"/>
        <v>7262.7106535786152</v>
      </c>
      <c r="AJ26" s="43">
        <f t="shared" si="88"/>
        <v>7728.367861863615</v>
      </c>
      <c r="AK26" s="43">
        <f t="shared" si="88"/>
        <v>8207.8804894511341</v>
      </c>
      <c r="AL26" s="43">
        <f t="shared" si="88"/>
        <v>8700.5473370047494</v>
      </c>
      <c r="AM26" s="43">
        <f t="shared" si="88"/>
        <v>9205.6586930474641</v>
      </c>
      <c r="AN26" s="43">
        <f t="shared" si="88"/>
        <v>9722.4978895789191</v>
      </c>
      <c r="AO26" s="43">
        <f t="shared" si="88"/>
        <v>10221.771364254235</v>
      </c>
      <c r="AP26" s="436">
        <f>SUM(AD26:AO26)</f>
        <v>90910.753682253446</v>
      </c>
      <c r="AQ26" s="43">
        <f t="shared" ref="AQ26:BB26" si="89">AQ20*AQ21</f>
        <v>10512.914726625153</v>
      </c>
      <c r="AR26" s="43">
        <f t="shared" si="89"/>
        <v>10821.624975658442</v>
      </c>
      <c r="AS26" s="43">
        <f t="shared" si="89"/>
        <v>11147.259630258479</v>
      </c>
      <c r="AT26" s="43">
        <f t="shared" si="89"/>
        <v>11489.163029862117</v>
      </c>
      <c r="AU26" s="43">
        <f t="shared" si="89"/>
        <v>11846.667896169676</v>
      </c>
      <c r="AV26" s="43">
        <f t="shared" si="89"/>
        <v>12219.096894247421</v>
      </c>
      <c r="AW26" s="43">
        <f t="shared" si="89"/>
        <v>12605.764188330098</v>
      </c>
      <c r="AX26" s="43">
        <f t="shared" si="89"/>
        <v>13005.976987759521</v>
      </c>
      <c r="AY26" s="43">
        <f t="shared" si="89"/>
        <v>13419.037078618629</v>
      </c>
      <c r="AZ26" s="43">
        <f t="shared" si="89"/>
        <v>13844.242336759396</v>
      </c>
      <c r="BA26" s="43">
        <f t="shared" si="89"/>
        <v>14280.888218076205</v>
      </c>
      <c r="BB26" s="43">
        <f t="shared" si="89"/>
        <v>14696.082388198496</v>
      </c>
      <c r="BC26" s="436">
        <f>SUM(AQ26:BB26)</f>
        <v>149888.71835056363</v>
      </c>
      <c r="BD26" s="43">
        <f t="shared" ref="BD26:BO26" si="90">BD20*BD21</f>
        <v>14883.387426800162</v>
      </c>
      <c r="BE26" s="43">
        <f t="shared" si="90"/>
        <v>15090.974718308671</v>
      </c>
      <c r="BF26" s="43">
        <f t="shared" si="90"/>
        <v>15318.129619109841</v>
      </c>
      <c r="BG26" s="43">
        <f t="shared" si="90"/>
        <v>15564.126000265906</v>
      </c>
      <c r="BH26" s="43">
        <f t="shared" si="90"/>
        <v>15828.227986906488</v>
      </c>
      <c r="BI26" s="43">
        <f t="shared" si="90"/>
        <v>16109.691678499594</v>
      </c>
      <c r="BJ26" s="43">
        <f t="shared" si="90"/>
        <v>16407.766845319929</v>
      </c>
      <c r="BK26" s="43">
        <f t="shared" si="90"/>
        <v>16721.698596631915</v>
      </c>
      <c r="BL26" s="43">
        <f t="shared" si="90"/>
        <v>17050.729016318477</v>
      </c>
      <c r="BM26" s="43">
        <f t="shared" si="90"/>
        <v>17394.098761911246</v>
      </c>
      <c r="BN26" s="43">
        <f t="shared" si="90"/>
        <v>17751.048623213363</v>
      </c>
      <c r="BO26" s="43">
        <f t="shared" si="90"/>
        <v>18084.035197799229</v>
      </c>
      <c r="BP26" s="436">
        <f>SUM(BD26:BO26)</f>
        <v>196203.91447108483</v>
      </c>
      <c r="BQ26" s="43" t="s">
        <v>690</v>
      </c>
      <c r="CF26" s="43" t="s">
        <v>1046</v>
      </c>
      <c r="CG26" s="5" t="s">
        <v>965</v>
      </c>
    </row>
    <row r="27" spans="1:85" s="3" customFormat="1">
      <c r="A27" s="3" t="s">
        <v>164</v>
      </c>
      <c r="B27" s="5" t="s">
        <v>502</v>
      </c>
      <c r="D27" s="3">
        <f t="shared" ref="D27:O27" si="91">D24-C24-D26</f>
        <v>0</v>
      </c>
      <c r="E27" s="3">
        <f t="shared" si="91"/>
        <v>0</v>
      </c>
      <c r="F27" s="3">
        <f t="shared" si="91"/>
        <v>0</v>
      </c>
      <c r="G27" s="3">
        <f t="shared" si="91"/>
        <v>0</v>
      </c>
      <c r="H27" s="3">
        <f t="shared" si="91"/>
        <v>0</v>
      </c>
      <c r="I27" s="3">
        <f t="shared" si="91"/>
        <v>0</v>
      </c>
      <c r="J27" s="3">
        <f t="shared" si="91"/>
        <v>-96.101160719003943</v>
      </c>
      <c r="K27" s="3">
        <f t="shared" si="91"/>
        <v>-202.33375322443996</v>
      </c>
      <c r="L27" s="3">
        <f t="shared" si="91"/>
        <v>-312.42462138486286</v>
      </c>
      <c r="M27" s="3">
        <f t="shared" si="91"/>
        <v>-426.24643624792282</v>
      </c>
      <c r="N27" s="3">
        <f t="shared" si="91"/>
        <v>-543.66684159734803</v>
      </c>
      <c r="O27" s="3">
        <f t="shared" si="91"/>
        <v>-659.82982208522048</v>
      </c>
      <c r="P27" s="397">
        <f>SUM(D27:O27)</f>
        <v>-2240.6026352587978</v>
      </c>
      <c r="Q27" s="3">
        <f t="shared" ref="Q27:AB27" si="92">Q24-P24-Q26</f>
        <v>-926.26194720112392</v>
      </c>
      <c r="R27" s="3">
        <f t="shared" si="92"/>
        <v>-1215.8592799844946</v>
      </c>
      <c r="S27" s="3">
        <f t="shared" si="92"/>
        <v>-1519.109033311749</v>
      </c>
      <c r="T27" s="3">
        <f t="shared" si="92"/>
        <v>-1835.6060022981085</v>
      </c>
      <c r="U27" s="3">
        <f t="shared" si="92"/>
        <v>-2164.92813812849</v>
      </c>
      <c r="V27" s="3">
        <f t="shared" si="92"/>
        <v>-2506.6375179307993</v>
      </c>
      <c r="W27" s="3">
        <f t="shared" si="92"/>
        <v>-2860.2813470895867</v>
      </c>
      <c r="X27" s="3">
        <f t="shared" si="92"/>
        <v>-3225.3929907509337</v>
      </c>
      <c r="Y27" s="3">
        <f t="shared" si="92"/>
        <v>-3601.4930311915241</v>
      </c>
      <c r="Z27" s="3">
        <f t="shared" si="92"/>
        <v>-3988.0903476608582</v>
      </c>
      <c r="AA27" s="3">
        <f t="shared" si="92"/>
        <v>-4384.6832152556372</v>
      </c>
      <c r="AB27" s="3">
        <f t="shared" si="92"/>
        <v>-4773.2825050372812</v>
      </c>
      <c r="AC27" s="397">
        <f>SUM(Q27:AB27)</f>
        <v>-33001.625355840588</v>
      </c>
      <c r="AD27" s="3">
        <f t="shared" ref="AD27:AO27" si="93">AD24-AC24-AD26</f>
        <v>-5142.9764885331333</v>
      </c>
      <c r="AE27" s="3">
        <f t="shared" si="93"/>
        <v>-5528.1330823791013</v>
      </c>
      <c r="AF27" s="3">
        <f t="shared" si="93"/>
        <v>-5930.5076289806157</v>
      </c>
      <c r="AG27" s="3">
        <f t="shared" si="93"/>
        <v>-6349.4658675845176</v>
      </c>
      <c r="AH27" s="3">
        <f t="shared" si="93"/>
        <v>-6784.357205118883</v>
      </c>
      <c r="AI27" s="3">
        <f t="shared" si="93"/>
        <v>-7234.5162373111079</v>
      </c>
      <c r="AJ27" s="3">
        <f t="shared" si="93"/>
        <v>-7699.2642863458022</v>
      </c>
      <c r="AK27" s="3">
        <f t="shared" si="93"/>
        <v>-8177.9109502269139</v>
      </c>
      <c r="AL27" s="3">
        <f t="shared" si="93"/>
        <v>-8669.7556590326476</v>
      </c>
      <c r="AM27" s="3">
        <f t="shared" si="93"/>
        <v>-9174.0892332947951</v>
      </c>
      <c r="AN27" s="3">
        <f t="shared" si="93"/>
        <v>-9690.1954397957034</v>
      </c>
      <c r="AO27" s="3">
        <f t="shared" si="93"/>
        <v>-10190.566772087028</v>
      </c>
      <c r="AP27" s="397">
        <f>SUM(AD27:AO27)</f>
        <v>-90571.73885069025</v>
      </c>
      <c r="AQ27" s="3">
        <f t="shared" ref="AQ27:BB27" si="94">AQ24-AP24-AQ26</f>
        <v>-10494.71826647697</v>
      </c>
      <c r="AR27" s="3">
        <f t="shared" si="94"/>
        <v>-10802.330585093861</v>
      </c>
      <c r="AS27" s="3">
        <f t="shared" si="94"/>
        <v>-11126.907464345977</v>
      </c>
      <c r="AT27" s="3">
        <f t="shared" si="94"/>
        <v>-11467.794067386889</v>
      </c>
      <c r="AU27" s="3">
        <f t="shared" si="94"/>
        <v>-11824.323842025453</v>
      </c>
      <c r="AV27" s="3">
        <f t="shared" si="94"/>
        <v>-12195.820081867561</v>
      </c>
      <c r="AW27" s="3">
        <f t="shared" si="94"/>
        <v>-12581.597482449932</v>
      </c>
      <c r="AX27" s="3">
        <f t="shared" si="94"/>
        <v>-12980.963687795182</v>
      </c>
      <c r="AY27" s="3">
        <f t="shared" si="94"/>
        <v>-13393.220822939935</v>
      </c>
      <c r="AZ27" s="3">
        <f t="shared" si="94"/>
        <v>-13817.667008125598</v>
      </c>
      <c r="BA27" s="3">
        <f t="shared" si="94"/>
        <v>-14253.597850493905</v>
      </c>
      <c r="BB27" s="3">
        <f t="shared" si="94"/>
        <v>-14670.132752565853</v>
      </c>
      <c r="BC27" s="397">
        <f>SUM(AQ27:BB27)</f>
        <v>-149609.07391156713</v>
      </c>
      <c r="BD27" s="3">
        <f t="shared" ref="BD27:BO27" si="95">BD24-BC24-BD26</f>
        <v>-14871.680861887558</v>
      </c>
      <c r="BE27" s="3">
        <f t="shared" si="95"/>
        <v>-15078.000512589389</v>
      </c>
      <c r="BF27" s="3">
        <f t="shared" si="95"/>
        <v>-15303.932437809768</v>
      </c>
      <c r="BG27" s="3">
        <f t="shared" si="95"/>
        <v>-15548.751226443652</v>
      </c>
      <c r="BH27" s="3">
        <f t="shared" si="95"/>
        <v>-15811.721612741452</v>
      </c>
      <c r="BI27" s="3">
        <f t="shared" si="95"/>
        <v>-16092.100197775024</v>
      </c>
      <c r="BJ27" s="3">
        <f t="shared" si="95"/>
        <v>-16389.13714739366</v>
      </c>
      <c r="BK27" s="3">
        <f t="shared" si="95"/>
        <v>-16702.077862174916</v>
      </c>
      <c r="BL27" s="3">
        <f t="shared" si="95"/>
        <v>-17030.164615088066</v>
      </c>
      <c r="BM27" s="3">
        <f t="shared" si="95"/>
        <v>-17372.638152811698</v>
      </c>
      <c r="BN27" s="3">
        <f t="shared" si="95"/>
        <v>-17728.739256881981</v>
      </c>
      <c r="BO27" s="3">
        <f t="shared" si="95"/>
        <v>-18063.223536887614</v>
      </c>
      <c r="BP27" s="397">
        <f>SUM(BD27:BO27)</f>
        <v>-195992.1674204848</v>
      </c>
      <c r="CF27" s="3" t="s">
        <v>1047</v>
      </c>
      <c r="CG27" s="5" t="s">
        <v>965</v>
      </c>
    </row>
    <row r="28" spans="1:85">
      <c r="P28" s="349"/>
      <c r="AC28" s="349"/>
      <c r="AP28" s="349"/>
      <c r="BC28" s="349"/>
      <c r="BP28" s="349"/>
    </row>
    <row r="29" spans="1:85">
      <c r="A29" s="291" t="s">
        <v>159</v>
      </c>
      <c r="B29" s="6" t="s">
        <v>231</v>
      </c>
      <c r="D29" s="291">
        <f>P29</f>
        <v>0</v>
      </c>
      <c r="E29" s="291">
        <f t="shared" ref="E29:O29" si="96">D29</f>
        <v>0</v>
      </c>
      <c r="F29" s="291">
        <f t="shared" si="96"/>
        <v>0</v>
      </c>
      <c r="G29" s="291">
        <f t="shared" si="96"/>
        <v>0</v>
      </c>
      <c r="H29" s="291">
        <f t="shared" si="96"/>
        <v>0</v>
      </c>
      <c r="I29" s="291">
        <f t="shared" si="96"/>
        <v>0</v>
      </c>
      <c r="J29" s="291">
        <f t="shared" si="96"/>
        <v>0</v>
      </c>
      <c r="K29" s="291">
        <f t="shared" si="96"/>
        <v>0</v>
      </c>
      <c r="L29" s="291">
        <f t="shared" si="96"/>
        <v>0</v>
      </c>
      <c r="M29" s="291">
        <f t="shared" si="96"/>
        <v>0</v>
      </c>
      <c r="N29" s="291">
        <f t="shared" si="96"/>
        <v>0</v>
      </c>
      <c r="O29" s="291">
        <f t="shared" si="96"/>
        <v>0</v>
      </c>
      <c r="P29" s="424">
        <v>0</v>
      </c>
      <c r="Q29" s="291">
        <f>AC29</f>
        <v>0</v>
      </c>
      <c r="R29" s="291">
        <f t="shared" ref="R29:AB29" si="97">Q29</f>
        <v>0</v>
      </c>
      <c r="S29" s="291">
        <f t="shared" si="97"/>
        <v>0</v>
      </c>
      <c r="T29" s="291">
        <f t="shared" si="97"/>
        <v>0</v>
      </c>
      <c r="U29" s="291">
        <f t="shared" si="97"/>
        <v>0</v>
      </c>
      <c r="V29" s="291">
        <f t="shared" si="97"/>
        <v>0</v>
      </c>
      <c r="W29" s="291">
        <f t="shared" si="97"/>
        <v>0</v>
      </c>
      <c r="X29" s="291">
        <f t="shared" si="97"/>
        <v>0</v>
      </c>
      <c r="Y29" s="291">
        <f t="shared" si="97"/>
        <v>0</v>
      </c>
      <c r="Z29" s="291">
        <f t="shared" si="97"/>
        <v>0</v>
      </c>
      <c r="AA29" s="291">
        <f t="shared" si="97"/>
        <v>0</v>
      </c>
      <c r="AB29" s="291">
        <f t="shared" si="97"/>
        <v>0</v>
      </c>
      <c r="AC29" s="424">
        <v>0</v>
      </c>
      <c r="AD29" s="291">
        <f>AP29</f>
        <v>0</v>
      </c>
      <c r="AE29" s="291">
        <f t="shared" ref="AE29:AO29" si="98">AD29</f>
        <v>0</v>
      </c>
      <c r="AF29" s="291">
        <f t="shared" si="98"/>
        <v>0</v>
      </c>
      <c r="AG29" s="291">
        <f t="shared" si="98"/>
        <v>0</v>
      </c>
      <c r="AH29" s="291">
        <f t="shared" si="98"/>
        <v>0</v>
      </c>
      <c r="AI29" s="291">
        <f t="shared" si="98"/>
        <v>0</v>
      </c>
      <c r="AJ29" s="291">
        <f t="shared" si="98"/>
        <v>0</v>
      </c>
      <c r="AK29" s="291">
        <f t="shared" si="98"/>
        <v>0</v>
      </c>
      <c r="AL29" s="291">
        <f t="shared" si="98"/>
        <v>0</v>
      </c>
      <c r="AM29" s="291">
        <f t="shared" si="98"/>
        <v>0</v>
      </c>
      <c r="AN29" s="291">
        <f t="shared" si="98"/>
        <v>0</v>
      </c>
      <c r="AO29" s="291">
        <f t="shared" si="98"/>
        <v>0</v>
      </c>
      <c r="AP29" s="424">
        <v>0</v>
      </c>
      <c r="AQ29" s="291">
        <f>BC29</f>
        <v>0</v>
      </c>
      <c r="AR29" s="291">
        <f t="shared" ref="AR29:BB29" si="99">AQ29</f>
        <v>0</v>
      </c>
      <c r="AS29" s="291">
        <f t="shared" si="99"/>
        <v>0</v>
      </c>
      <c r="AT29" s="291">
        <f t="shared" si="99"/>
        <v>0</v>
      </c>
      <c r="AU29" s="291">
        <f t="shared" si="99"/>
        <v>0</v>
      </c>
      <c r="AV29" s="291">
        <f t="shared" si="99"/>
        <v>0</v>
      </c>
      <c r="AW29" s="291">
        <f t="shared" si="99"/>
        <v>0</v>
      </c>
      <c r="AX29" s="291">
        <f t="shared" si="99"/>
        <v>0</v>
      </c>
      <c r="AY29" s="291">
        <f t="shared" si="99"/>
        <v>0</v>
      </c>
      <c r="AZ29" s="291">
        <f t="shared" si="99"/>
        <v>0</v>
      </c>
      <c r="BA29" s="291">
        <f t="shared" si="99"/>
        <v>0</v>
      </c>
      <c r="BB29" s="291">
        <f t="shared" si="99"/>
        <v>0</v>
      </c>
      <c r="BC29" s="424">
        <v>0</v>
      </c>
      <c r="BD29" s="291">
        <f>BP29</f>
        <v>0</v>
      </c>
      <c r="BE29" s="291">
        <f t="shared" ref="BE29:BO29" si="100">BD29</f>
        <v>0</v>
      </c>
      <c r="BF29" s="291">
        <f t="shared" si="100"/>
        <v>0</v>
      </c>
      <c r="BG29" s="291">
        <f t="shared" si="100"/>
        <v>0</v>
      </c>
      <c r="BH29" s="291">
        <f t="shared" si="100"/>
        <v>0</v>
      </c>
      <c r="BI29" s="291">
        <f t="shared" si="100"/>
        <v>0</v>
      </c>
      <c r="BJ29" s="291">
        <f t="shared" si="100"/>
        <v>0</v>
      </c>
      <c r="BK29" s="291">
        <f t="shared" si="100"/>
        <v>0</v>
      </c>
      <c r="BL29" s="291">
        <f t="shared" si="100"/>
        <v>0</v>
      </c>
      <c r="BM29" s="291">
        <f t="shared" si="100"/>
        <v>0</v>
      </c>
      <c r="BN29" s="291">
        <f t="shared" si="100"/>
        <v>0</v>
      </c>
      <c r="BO29" s="291">
        <f t="shared" si="100"/>
        <v>0</v>
      </c>
      <c r="BP29" s="424">
        <v>0</v>
      </c>
      <c r="CF29" s="291" t="s">
        <v>1048</v>
      </c>
      <c r="CG29" s="6" t="s">
        <v>231</v>
      </c>
    </row>
    <row r="30" spans="1:85" s="3" customFormat="1">
      <c r="A30" s="435" t="s">
        <v>689</v>
      </c>
      <c r="B30" s="5" t="s">
        <v>130</v>
      </c>
      <c r="D30" s="435">
        <f>P30</f>
        <v>0</v>
      </c>
      <c r="E30" s="435">
        <f t="shared" ref="E30:O30" si="101">D30</f>
        <v>0</v>
      </c>
      <c r="F30" s="435">
        <f t="shared" si="101"/>
        <v>0</v>
      </c>
      <c r="G30" s="435">
        <f t="shared" si="101"/>
        <v>0</v>
      </c>
      <c r="H30" s="435">
        <f t="shared" si="101"/>
        <v>0</v>
      </c>
      <c r="I30" s="435">
        <f t="shared" si="101"/>
        <v>0</v>
      </c>
      <c r="J30" s="435">
        <f t="shared" si="101"/>
        <v>0</v>
      </c>
      <c r="K30" s="435">
        <f t="shared" si="101"/>
        <v>0</v>
      </c>
      <c r="L30" s="435">
        <f t="shared" si="101"/>
        <v>0</v>
      </c>
      <c r="M30" s="435">
        <f t="shared" si="101"/>
        <v>0</v>
      </c>
      <c r="N30" s="435">
        <f t="shared" si="101"/>
        <v>0</v>
      </c>
      <c r="O30" s="435">
        <f t="shared" si="101"/>
        <v>0</v>
      </c>
      <c r="P30" s="434">
        <v>0</v>
      </c>
      <c r="Q30" s="435">
        <f>AC30</f>
        <v>0</v>
      </c>
      <c r="R30" s="435">
        <f t="shared" ref="R30:AB30" si="102">Q30</f>
        <v>0</v>
      </c>
      <c r="S30" s="435">
        <f t="shared" si="102"/>
        <v>0</v>
      </c>
      <c r="T30" s="435">
        <f t="shared" si="102"/>
        <v>0</v>
      </c>
      <c r="U30" s="435">
        <f t="shared" si="102"/>
        <v>0</v>
      </c>
      <c r="V30" s="435">
        <f t="shared" si="102"/>
        <v>0</v>
      </c>
      <c r="W30" s="435">
        <f t="shared" si="102"/>
        <v>0</v>
      </c>
      <c r="X30" s="435">
        <f t="shared" si="102"/>
        <v>0</v>
      </c>
      <c r="Y30" s="435">
        <f t="shared" si="102"/>
        <v>0</v>
      </c>
      <c r="Z30" s="435">
        <f t="shared" si="102"/>
        <v>0</v>
      </c>
      <c r="AA30" s="435">
        <f t="shared" si="102"/>
        <v>0</v>
      </c>
      <c r="AB30" s="435">
        <f t="shared" si="102"/>
        <v>0</v>
      </c>
      <c r="AC30" s="434">
        <f>P30</f>
        <v>0</v>
      </c>
      <c r="AD30" s="435">
        <f>AP30</f>
        <v>0</v>
      </c>
      <c r="AE30" s="435">
        <f t="shared" ref="AE30:AO30" si="103">AD30</f>
        <v>0</v>
      </c>
      <c r="AF30" s="435">
        <f t="shared" si="103"/>
        <v>0</v>
      </c>
      <c r="AG30" s="435">
        <f t="shared" si="103"/>
        <v>0</v>
      </c>
      <c r="AH30" s="435">
        <f t="shared" si="103"/>
        <v>0</v>
      </c>
      <c r="AI30" s="435">
        <f t="shared" si="103"/>
        <v>0</v>
      </c>
      <c r="AJ30" s="435">
        <f t="shared" si="103"/>
        <v>0</v>
      </c>
      <c r="AK30" s="435">
        <f t="shared" si="103"/>
        <v>0</v>
      </c>
      <c r="AL30" s="435">
        <f t="shared" si="103"/>
        <v>0</v>
      </c>
      <c r="AM30" s="435">
        <f t="shared" si="103"/>
        <v>0</v>
      </c>
      <c r="AN30" s="435">
        <f t="shared" si="103"/>
        <v>0</v>
      </c>
      <c r="AO30" s="435">
        <f t="shared" si="103"/>
        <v>0</v>
      </c>
      <c r="AP30" s="434">
        <f>AC30</f>
        <v>0</v>
      </c>
      <c r="AQ30" s="435">
        <f>BC30</f>
        <v>0</v>
      </c>
      <c r="AR30" s="435">
        <f t="shared" ref="AR30:BB30" si="104">AQ30</f>
        <v>0</v>
      </c>
      <c r="AS30" s="435">
        <f t="shared" si="104"/>
        <v>0</v>
      </c>
      <c r="AT30" s="435">
        <f t="shared" si="104"/>
        <v>0</v>
      </c>
      <c r="AU30" s="435">
        <f t="shared" si="104"/>
        <v>0</v>
      </c>
      <c r="AV30" s="435">
        <f t="shared" si="104"/>
        <v>0</v>
      </c>
      <c r="AW30" s="435">
        <f t="shared" si="104"/>
        <v>0</v>
      </c>
      <c r="AX30" s="435">
        <f t="shared" si="104"/>
        <v>0</v>
      </c>
      <c r="AY30" s="435">
        <f t="shared" si="104"/>
        <v>0</v>
      </c>
      <c r="AZ30" s="435">
        <f t="shared" si="104"/>
        <v>0</v>
      </c>
      <c r="BA30" s="435">
        <f t="shared" si="104"/>
        <v>0</v>
      </c>
      <c r="BB30" s="435">
        <f t="shared" si="104"/>
        <v>0</v>
      </c>
      <c r="BC30" s="434">
        <f>AP30</f>
        <v>0</v>
      </c>
      <c r="BD30" s="435">
        <f>BP30</f>
        <v>0</v>
      </c>
      <c r="BE30" s="435">
        <f t="shared" ref="BE30:BO30" si="105">BD30</f>
        <v>0</v>
      </c>
      <c r="BF30" s="435">
        <f t="shared" si="105"/>
        <v>0</v>
      </c>
      <c r="BG30" s="435">
        <f t="shared" si="105"/>
        <v>0</v>
      </c>
      <c r="BH30" s="435">
        <f t="shared" si="105"/>
        <v>0</v>
      </c>
      <c r="BI30" s="435">
        <f t="shared" si="105"/>
        <v>0</v>
      </c>
      <c r="BJ30" s="435">
        <f t="shared" si="105"/>
        <v>0</v>
      </c>
      <c r="BK30" s="435">
        <f t="shared" si="105"/>
        <v>0</v>
      </c>
      <c r="BL30" s="435">
        <f t="shared" si="105"/>
        <v>0</v>
      </c>
      <c r="BM30" s="435">
        <f t="shared" si="105"/>
        <v>0</v>
      </c>
      <c r="BN30" s="435">
        <f t="shared" si="105"/>
        <v>0</v>
      </c>
      <c r="BO30" s="435">
        <f t="shared" si="105"/>
        <v>0</v>
      </c>
      <c r="BP30" s="434">
        <f>BC30</f>
        <v>0</v>
      </c>
      <c r="CF30" s="435" t="s">
        <v>1049</v>
      </c>
      <c r="CG30" s="5" t="s">
        <v>966</v>
      </c>
    </row>
    <row r="31" spans="1:85">
      <c r="A31" s="291" t="s">
        <v>156</v>
      </c>
      <c r="B31" s="6" t="s">
        <v>231</v>
      </c>
      <c r="D31" s="291">
        <f>P31</f>
        <v>-0.02</v>
      </c>
      <c r="E31" s="291">
        <f t="shared" ref="E31:O31" si="106">D31</f>
        <v>-0.02</v>
      </c>
      <c r="F31" s="291">
        <f t="shared" si="106"/>
        <v>-0.02</v>
      </c>
      <c r="G31" s="291">
        <f t="shared" si="106"/>
        <v>-0.02</v>
      </c>
      <c r="H31" s="291">
        <f t="shared" si="106"/>
        <v>-0.02</v>
      </c>
      <c r="I31" s="291">
        <f t="shared" si="106"/>
        <v>-0.02</v>
      </c>
      <c r="J31" s="291">
        <f t="shared" si="106"/>
        <v>-0.02</v>
      </c>
      <c r="K31" s="291">
        <f t="shared" si="106"/>
        <v>-0.02</v>
      </c>
      <c r="L31" s="291">
        <f t="shared" si="106"/>
        <v>-0.02</v>
      </c>
      <c r="M31" s="291">
        <f t="shared" si="106"/>
        <v>-0.02</v>
      </c>
      <c r="N31" s="291">
        <f t="shared" si="106"/>
        <v>-0.02</v>
      </c>
      <c r="O31" s="291">
        <f t="shared" si="106"/>
        <v>-0.02</v>
      </c>
      <c r="P31" s="424">
        <v>-0.02</v>
      </c>
      <c r="Q31" s="291">
        <f>AC31</f>
        <v>-0.02</v>
      </c>
      <c r="R31" s="291">
        <f t="shared" ref="R31:AB31" si="107">Q31</f>
        <v>-0.02</v>
      </c>
      <c r="S31" s="291">
        <f t="shared" si="107"/>
        <v>-0.02</v>
      </c>
      <c r="T31" s="291">
        <f t="shared" si="107"/>
        <v>-0.02</v>
      </c>
      <c r="U31" s="291">
        <f t="shared" si="107"/>
        <v>-0.02</v>
      </c>
      <c r="V31" s="291">
        <f t="shared" si="107"/>
        <v>-0.02</v>
      </c>
      <c r="W31" s="291">
        <f t="shared" si="107"/>
        <v>-0.02</v>
      </c>
      <c r="X31" s="291">
        <f t="shared" si="107"/>
        <v>-0.02</v>
      </c>
      <c r="Y31" s="291">
        <f t="shared" si="107"/>
        <v>-0.02</v>
      </c>
      <c r="Z31" s="291">
        <f t="shared" si="107"/>
        <v>-0.02</v>
      </c>
      <c r="AA31" s="291">
        <f t="shared" si="107"/>
        <v>-0.02</v>
      </c>
      <c r="AB31" s="291">
        <f t="shared" si="107"/>
        <v>-0.02</v>
      </c>
      <c r="AC31" s="424">
        <v>-0.02</v>
      </c>
      <c r="AD31" s="291">
        <f>AP31</f>
        <v>-0.02</v>
      </c>
      <c r="AE31" s="291">
        <f t="shared" ref="AE31:AO31" si="108">AD31</f>
        <v>-0.02</v>
      </c>
      <c r="AF31" s="291">
        <f t="shared" si="108"/>
        <v>-0.02</v>
      </c>
      <c r="AG31" s="291">
        <f t="shared" si="108"/>
        <v>-0.02</v>
      </c>
      <c r="AH31" s="291">
        <f t="shared" si="108"/>
        <v>-0.02</v>
      </c>
      <c r="AI31" s="291">
        <f t="shared" si="108"/>
        <v>-0.02</v>
      </c>
      <c r="AJ31" s="291">
        <f t="shared" si="108"/>
        <v>-0.02</v>
      </c>
      <c r="AK31" s="291">
        <f t="shared" si="108"/>
        <v>-0.02</v>
      </c>
      <c r="AL31" s="291">
        <f t="shared" si="108"/>
        <v>-0.02</v>
      </c>
      <c r="AM31" s="291">
        <f t="shared" si="108"/>
        <v>-0.02</v>
      </c>
      <c r="AN31" s="291">
        <f t="shared" si="108"/>
        <v>-0.02</v>
      </c>
      <c r="AO31" s="291">
        <f t="shared" si="108"/>
        <v>-0.02</v>
      </c>
      <c r="AP31" s="424">
        <v>-0.02</v>
      </c>
      <c r="AQ31" s="291">
        <f>BC31</f>
        <v>-0.02</v>
      </c>
      <c r="AR31" s="291">
        <f t="shared" ref="AR31:BB31" si="109">AQ31</f>
        <v>-0.02</v>
      </c>
      <c r="AS31" s="291">
        <f t="shared" si="109"/>
        <v>-0.02</v>
      </c>
      <c r="AT31" s="291">
        <f t="shared" si="109"/>
        <v>-0.02</v>
      </c>
      <c r="AU31" s="291">
        <f t="shared" si="109"/>
        <v>-0.02</v>
      </c>
      <c r="AV31" s="291">
        <f t="shared" si="109"/>
        <v>-0.02</v>
      </c>
      <c r="AW31" s="291">
        <f t="shared" si="109"/>
        <v>-0.02</v>
      </c>
      <c r="AX31" s="291">
        <f t="shared" si="109"/>
        <v>-0.02</v>
      </c>
      <c r="AY31" s="291">
        <f t="shared" si="109"/>
        <v>-0.02</v>
      </c>
      <c r="AZ31" s="291">
        <f t="shared" si="109"/>
        <v>-0.02</v>
      </c>
      <c r="BA31" s="291">
        <f t="shared" si="109"/>
        <v>-0.02</v>
      </c>
      <c r="BB31" s="291">
        <f t="shared" si="109"/>
        <v>-0.02</v>
      </c>
      <c r="BC31" s="424">
        <v>-0.02</v>
      </c>
      <c r="BD31" s="291">
        <f>BP31</f>
        <v>-0.02</v>
      </c>
      <c r="BE31" s="291">
        <f t="shared" ref="BE31:BO31" si="110">BD31</f>
        <v>-0.02</v>
      </c>
      <c r="BF31" s="291">
        <f t="shared" si="110"/>
        <v>-0.02</v>
      </c>
      <c r="BG31" s="291">
        <f t="shared" si="110"/>
        <v>-0.02</v>
      </c>
      <c r="BH31" s="291">
        <f t="shared" si="110"/>
        <v>-0.02</v>
      </c>
      <c r="BI31" s="291">
        <f t="shared" si="110"/>
        <v>-0.02</v>
      </c>
      <c r="BJ31" s="291">
        <f t="shared" si="110"/>
        <v>-0.02</v>
      </c>
      <c r="BK31" s="291">
        <f t="shared" si="110"/>
        <v>-0.02</v>
      </c>
      <c r="BL31" s="291">
        <f t="shared" si="110"/>
        <v>-0.02</v>
      </c>
      <c r="BM31" s="291">
        <f t="shared" si="110"/>
        <v>-0.02</v>
      </c>
      <c r="BN31" s="291">
        <f t="shared" si="110"/>
        <v>-0.02</v>
      </c>
      <c r="BO31" s="291">
        <f t="shared" si="110"/>
        <v>-0.02</v>
      </c>
      <c r="BP31" s="424">
        <v>-0.02</v>
      </c>
      <c r="CF31" s="291" t="s">
        <v>1050</v>
      </c>
      <c r="CG31" s="6" t="s">
        <v>231</v>
      </c>
    </row>
    <row r="32" spans="1:85">
      <c r="A32" s="291" t="s">
        <v>682</v>
      </c>
      <c r="B32" s="6" t="s">
        <v>231</v>
      </c>
      <c r="C32" s="433">
        <f>'packages (indiv)'!C112</f>
        <v>-4.4999999999999998E-2</v>
      </c>
      <c r="D32" s="432">
        <f>(P32-C32)/12+C32</f>
        <v>-4.4999999999999998E-2</v>
      </c>
      <c r="E32" s="432">
        <f>(P32-C32)/12+D32</f>
        <v>-4.4999999999999998E-2</v>
      </c>
      <c r="F32" s="432">
        <f>(P32-C32)/12+E32</f>
        <v>-4.4999999999999998E-2</v>
      </c>
      <c r="G32" s="432">
        <f>(P32-C32)/12+F32</f>
        <v>-4.4999999999999998E-2</v>
      </c>
      <c r="H32" s="432">
        <f>(P32-C32)/12+G32</f>
        <v>-4.4999999999999998E-2</v>
      </c>
      <c r="I32" s="432">
        <f>(P32-C32)/12+H32</f>
        <v>-4.4999999999999998E-2</v>
      </c>
      <c r="J32" s="432">
        <f>(P32-C32)/12+I32</f>
        <v>-4.4999999999999998E-2</v>
      </c>
      <c r="K32" s="432">
        <f>(P32-C32)/12+J32</f>
        <v>-4.4999999999999998E-2</v>
      </c>
      <c r="L32" s="432">
        <f>(P32-C32)/12+K32</f>
        <v>-4.4999999999999998E-2</v>
      </c>
      <c r="M32" s="432">
        <f>(P32-C32)/12+L32</f>
        <v>-4.4999999999999998E-2</v>
      </c>
      <c r="N32" s="432">
        <f>(P32-C32)/12+M32</f>
        <v>-4.4999999999999998E-2</v>
      </c>
      <c r="O32" s="432">
        <f>(P32-C32)/12+N32</f>
        <v>-4.4999999999999998E-2</v>
      </c>
      <c r="P32" s="431">
        <f>'packages (indiv)'!P112</f>
        <v>-4.4999999999999998E-2</v>
      </c>
      <c r="Q32" s="432">
        <f>(AC32-P32)/12+P32</f>
        <v>-4.4999999999999998E-2</v>
      </c>
      <c r="R32" s="432">
        <f>(AC32-P32)/12+Q32</f>
        <v>-4.4999999999999998E-2</v>
      </c>
      <c r="S32" s="432">
        <f>(AC32-P32)/12+R32</f>
        <v>-4.4999999999999998E-2</v>
      </c>
      <c r="T32" s="432">
        <f>(AC32-P32)/12+S32</f>
        <v>-4.4999999999999998E-2</v>
      </c>
      <c r="U32" s="432">
        <f>(AC32-P32)/12+T32</f>
        <v>-4.4999999999999998E-2</v>
      </c>
      <c r="V32" s="432">
        <f>(AC32-P32)/12+U32</f>
        <v>-4.4999999999999998E-2</v>
      </c>
      <c r="W32" s="432">
        <f>(AC32-P32)/12+V32</f>
        <v>-4.4999999999999998E-2</v>
      </c>
      <c r="X32" s="432">
        <f>(AC32-P32)/12+W32</f>
        <v>-4.4999999999999998E-2</v>
      </c>
      <c r="Y32" s="432">
        <f>(AC32-P32)/12+X32</f>
        <v>-4.4999999999999998E-2</v>
      </c>
      <c r="Z32" s="432">
        <f>(AC32-P32)/12+Y32</f>
        <v>-4.4999999999999998E-2</v>
      </c>
      <c r="AA32" s="432">
        <f>(AC32-P32)/12+Z32</f>
        <v>-4.4999999999999998E-2</v>
      </c>
      <c r="AB32" s="432">
        <f>(AC32-P32)/12+AA32</f>
        <v>-4.4999999999999998E-2</v>
      </c>
      <c r="AC32" s="431">
        <f>'packages (indiv)'!AC112</f>
        <v>-4.4999999999999998E-2</v>
      </c>
      <c r="AD32" s="432">
        <f>(AP32-AC32)/12+AC32</f>
        <v>-4.4791666666666667E-2</v>
      </c>
      <c r="AE32" s="432">
        <f>(AP32-AC32)/12+AD32</f>
        <v>-4.4583333333333336E-2</v>
      </c>
      <c r="AF32" s="432">
        <f>(AP32-AC32)/12+AE32</f>
        <v>-4.4375000000000005E-2</v>
      </c>
      <c r="AG32" s="432">
        <f>(AP32-AC32)/12+AF32</f>
        <v>-4.4166666666666674E-2</v>
      </c>
      <c r="AH32" s="432">
        <f>(AP32-AC32)/12+AG32</f>
        <v>-4.3958333333333342E-2</v>
      </c>
      <c r="AI32" s="432">
        <f>(AP32-AC32)/12+AH32</f>
        <v>-4.3750000000000011E-2</v>
      </c>
      <c r="AJ32" s="432">
        <f>(AP32-AC32)/12+AI32</f>
        <v>-4.354166666666668E-2</v>
      </c>
      <c r="AK32" s="432">
        <f>(AP32-AC32)/12+AJ32</f>
        <v>-4.3333333333333349E-2</v>
      </c>
      <c r="AL32" s="432">
        <f>(AP32-AC32)/12+AK32</f>
        <v>-4.3125000000000017E-2</v>
      </c>
      <c r="AM32" s="432">
        <f>(AP32-AC32)/12+AL32</f>
        <v>-4.2916666666666686E-2</v>
      </c>
      <c r="AN32" s="432">
        <f>(AP32-AC32)/12+AM32</f>
        <v>-4.2708333333333355E-2</v>
      </c>
      <c r="AO32" s="432">
        <f>(AP32-AC32)/12+AN32</f>
        <v>-4.2500000000000024E-2</v>
      </c>
      <c r="AP32" s="431">
        <f>'packages (indiv)'!AP112</f>
        <v>-4.2499999999999996E-2</v>
      </c>
      <c r="AQ32" s="432">
        <f>(BC32-AP32)/12+AP32</f>
        <v>-4.2291666666666665E-2</v>
      </c>
      <c r="AR32" s="432">
        <f>(BC32-AP32)/12+AQ32</f>
        <v>-4.2083333333333334E-2</v>
      </c>
      <c r="AS32" s="432">
        <f>(BC32-AP32)/12+AR32</f>
        <v>-4.1875000000000002E-2</v>
      </c>
      <c r="AT32" s="432">
        <f>(BC32-AP32)/12+AS32</f>
        <v>-4.1666666666666671E-2</v>
      </c>
      <c r="AU32" s="432">
        <f>(BC32-AP32)/12+AT32</f>
        <v>-4.145833333333334E-2</v>
      </c>
      <c r="AV32" s="432">
        <f>(BC32-AP32)/12+AU32</f>
        <v>-4.1250000000000009E-2</v>
      </c>
      <c r="AW32" s="432">
        <f>(BC32-AP32)/12+AV32</f>
        <v>-4.1041666666666678E-2</v>
      </c>
      <c r="AX32" s="432">
        <f>(BC32-AP32)/12+AW32</f>
        <v>-4.0833333333333346E-2</v>
      </c>
      <c r="AY32" s="432">
        <f>(BC32-AP32)/12+AX32</f>
        <v>-4.0625000000000015E-2</v>
      </c>
      <c r="AZ32" s="432">
        <f>(BC32-AP32)/12+AY32</f>
        <v>-4.0416666666666684E-2</v>
      </c>
      <c r="BA32" s="432">
        <f>(BC32-AP32)/12+AZ32</f>
        <v>-4.0208333333333353E-2</v>
      </c>
      <c r="BB32" s="432">
        <f>(BC32-AP32)/12+BA32</f>
        <v>-4.0000000000000022E-2</v>
      </c>
      <c r="BC32" s="431">
        <f>'packages (indiv)'!BC112</f>
        <v>-3.9999999999999994E-2</v>
      </c>
      <c r="BD32" s="432">
        <f>(BP32-BC32)/12+BC32</f>
        <v>-3.9791666666666663E-2</v>
      </c>
      <c r="BE32" s="432">
        <f>(BP32-BC32)/12+BD32</f>
        <v>-3.9583333333333331E-2</v>
      </c>
      <c r="BF32" s="432">
        <f>(BP32-BC32)/12+BE32</f>
        <v>-3.9375E-2</v>
      </c>
      <c r="BG32" s="432">
        <f>(BP32-BC32)/12+BF32</f>
        <v>-3.9166666666666669E-2</v>
      </c>
      <c r="BH32" s="432">
        <f>(BP32-BC32)/12+BG32</f>
        <v>-3.8958333333333338E-2</v>
      </c>
      <c r="BI32" s="432">
        <f>(BP32-BC32)/12+BH32</f>
        <v>-3.8750000000000007E-2</v>
      </c>
      <c r="BJ32" s="432">
        <f>(BP32-BC32)/12+BI32</f>
        <v>-3.8541666666666675E-2</v>
      </c>
      <c r="BK32" s="432">
        <f>(BP32-BC32)/12+BJ32</f>
        <v>-3.8333333333333344E-2</v>
      </c>
      <c r="BL32" s="432">
        <f>(BP32-BC32)/12+BK32</f>
        <v>-3.8125000000000013E-2</v>
      </c>
      <c r="BM32" s="432">
        <f>(BP32-BC32)/12+BL32</f>
        <v>-3.7916666666666682E-2</v>
      </c>
      <c r="BN32" s="432">
        <f>(BP32-BC32)/12+BM32</f>
        <v>-3.7708333333333351E-2</v>
      </c>
      <c r="BO32" s="432">
        <f>(BP32-BC32)/12+BN32</f>
        <v>-3.7500000000000019E-2</v>
      </c>
      <c r="BP32" s="431">
        <f>'packages (indiv)'!BP112</f>
        <v>-3.7499999999999992E-2</v>
      </c>
      <c r="CF32" s="291" t="s">
        <v>1051</v>
      </c>
      <c r="CG32" s="6" t="s">
        <v>231</v>
      </c>
    </row>
    <row r="33" spans="1:85" s="430" customFormat="1">
      <c r="A33" s="65" t="s">
        <v>680</v>
      </c>
      <c r="B33" s="430" t="s">
        <v>231</v>
      </c>
      <c r="D33" s="65">
        <f>P33</f>
        <v>-0.15</v>
      </c>
      <c r="E33" s="65">
        <f t="shared" ref="E33:O33" si="111">D33</f>
        <v>-0.15</v>
      </c>
      <c r="F33" s="65">
        <f t="shared" si="111"/>
        <v>-0.15</v>
      </c>
      <c r="G33" s="65">
        <f t="shared" si="111"/>
        <v>-0.15</v>
      </c>
      <c r="H33" s="65">
        <f t="shared" si="111"/>
        <v>-0.15</v>
      </c>
      <c r="I33" s="65">
        <f t="shared" si="111"/>
        <v>-0.15</v>
      </c>
      <c r="J33" s="65">
        <f t="shared" si="111"/>
        <v>-0.15</v>
      </c>
      <c r="K33" s="65">
        <f t="shared" si="111"/>
        <v>-0.15</v>
      </c>
      <c r="L33" s="65">
        <f t="shared" si="111"/>
        <v>-0.15</v>
      </c>
      <c r="M33" s="65">
        <f t="shared" si="111"/>
        <v>-0.15</v>
      </c>
      <c r="N33" s="65">
        <f t="shared" si="111"/>
        <v>-0.15</v>
      </c>
      <c r="O33" s="65">
        <f t="shared" si="111"/>
        <v>-0.15</v>
      </c>
      <c r="P33" s="371">
        <v>-0.15</v>
      </c>
      <c r="Q33" s="65">
        <f>AC33</f>
        <v>-0.13999999999999999</v>
      </c>
      <c r="R33" s="65">
        <f t="shared" ref="R33:AB33" si="112">Q33</f>
        <v>-0.13999999999999999</v>
      </c>
      <c r="S33" s="65">
        <f t="shared" si="112"/>
        <v>-0.13999999999999999</v>
      </c>
      <c r="T33" s="65">
        <f t="shared" si="112"/>
        <v>-0.13999999999999999</v>
      </c>
      <c r="U33" s="65">
        <f t="shared" si="112"/>
        <v>-0.13999999999999999</v>
      </c>
      <c r="V33" s="65">
        <f t="shared" si="112"/>
        <v>-0.13999999999999999</v>
      </c>
      <c r="W33" s="65">
        <f t="shared" si="112"/>
        <v>-0.13999999999999999</v>
      </c>
      <c r="X33" s="65">
        <f t="shared" si="112"/>
        <v>-0.13999999999999999</v>
      </c>
      <c r="Y33" s="65">
        <f t="shared" si="112"/>
        <v>-0.13999999999999999</v>
      </c>
      <c r="Z33" s="65">
        <f t="shared" si="112"/>
        <v>-0.13999999999999999</v>
      </c>
      <c r="AA33" s="65">
        <f t="shared" si="112"/>
        <v>-0.13999999999999999</v>
      </c>
      <c r="AB33" s="65">
        <f t="shared" si="112"/>
        <v>-0.13999999999999999</v>
      </c>
      <c r="AC33" s="371">
        <f>P33+1%</f>
        <v>-0.13999999999999999</v>
      </c>
      <c r="AD33" s="65">
        <f>AP33</f>
        <v>-0.12999999999999998</v>
      </c>
      <c r="AE33" s="65">
        <f t="shared" ref="AE33:AO33" si="113">AD33</f>
        <v>-0.12999999999999998</v>
      </c>
      <c r="AF33" s="65">
        <f t="shared" si="113"/>
        <v>-0.12999999999999998</v>
      </c>
      <c r="AG33" s="65">
        <f t="shared" si="113"/>
        <v>-0.12999999999999998</v>
      </c>
      <c r="AH33" s="65">
        <f t="shared" si="113"/>
        <v>-0.12999999999999998</v>
      </c>
      <c r="AI33" s="65">
        <f t="shared" si="113"/>
        <v>-0.12999999999999998</v>
      </c>
      <c r="AJ33" s="65">
        <f t="shared" si="113"/>
        <v>-0.12999999999999998</v>
      </c>
      <c r="AK33" s="65">
        <f t="shared" si="113"/>
        <v>-0.12999999999999998</v>
      </c>
      <c r="AL33" s="65">
        <f t="shared" si="113"/>
        <v>-0.12999999999999998</v>
      </c>
      <c r="AM33" s="65">
        <f t="shared" si="113"/>
        <v>-0.12999999999999998</v>
      </c>
      <c r="AN33" s="65">
        <f t="shared" si="113"/>
        <v>-0.12999999999999998</v>
      </c>
      <c r="AO33" s="65">
        <f t="shared" si="113"/>
        <v>-0.12999999999999998</v>
      </c>
      <c r="AP33" s="371">
        <f>AC33+1%</f>
        <v>-0.12999999999999998</v>
      </c>
      <c r="AQ33" s="65">
        <f>BC33</f>
        <v>-0.11999999999999998</v>
      </c>
      <c r="AR33" s="65">
        <f t="shared" ref="AR33:BB33" si="114">AQ33</f>
        <v>-0.11999999999999998</v>
      </c>
      <c r="AS33" s="65">
        <f t="shared" si="114"/>
        <v>-0.11999999999999998</v>
      </c>
      <c r="AT33" s="65">
        <f t="shared" si="114"/>
        <v>-0.11999999999999998</v>
      </c>
      <c r="AU33" s="65">
        <f t="shared" si="114"/>
        <v>-0.11999999999999998</v>
      </c>
      <c r="AV33" s="65">
        <f t="shared" si="114"/>
        <v>-0.11999999999999998</v>
      </c>
      <c r="AW33" s="65">
        <f t="shared" si="114"/>
        <v>-0.11999999999999998</v>
      </c>
      <c r="AX33" s="65">
        <f t="shared" si="114"/>
        <v>-0.11999999999999998</v>
      </c>
      <c r="AY33" s="65">
        <f t="shared" si="114"/>
        <v>-0.11999999999999998</v>
      </c>
      <c r="AZ33" s="65">
        <f t="shared" si="114"/>
        <v>-0.11999999999999998</v>
      </c>
      <c r="BA33" s="65">
        <f t="shared" si="114"/>
        <v>-0.11999999999999998</v>
      </c>
      <c r="BB33" s="65">
        <f t="shared" si="114"/>
        <v>-0.11999999999999998</v>
      </c>
      <c r="BC33" s="371">
        <f>AP33+1%</f>
        <v>-0.11999999999999998</v>
      </c>
      <c r="BD33" s="65">
        <f>BP33</f>
        <v>-0.10999999999999999</v>
      </c>
      <c r="BE33" s="65">
        <f t="shared" ref="BE33:BO33" si="115">BD33</f>
        <v>-0.10999999999999999</v>
      </c>
      <c r="BF33" s="65">
        <f t="shared" si="115"/>
        <v>-0.10999999999999999</v>
      </c>
      <c r="BG33" s="65">
        <f t="shared" si="115"/>
        <v>-0.10999999999999999</v>
      </c>
      <c r="BH33" s="65">
        <f t="shared" si="115"/>
        <v>-0.10999999999999999</v>
      </c>
      <c r="BI33" s="65">
        <f t="shared" si="115"/>
        <v>-0.10999999999999999</v>
      </c>
      <c r="BJ33" s="65">
        <f t="shared" si="115"/>
        <v>-0.10999999999999999</v>
      </c>
      <c r="BK33" s="65">
        <f t="shared" si="115"/>
        <v>-0.10999999999999999</v>
      </c>
      <c r="BL33" s="65">
        <f t="shared" si="115"/>
        <v>-0.10999999999999999</v>
      </c>
      <c r="BM33" s="65">
        <f t="shared" si="115"/>
        <v>-0.10999999999999999</v>
      </c>
      <c r="BN33" s="65">
        <f t="shared" si="115"/>
        <v>-0.10999999999999999</v>
      </c>
      <c r="BO33" s="65">
        <f t="shared" si="115"/>
        <v>-0.10999999999999999</v>
      </c>
      <c r="BP33" s="371">
        <f>BC33+1%</f>
        <v>-0.10999999999999999</v>
      </c>
      <c r="CF33" s="65" t="s">
        <v>1107</v>
      </c>
      <c r="CG33" s="430" t="s">
        <v>231</v>
      </c>
    </row>
    <row r="34" spans="1:85">
      <c r="P34" s="349"/>
      <c r="AC34" s="349"/>
      <c r="AP34" s="349"/>
      <c r="BC34" s="349"/>
      <c r="BP34" s="349"/>
    </row>
    <row r="35" spans="1:85">
      <c r="P35" s="349"/>
      <c r="AC35" s="349"/>
      <c r="AP35" s="349"/>
      <c r="BC35" s="349"/>
      <c r="BP35" s="349"/>
    </row>
    <row r="36" spans="1:85" s="1" customFormat="1">
      <c r="A36" s="421"/>
      <c r="B36" s="423" t="s">
        <v>665</v>
      </c>
      <c r="C36" s="422"/>
      <c r="D36" s="421" t="s">
        <v>107</v>
      </c>
      <c r="E36" s="421" t="s">
        <v>135</v>
      </c>
      <c r="F36" s="421" t="s">
        <v>136</v>
      </c>
      <c r="G36" s="421" t="s">
        <v>137</v>
      </c>
      <c r="H36" s="421" t="s">
        <v>138</v>
      </c>
      <c r="I36" s="421" t="s">
        <v>139</v>
      </c>
      <c r="J36" s="421" t="s">
        <v>140</v>
      </c>
      <c r="K36" s="421" t="s">
        <v>141</v>
      </c>
      <c r="L36" s="421" t="s">
        <v>142</v>
      </c>
      <c r="M36" s="421" t="s">
        <v>143</v>
      </c>
      <c r="N36" s="421" t="s">
        <v>144</v>
      </c>
      <c r="O36" s="421" t="s">
        <v>145</v>
      </c>
      <c r="P36" s="420" t="s">
        <v>146</v>
      </c>
      <c r="Q36" s="421" t="s">
        <v>107</v>
      </c>
      <c r="R36" s="421" t="s">
        <v>135</v>
      </c>
      <c r="S36" s="421" t="s">
        <v>136</v>
      </c>
      <c r="T36" s="421" t="s">
        <v>137</v>
      </c>
      <c r="U36" s="421" t="s">
        <v>138</v>
      </c>
      <c r="V36" s="421" t="s">
        <v>139</v>
      </c>
      <c r="W36" s="421" t="s">
        <v>140</v>
      </c>
      <c r="X36" s="421" t="s">
        <v>141</v>
      </c>
      <c r="Y36" s="421" t="s">
        <v>142</v>
      </c>
      <c r="Z36" s="421" t="s">
        <v>143</v>
      </c>
      <c r="AA36" s="421" t="s">
        <v>144</v>
      </c>
      <c r="AB36" s="421" t="s">
        <v>145</v>
      </c>
      <c r="AC36" s="420" t="s">
        <v>151</v>
      </c>
      <c r="AD36" s="421" t="s">
        <v>107</v>
      </c>
      <c r="AE36" s="421" t="s">
        <v>135</v>
      </c>
      <c r="AF36" s="421" t="s">
        <v>136</v>
      </c>
      <c r="AG36" s="421" t="s">
        <v>137</v>
      </c>
      <c r="AH36" s="421" t="s">
        <v>138</v>
      </c>
      <c r="AI36" s="421" t="s">
        <v>139</v>
      </c>
      <c r="AJ36" s="421" t="s">
        <v>140</v>
      </c>
      <c r="AK36" s="421" t="s">
        <v>141</v>
      </c>
      <c r="AL36" s="421" t="s">
        <v>142</v>
      </c>
      <c r="AM36" s="421" t="s">
        <v>143</v>
      </c>
      <c r="AN36" s="421" t="s">
        <v>144</v>
      </c>
      <c r="AO36" s="421" t="s">
        <v>145</v>
      </c>
      <c r="AP36" s="420" t="s">
        <v>152</v>
      </c>
      <c r="AQ36" s="421" t="s">
        <v>107</v>
      </c>
      <c r="AR36" s="421" t="s">
        <v>135</v>
      </c>
      <c r="AS36" s="421" t="s">
        <v>136</v>
      </c>
      <c r="AT36" s="421" t="s">
        <v>137</v>
      </c>
      <c r="AU36" s="421" t="s">
        <v>138</v>
      </c>
      <c r="AV36" s="421" t="s">
        <v>139</v>
      </c>
      <c r="AW36" s="421" t="s">
        <v>140</v>
      </c>
      <c r="AX36" s="421" t="s">
        <v>141</v>
      </c>
      <c r="AY36" s="421" t="s">
        <v>142</v>
      </c>
      <c r="AZ36" s="421" t="s">
        <v>143</v>
      </c>
      <c r="BA36" s="421" t="s">
        <v>144</v>
      </c>
      <c r="BB36" s="421" t="s">
        <v>145</v>
      </c>
      <c r="BC36" s="420" t="s">
        <v>153</v>
      </c>
      <c r="BD36" s="421" t="s">
        <v>107</v>
      </c>
      <c r="BE36" s="421" t="s">
        <v>135</v>
      </c>
      <c r="BF36" s="421" t="s">
        <v>136</v>
      </c>
      <c r="BG36" s="421" t="s">
        <v>137</v>
      </c>
      <c r="BH36" s="421" t="s">
        <v>138</v>
      </c>
      <c r="BI36" s="421" t="s">
        <v>139</v>
      </c>
      <c r="BJ36" s="421" t="s">
        <v>140</v>
      </c>
      <c r="BK36" s="421" t="s">
        <v>141</v>
      </c>
      <c r="BL36" s="421" t="s">
        <v>142</v>
      </c>
      <c r="BM36" s="421" t="s">
        <v>143</v>
      </c>
      <c r="BN36" s="421" t="s">
        <v>144</v>
      </c>
      <c r="BO36" s="421" t="s">
        <v>145</v>
      </c>
      <c r="BP36" s="420" t="s">
        <v>154</v>
      </c>
      <c r="CF36" s="421"/>
      <c r="CG36" s="423"/>
    </row>
    <row r="37" spans="1:85" s="3" customFormat="1">
      <c r="A37" s="296" t="s">
        <v>513</v>
      </c>
      <c r="B37" s="12" t="s">
        <v>502</v>
      </c>
      <c r="C37" s="5"/>
      <c r="D37" s="3">
        <f t="shared" ref="D37:O37" si="116">D38+D39</f>
        <v>0</v>
      </c>
      <c r="E37" s="3">
        <f t="shared" si="116"/>
        <v>0</v>
      </c>
      <c r="F37" s="3">
        <f t="shared" si="116"/>
        <v>0</v>
      </c>
      <c r="G37" s="3">
        <f t="shared" si="116"/>
        <v>0</v>
      </c>
      <c r="H37" s="3">
        <f t="shared" si="116"/>
        <v>0</v>
      </c>
      <c r="I37" s="3">
        <f t="shared" si="116"/>
        <v>0</v>
      </c>
      <c r="J37" s="3">
        <f t="shared" si="116"/>
        <v>-0.6529613111866569</v>
      </c>
      <c r="K37" s="3">
        <f t="shared" si="116"/>
        <v>-1.9841914009338779</v>
      </c>
      <c r="L37" s="3">
        <f t="shared" si="116"/>
        <v>-3.2567002517234114</v>
      </c>
      <c r="M37" s="3">
        <f t="shared" si="116"/>
        <v>-4.7945652174729885</v>
      </c>
      <c r="N37" s="3">
        <f t="shared" si="116"/>
        <v>-6.0681851756900453</v>
      </c>
      <c r="O37" s="3">
        <f t="shared" si="116"/>
        <v>-7.759152276449397</v>
      </c>
      <c r="P37" s="397">
        <f t="shared" ref="P37:P51" si="117">SUM(D37:O37)</f>
        <v>-24.515755633456379</v>
      </c>
      <c r="Q37" s="3">
        <f t="shared" ref="Q37:AB37" si="118">Q38+Q39</f>
        <v>-9.5754925456520148</v>
      </c>
      <c r="R37" s="3">
        <f t="shared" si="118"/>
        <v>-11.693168586856428</v>
      </c>
      <c r="S37" s="3">
        <f t="shared" si="118"/>
        <v>-16.48087797060532</v>
      </c>
      <c r="T37" s="3">
        <f t="shared" si="118"/>
        <v>-19.524557768820731</v>
      </c>
      <c r="U37" s="3">
        <f t="shared" si="118"/>
        <v>-24.024572234484857</v>
      </c>
      <c r="V37" s="3">
        <f t="shared" si="118"/>
        <v>-27.119362034960936</v>
      </c>
      <c r="W37" s="3">
        <f t="shared" si="118"/>
        <v>-32.166375089069405</v>
      </c>
      <c r="X37" s="3">
        <f t="shared" si="118"/>
        <v>-36.4481983748516</v>
      </c>
      <c r="Y37" s="3">
        <f t="shared" si="118"/>
        <v>-39.545009328328987</v>
      </c>
      <c r="Z37" s="3">
        <f t="shared" si="118"/>
        <v>-45.405529783029515</v>
      </c>
      <c r="AA37" s="3">
        <f t="shared" si="118"/>
        <v>-48.454207641830294</v>
      </c>
      <c r="AB37" s="3">
        <f t="shared" si="118"/>
        <v>-54.737763986543634</v>
      </c>
      <c r="AC37" s="397">
        <f t="shared" ref="AC37:AC51" si="119">SUM(Q37:AB37)</f>
        <v>-365.17511534503376</v>
      </c>
      <c r="AD37" s="3">
        <f t="shared" ref="AD37:AO37" si="120">AD38+AD39</f>
        <v>-55.004200511699828</v>
      </c>
      <c r="AE37" s="3">
        <f t="shared" si="120"/>
        <v>-53.444578598464105</v>
      </c>
      <c r="AF37" s="3">
        <f t="shared" si="120"/>
        <v>-63.530454899654409</v>
      </c>
      <c r="AG37" s="3">
        <f t="shared" si="120"/>
        <v>-65.880288023134966</v>
      </c>
      <c r="AH37" s="3">
        <f t="shared" si="120"/>
        <v>-72.801206800225003</v>
      </c>
      <c r="AI37" s="3">
        <f t="shared" si="120"/>
        <v>-75.191522634001004</v>
      </c>
      <c r="AJ37" s="3">
        <f t="shared" si="120"/>
        <v>-82.758967694838589</v>
      </c>
      <c r="AK37" s="3">
        <f t="shared" si="120"/>
        <v>-87.976823090134829</v>
      </c>
      <c r="AL37" s="3">
        <f t="shared" si="120"/>
        <v>-90.332696607093041</v>
      </c>
      <c r="AM37" s="3">
        <f t="shared" si="120"/>
        <v>-98.852068905630674</v>
      </c>
      <c r="AN37" s="3">
        <f t="shared" si="120"/>
        <v>-101.12302831814092</v>
      </c>
      <c r="AO37" s="3">
        <f t="shared" si="120"/>
        <v>-110.10329464787343</v>
      </c>
      <c r="AP37" s="397">
        <f t="shared" ref="AP37:AP51" si="121">SUM(AD37:AO37)</f>
        <v>-956.99913073089067</v>
      </c>
      <c r="AQ37" s="3">
        <f t="shared" ref="AQ37:BB37" si="122">AQ38+AQ39</f>
        <v>-105.66168802475522</v>
      </c>
      <c r="AR37" s="3">
        <f t="shared" si="122"/>
        <v>-98.197333424209418</v>
      </c>
      <c r="AS37" s="3">
        <f t="shared" si="122"/>
        <v>-111.95102840275472</v>
      </c>
      <c r="AT37" s="3">
        <f t="shared" si="122"/>
        <v>-111.63167339237552</v>
      </c>
      <c r="AU37" s="3">
        <f t="shared" si="122"/>
        <v>-118.91683704772363</v>
      </c>
      <c r="AV37" s="3">
        <f t="shared" si="122"/>
        <v>-118.68048389794731</v>
      </c>
      <c r="AW37" s="3">
        <f t="shared" si="122"/>
        <v>-126.50477154409363</v>
      </c>
      <c r="AX37" s="3">
        <f t="shared" si="122"/>
        <v>-130.51462626719641</v>
      </c>
      <c r="AY37" s="3">
        <f t="shared" si="122"/>
        <v>-130.31513786159087</v>
      </c>
      <c r="AZ37" s="3">
        <f t="shared" si="122"/>
        <v>-138.93068414411815</v>
      </c>
      <c r="BA37" s="3">
        <f t="shared" si="122"/>
        <v>-138.69927396905229</v>
      </c>
      <c r="BB37" s="3">
        <f t="shared" si="122"/>
        <v>-147.66346665115324</v>
      </c>
      <c r="BC37" s="397">
        <f t="shared" ref="BC37:BC51" si="123">SUM(AQ37:BB37)</f>
        <v>-1477.6670046269703</v>
      </c>
      <c r="BD37" s="3">
        <f t="shared" ref="BD37:BO37" si="124">BD38+BD39</f>
        <v>-138.17259187554166</v>
      </c>
      <c r="BE37" s="3">
        <f t="shared" si="124"/>
        <v>-126.46717179032217</v>
      </c>
      <c r="BF37" s="3">
        <f t="shared" si="124"/>
        <v>-142.04800793232482</v>
      </c>
      <c r="BG37" s="3">
        <f t="shared" si="124"/>
        <v>-139.60471718347941</v>
      </c>
      <c r="BH37" s="3">
        <f t="shared" si="124"/>
        <v>-146.64099602227103</v>
      </c>
      <c r="BI37" s="3">
        <f t="shared" si="124"/>
        <v>-144.3768971175891</v>
      </c>
      <c r="BJ37" s="3">
        <f t="shared" si="124"/>
        <v>-151.8966213235953</v>
      </c>
      <c r="BK37" s="3">
        <f t="shared" si="124"/>
        <v>-154.7554481603504</v>
      </c>
      <c r="BL37" s="3">
        <f t="shared" si="124"/>
        <v>-152.66987825032368</v>
      </c>
      <c r="BM37" s="3">
        <f t="shared" si="124"/>
        <v>-160.89981195036074</v>
      </c>
      <c r="BN37" s="3">
        <f t="shared" si="124"/>
        <v>-158.87532379576876</v>
      </c>
      <c r="BO37" s="3">
        <f t="shared" si="124"/>
        <v>-167.39402168445608</v>
      </c>
      <c r="BP37" s="397">
        <f t="shared" ref="BP37:BP51" si="125">SUM(BD37:BO37)</f>
        <v>-1783.8014870863831</v>
      </c>
      <c r="CF37" s="296" t="s">
        <v>871</v>
      </c>
      <c r="CG37" s="12" t="s">
        <v>965</v>
      </c>
    </row>
    <row r="38" spans="1:85" s="5" customFormat="1" outlineLevel="1">
      <c r="A38" s="297" t="s">
        <v>466</v>
      </c>
      <c r="B38" s="12" t="s">
        <v>502</v>
      </c>
      <c r="D38" s="5">
        <f t="shared" ref="D38:O38" si="126">AVERAGE(C26:D26)*D29/365*D1</f>
        <v>0</v>
      </c>
      <c r="E38" s="5">
        <f t="shared" si="126"/>
        <v>0</v>
      </c>
      <c r="F38" s="5">
        <f t="shared" si="126"/>
        <v>0</v>
      </c>
      <c r="G38" s="5">
        <f t="shared" si="126"/>
        <v>0</v>
      </c>
      <c r="H38" s="5">
        <f t="shared" si="126"/>
        <v>0</v>
      </c>
      <c r="I38" s="5">
        <f t="shared" si="126"/>
        <v>0</v>
      </c>
      <c r="J38" s="5">
        <f t="shared" si="126"/>
        <v>0</v>
      </c>
      <c r="K38" s="5">
        <f t="shared" si="126"/>
        <v>0</v>
      </c>
      <c r="L38" s="5">
        <f t="shared" si="126"/>
        <v>0</v>
      </c>
      <c r="M38" s="5">
        <f t="shared" si="126"/>
        <v>0</v>
      </c>
      <c r="N38" s="5">
        <f t="shared" si="126"/>
        <v>0</v>
      </c>
      <c r="O38" s="5">
        <f t="shared" si="126"/>
        <v>0</v>
      </c>
      <c r="P38" s="383">
        <f t="shared" si="117"/>
        <v>0</v>
      </c>
      <c r="Q38" s="5">
        <f t="shared" ref="Q38:AB38" si="127">AVERAGE(P26:Q26)*Q29/365*Q1</f>
        <v>0</v>
      </c>
      <c r="R38" s="5">
        <f t="shared" si="127"/>
        <v>0</v>
      </c>
      <c r="S38" s="5">
        <f t="shared" si="127"/>
        <v>0</v>
      </c>
      <c r="T38" s="5">
        <f t="shared" si="127"/>
        <v>0</v>
      </c>
      <c r="U38" s="5">
        <f t="shared" si="127"/>
        <v>0</v>
      </c>
      <c r="V38" s="5">
        <f t="shared" si="127"/>
        <v>0</v>
      </c>
      <c r="W38" s="5">
        <f t="shared" si="127"/>
        <v>0</v>
      </c>
      <c r="X38" s="5">
        <f t="shared" si="127"/>
        <v>0</v>
      </c>
      <c r="Y38" s="5">
        <f t="shared" si="127"/>
        <v>0</v>
      </c>
      <c r="Z38" s="5">
        <f t="shared" si="127"/>
        <v>0</v>
      </c>
      <c r="AA38" s="5">
        <f t="shared" si="127"/>
        <v>0</v>
      </c>
      <c r="AB38" s="5">
        <f t="shared" si="127"/>
        <v>0</v>
      </c>
      <c r="AC38" s="383">
        <f t="shared" si="119"/>
        <v>0</v>
      </c>
      <c r="AD38" s="5">
        <f t="shared" ref="AD38:AO38" si="128">AVERAGE(AC26:AD26)*AD29/365*AD1</f>
        <v>0</v>
      </c>
      <c r="AE38" s="5">
        <f t="shared" si="128"/>
        <v>0</v>
      </c>
      <c r="AF38" s="5">
        <f t="shared" si="128"/>
        <v>0</v>
      </c>
      <c r="AG38" s="5">
        <f t="shared" si="128"/>
        <v>0</v>
      </c>
      <c r="AH38" s="5">
        <f t="shared" si="128"/>
        <v>0</v>
      </c>
      <c r="AI38" s="5">
        <f t="shared" si="128"/>
        <v>0</v>
      </c>
      <c r="AJ38" s="5">
        <f t="shared" si="128"/>
        <v>0</v>
      </c>
      <c r="AK38" s="5">
        <f t="shared" si="128"/>
        <v>0</v>
      </c>
      <c r="AL38" s="5">
        <f t="shared" si="128"/>
        <v>0</v>
      </c>
      <c r="AM38" s="5">
        <f t="shared" si="128"/>
        <v>0</v>
      </c>
      <c r="AN38" s="5">
        <f t="shared" si="128"/>
        <v>0</v>
      </c>
      <c r="AO38" s="5">
        <f t="shared" si="128"/>
        <v>0</v>
      </c>
      <c r="AP38" s="383">
        <f t="shared" si="121"/>
        <v>0</v>
      </c>
      <c r="AQ38" s="5">
        <f t="shared" ref="AQ38:BB38" si="129">AVERAGE(AP26:AQ26)*AQ29/365*AQ1</f>
        <v>0</v>
      </c>
      <c r="AR38" s="5">
        <f t="shared" si="129"/>
        <v>0</v>
      </c>
      <c r="AS38" s="5">
        <f t="shared" si="129"/>
        <v>0</v>
      </c>
      <c r="AT38" s="5">
        <f t="shared" si="129"/>
        <v>0</v>
      </c>
      <c r="AU38" s="5">
        <f t="shared" si="129"/>
        <v>0</v>
      </c>
      <c r="AV38" s="5">
        <f t="shared" si="129"/>
        <v>0</v>
      </c>
      <c r="AW38" s="5">
        <f t="shared" si="129"/>
        <v>0</v>
      </c>
      <c r="AX38" s="5">
        <f t="shared" si="129"/>
        <v>0</v>
      </c>
      <c r="AY38" s="5">
        <f t="shared" si="129"/>
        <v>0</v>
      </c>
      <c r="AZ38" s="5">
        <f t="shared" si="129"/>
        <v>0</v>
      </c>
      <c r="BA38" s="5">
        <f t="shared" si="129"/>
        <v>0</v>
      </c>
      <c r="BB38" s="5">
        <f t="shared" si="129"/>
        <v>0</v>
      </c>
      <c r="BC38" s="383">
        <f t="shared" si="123"/>
        <v>0</v>
      </c>
      <c r="BD38" s="5">
        <f t="shared" ref="BD38:BO38" si="130">AVERAGE(BC26:BD26)*BD29/365*BD1</f>
        <v>0</v>
      </c>
      <c r="BE38" s="5">
        <f t="shared" si="130"/>
        <v>0</v>
      </c>
      <c r="BF38" s="5">
        <f t="shared" si="130"/>
        <v>0</v>
      </c>
      <c r="BG38" s="5">
        <f t="shared" si="130"/>
        <v>0</v>
      </c>
      <c r="BH38" s="5">
        <f t="shared" si="130"/>
        <v>0</v>
      </c>
      <c r="BI38" s="5">
        <f t="shared" si="130"/>
        <v>0</v>
      </c>
      <c r="BJ38" s="5">
        <f t="shared" si="130"/>
        <v>0</v>
      </c>
      <c r="BK38" s="5">
        <f t="shared" si="130"/>
        <v>0</v>
      </c>
      <c r="BL38" s="5">
        <f t="shared" si="130"/>
        <v>0</v>
      </c>
      <c r="BM38" s="5">
        <f t="shared" si="130"/>
        <v>0</v>
      </c>
      <c r="BN38" s="5">
        <f t="shared" si="130"/>
        <v>0</v>
      </c>
      <c r="BO38" s="5">
        <f t="shared" si="130"/>
        <v>0</v>
      </c>
      <c r="BP38" s="383">
        <f t="shared" si="125"/>
        <v>0</v>
      </c>
      <c r="CF38" s="297" t="s">
        <v>861</v>
      </c>
      <c r="CG38" s="12" t="s">
        <v>965</v>
      </c>
    </row>
    <row r="39" spans="1:85" s="5" customFormat="1" outlineLevel="1">
      <c r="A39" s="297" t="s">
        <v>158</v>
      </c>
      <c r="B39" s="12" t="s">
        <v>502</v>
      </c>
      <c r="D39" s="5">
        <f t="shared" ref="D39:O39" si="131">AVERAGE(C26:D26)*D33/365*D1</f>
        <v>0</v>
      </c>
      <c r="E39" s="5">
        <f t="shared" si="131"/>
        <v>0</v>
      </c>
      <c r="F39" s="5">
        <f t="shared" si="131"/>
        <v>0</v>
      </c>
      <c r="G39" s="5">
        <f t="shared" si="131"/>
        <v>0</v>
      </c>
      <c r="H39" s="5">
        <f t="shared" si="131"/>
        <v>0</v>
      </c>
      <c r="I39" s="5">
        <f t="shared" si="131"/>
        <v>0</v>
      </c>
      <c r="J39" s="5">
        <f t="shared" si="131"/>
        <v>-0.6529613111866569</v>
      </c>
      <c r="K39" s="5">
        <f t="shared" si="131"/>
        <v>-1.9841914009338779</v>
      </c>
      <c r="L39" s="5">
        <f t="shared" si="131"/>
        <v>-3.2567002517234114</v>
      </c>
      <c r="M39" s="5">
        <f t="shared" si="131"/>
        <v>-4.7945652174729885</v>
      </c>
      <c r="N39" s="5">
        <f t="shared" si="131"/>
        <v>-6.0681851756900453</v>
      </c>
      <c r="O39" s="5">
        <f t="shared" si="131"/>
        <v>-7.759152276449397</v>
      </c>
      <c r="P39" s="383">
        <f t="shared" si="117"/>
        <v>-24.515755633456379</v>
      </c>
      <c r="Q39" s="5">
        <f>AVERAGE(O26,Q26)*Q33/365*Q1</f>
        <v>-9.5754925456520148</v>
      </c>
      <c r="R39" s="5">
        <f t="shared" ref="R39:AB39" si="132">AVERAGE(Q26:R26)*R33/365*R1</f>
        <v>-11.693168586856428</v>
      </c>
      <c r="S39" s="5">
        <f t="shared" si="132"/>
        <v>-16.48087797060532</v>
      </c>
      <c r="T39" s="5">
        <f t="shared" si="132"/>
        <v>-19.524557768820731</v>
      </c>
      <c r="U39" s="5">
        <f t="shared" si="132"/>
        <v>-24.024572234484857</v>
      </c>
      <c r="V39" s="5">
        <f t="shared" si="132"/>
        <v>-27.119362034960936</v>
      </c>
      <c r="W39" s="5">
        <f t="shared" si="132"/>
        <v>-32.166375089069405</v>
      </c>
      <c r="X39" s="5">
        <f t="shared" si="132"/>
        <v>-36.4481983748516</v>
      </c>
      <c r="Y39" s="5">
        <f t="shared" si="132"/>
        <v>-39.545009328328987</v>
      </c>
      <c r="Z39" s="5">
        <f t="shared" si="132"/>
        <v>-45.405529783029515</v>
      </c>
      <c r="AA39" s="5">
        <f t="shared" si="132"/>
        <v>-48.454207641830294</v>
      </c>
      <c r="AB39" s="5">
        <f t="shared" si="132"/>
        <v>-54.737763986543634</v>
      </c>
      <c r="AC39" s="383">
        <f t="shared" si="119"/>
        <v>-365.17511534503376</v>
      </c>
      <c r="AD39" s="5">
        <f>AVERAGE(AB26,AD26)*AD33/365*AD1</f>
        <v>-55.004200511699828</v>
      </c>
      <c r="AE39" s="5">
        <f t="shared" ref="AE39:AO39" si="133">AVERAGE(AD26:AE26)*AE33/365*AE1</f>
        <v>-53.444578598464105</v>
      </c>
      <c r="AF39" s="5">
        <f t="shared" si="133"/>
        <v>-63.530454899654409</v>
      </c>
      <c r="AG39" s="5">
        <f t="shared" si="133"/>
        <v>-65.880288023134966</v>
      </c>
      <c r="AH39" s="5">
        <f t="shared" si="133"/>
        <v>-72.801206800225003</v>
      </c>
      <c r="AI39" s="5">
        <f t="shared" si="133"/>
        <v>-75.191522634001004</v>
      </c>
      <c r="AJ39" s="5">
        <f t="shared" si="133"/>
        <v>-82.758967694838589</v>
      </c>
      <c r="AK39" s="5">
        <f t="shared" si="133"/>
        <v>-87.976823090134829</v>
      </c>
      <c r="AL39" s="5">
        <f t="shared" si="133"/>
        <v>-90.332696607093041</v>
      </c>
      <c r="AM39" s="5">
        <f t="shared" si="133"/>
        <v>-98.852068905630674</v>
      </c>
      <c r="AN39" s="5">
        <f t="shared" si="133"/>
        <v>-101.12302831814092</v>
      </c>
      <c r="AO39" s="5">
        <f t="shared" si="133"/>
        <v>-110.10329464787343</v>
      </c>
      <c r="AP39" s="383">
        <f t="shared" si="121"/>
        <v>-956.99913073089067</v>
      </c>
      <c r="AQ39" s="5">
        <f>AVERAGE(AO26,AQ26)*AQ33/365*AQ1</f>
        <v>-105.66168802475522</v>
      </c>
      <c r="AR39" s="5">
        <f t="shared" ref="AR39:BB39" si="134">AVERAGE(AQ26:AR26)*AR33/365*AR1</f>
        <v>-98.197333424209418</v>
      </c>
      <c r="AS39" s="5">
        <f t="shared" si="134"/>
        <v>-111.95102840275472</v>
      </c>
      <c r="AT39" s="5">
        <f t="shared" si="134"/>
        <v>-111.63167339237552</v>
      </c>
      <c r="AU39" s="5">
        <f t="shared" si="134"/>
        <v>-118.91683704772363</v>
      </c>
      <c r="AV39" s="5">
        <f t="shared" si="134"/>
        <v>-118.68048389794731</v>
      </c>
      <c r="AW39" s="5">
        <f t="shared" si="134"/>
        <v>-126.50477154409363</v>
      </c>
      <c r="AX39" s="5">
        <f t="shared" si="134"/>
        <v>-130.51462626719641</v>
      </c>
      <c r="AY39" s="5">
        <f t="shared" si="134"/>
        <v>-130.31513786159087</v>
      </c>
      <c r="AZ39" s="5">
        <f t="shared" si="134"/>
        <v>-138.93068414411815</v>
      </c>
      <c r="BA39" s="5">
        <f t="shared" si="134"/>
        <v>-138.69927396905229</v>
      </c>
      <c r="BB39" s="5">
        <f t="shared" si="134"/>
        <v>-147.66346665115324</v>
      </c>
      <c r="BC39" s="383">
        <f t="shared" si="123"/>
        <v>-1477.6670046269703</v>
      </c>
      <c r="BD39" s="5">
        <f>AVERAGE(BB26,BD26)*BD33/365*BD1</f>
        <v>-138.17259187554166</v>
      </c>
      <c r="BE39" s="5">
        <f t="shared" ref="BE39:BO39" si="135">AVERAGE(BD26:BE26)*BE33/365*BE1</f>
        <v>-126.46717179032217</v>
      </c>
      <c r="BF39" s="5">
        <f t="shared" si="135"/>
        <v>-142.04800793232482</v>
      </c>
      <c r="BG39" s="5">
        <f t="shared" si="135"/>
        <v>-139.60471718347941</v>
      </c>
      <c r="BH39" s="5">
        <f t="shared" si="135"/>
        <v>-146.64099602227103</v>
      </c>
      <c r="BI39" s="5">
        <f t="shared" si="135"/>
        <v>-144.3768971175891</v>
      </c>
      <c r="BJ39" s="5">
        <f t="shared" si="135"/>
        <v>-151.8966213235953</v>
      </c>
      <c r="BK39" s="5">
        <f t="shared" si="135"/>
        <v>-154.7554481603504</v>
      </c>
      <c r="BL39" s="5">
        <f t="shared" si="135"/>
        <v>-152.66987825032368</v>
      </c>
      <c r="BM39" s="5">
        <f t="shared" si="135"/>
        <v>-160.89981195036074</v>
      </c>
      <c r="BN39" s="5">
        <f t="shared" si="135"/>
        <v>-158.87532379576876</v>
      </c>
      <c r="BO39" s="5">
        <f t="shared" si="135"/>
        <v>-167.39402168445608</v>
      </c>
      <c r="BP39" s="383">
        <f t="shared" si="125"/>
        <v>-1783.8014870863831</v>
      </c>
      <c r="CF39" s="297" t="s">
        <v>867</v>
      </c>
      <c r="CG39" s="12" t="s">
        <v>965</v>
      </c>
    </row>
    <row r="40" spans="1:85" s="3" customFormat="1">
      <c r="A40" s="296" t="s">
        <v>514</v>
      </c>
      <c r="B40" s="12" t="s">
        <v>502</v>
      </c>
      <c r="C40" s="5"/>
      <c r="D40" s="3">
        <f t="shared" ref="D40:O40" si="136">D41+D42+D43</f>
        <v>0</v>
      </c>
      <c r="E40" s="3">
        <f t="shared" si="136"/>
        <v>0</v>
      </c>
      <c r="F40" s="3">
        <f t="shared" si="136"/>
        <v>0</v>
      </c>
      <c r="G40" s="3">
        <f t="shared" si="136"/>
        <v>0</v>
      </c>
      <c r="H40" s="3">
        <f t="shared" si="136"/>
        <v>0</v>
      </c>
      <c r="I40" s="3">
        <f t="shared" si="136"/>
        <v>0</v>
      </c>
      <c r="J40" s="3">
        <f t="shared" si="136"/>
        <v>0</v>
      </c>
      <c r="K40" s="3">
        <f t="shared" si="136"/>
        <v>0</v>
      </c>
      <c r="L40" s="3">
        <f t="shared" si="136"/>
        <v>0</v>
      </c>
      <c r="M40" s="3">
        <f t="shared" si="136"/>
        <v>0</v>
      </c>
      <c r="N40" s="3">
        <f t="shared" si="136"/>
        <v>0</v>
      </c>
      <c r="O40" s="3">
        <f t="shared" si="136"/>
        <v>0</v>
      </c>
      <c r="P40" s="397">
        <f t="shared" si="117"/>
        <v>0</v>
      </c>
      <c r="Q40" s="3">
        <f t="shared" ref="Q40:AB40" si="137">Q41+Q42+Q43</f>
        <v>0</v>
      </c>
      <c r="R40" s="3">
        <f t="shared" si="137"/>
        <v>0</v>
      </c>
      <c r="S40" s="3">
        <f t="shared" si="137"/>
        <v>0</v>
      </c>
      <c r="T40" s="3">
        <f t="shared" si="137"/>
        <v>0</v>
      </c>
      <c r="U40" s="3">
        <f t="shared" si="137"/>
        <v>0</v>
      </c>
      <c r="V40" s="3">
        <f t="shared" si="137"/>
        <v>0</v>
      </c>
      <c r="W40" s="3">
        <f t="shared" si="137"/>
        <v>0</v>
      </c>
      <c r="X40" s="3">
        <f t="shared" si="137"/>
        <v>0</v>
      </c>
      <c r="Y40" s="3">
        <f t="shared" si="137"/>
        <v>0</v>
      </c>
      <c r="Z40" s="3">
        <f t="shared" si="137"/>
        <v>0</v>
      </c>
      <c r="AA40" s="3">
        <f t="shared" si="137"/>
        <v>0</v>
      </c>
      <c r="AB40" s="3">
        <f t="shared" si="137"/>
        <v>0</v>
      </c>
      <c r="AC40" s="397">
        <f t="shared" si="119"/>
        <v>0</v>
      </c>
      <c r="AD40" s="3">
        <f t="shared" ref="AD40:AO40" si="138">AD41+AD42+AD43</f>
        <v>0</v>
      </c>
      <c r="AE40" s="3">
        <f t="shared" si="138"/>
        <v>0</v>
      </c>
      <c r="AF40" s="3">
        <f t="shared" si="138"/>
        <v>0</v>
      </c>
      <c r="AG40" s="3">
        <f t="shared" si="138"/>
        <v>0</v>
      </c>
      <c r="AH40" s="3">
        <f t="shared" si="138"/>
        <v>0</v>
      </c>
      <c r="AI40" s="3">
        <f t="shared" si="138"/>
        <v>0</v>
      </c>
      <c r="AJ40" s="3">
        <f t="shared" si="138"/>
        <v>0</v>
      </c>
      <c r="AK40" s="3">
        <f t="shared" si="138"/>
        <v>0</v>
      </c>
      <c r="AL40" s="3">
        <f t="shared" si="138"/>
        <v>0</v>
      </c>
      <c r="AM40" s="3">
        <f t="shared" si="138"/>
        <v>0</v>
      </c>
      <c r="AN40" s="3">
        <f t="shared" si="138"/>
        <v>0</v>
      </c>
      <c r="AO40" s="3">
        <f t="shared" si="138"/>
        <v>0</v>
      </c>
      <c r="AP40" s="397">
        <f t="shared" si="121"/>
        <v>0</v>
      </c>
      <c r="AQ40" s="3">
        <f t="shared" ref="AQ40:BB40" si="139">AQ41+AQ42+AQ43</f>
        <v>0</v>
      </c>
      <c r="AR40" s="3">
        <f t="shared" si="139"/>
        <v>0</v>
      </c>
      <c r="AS40" s="3">
        <f t="shared" si="139"/>
        <v>0</v>
      </c>
      <c r="AT40" s="3">
        <f t="shared" si="139"/>
        <v>0</v>
      </c>
      <c r="AU40" s="3">
        <f t="shared" si="139"/>
        <v>0</v>
      </c>
      <c r="AV40" s="3">
        <f t="shared" si="139"/>
        <v>0</v>
      </c>
      <c r="AW40" s="3">
        <f t="shared" si="139"/>
        <v>0</v>
      </c>
      <c r="AX40" s="3">
        <f t="shared" si="139"/>
        <v>0</v>
      </c>
      <c r="AY40" s="3">
        <f t="shared" si="139"/>
        <v>0</v>
      </c>
      <c r="AZ40" s="3">
        <f t="shared" si="139"/>
        <v>0</v>
      </c>
      <c r="BA40" s="3">
        <f t="shared" si="139"/>
        <v>0</v>
      </c>
      <c r="BB40" s="3">
        <f t="shared" si="139"/>
        <v>0</v>
      </c>
      <c r="BC40" s="397">
        <f t="shared" si="123"/>
        <v>0</v>
      </c>
      <c r="BD40" s="3">
        <f t="shared" ref="BD40:BO40" si="140">BD41+BD42+BD43</f>
        <v>0</v>
      </c>
      <c r="BE40" s="3">
        <f t="shared" si="140"/>
        <v>0</v>
      </c>
      <c r="BF40" s="3">
        <f t="shared" si="140"/>
        <v>0</v>
      </c>
      <c r="BG40" s="3">
        <f t="shared" si="140"/>
        <v>0</v>
      </c>
      <c r="BH40" s="3">
        <f t="shared" si="140"/>
        <v>0</v>
      </c>
      <c r="BI40" s="3">
        <f t="shared" si="140"/>
        <v>0</v>
      </c>
      <c r="BJ40" s="3">
        <f t="shared" si="140"/>
        <v>0</v>
      </c>
      <c r="BK40" s="3">
        <f t="shared" si="140"/>
        <v>0</v>
      </c>
      <c r="BL40" s="3">
        <f t="shared" si="140"/>
        <v>0</v>
      </c>
      <c r="BM40" s="3">
        <f t="shared" si="140"/>
        <v>0</v>
      </c>
      <c r="BN40" s="3">
        <f t="shared" si="140"/>
        <v>0</v>
      </c>
      <c r="BO40" s="3">
        <f t="shared" si="140"/>
        <v>0</v>
      </c>
      <c r="BP40" s="397">
        <f t="shared" si="125"/>
        <v>0</v>
      </c>
      <c r="CF40" s="296" t="s">
        <v>870</v>
      </c>
      <c r="CG40" s="12" t="s">
        <v>965</v>
      </c>
    </row>
    <row r="41" spans="1:85" s="5" customFormat="1" outlineLevel="1">
      <c r="A41" s="297" t="s">
        <v>275</v>
      </c>
      <c r="B41" s="12" t="s">
        <v>502</v>
      </c>
      <c r="P41" s="383">
        <f t="shared" si="117"/>
        <v>0</v>
      </c>
      <c r="AC41" s="383">
        <f t="shared" si="119"/>
        <v>0</v>
      </c>
      <c r="AP41" s="383">
        <f t="shared" si="121"/>
        <v>0</v>
      </c>
      <c r="BC41" s="383">
        <f t="shared" si="123"/>
        <v>0</v>
      </c>
      <c r="BP41" s="383">
        <f t="shared" si="125"/>
        <v>0</v>
      </c>
      <c r="CF41" s="297" t="s">
        <v>862</v>
      </c>
      <c r="CG41" s="12" t="s">
        <v>965</v>
      </c>
    </row>
    <row r="42" spans="1:85" s="5" customFormat="1" outlineLevel="1">
      <c r="A42" s="297" t="s">
        <v>274</v>
      </c>
      <c r="B42" s="12" t="s">
        <v>502</v>
      </c>
      <c r="P42" s="383">
        <f t="shared" si="117"/>
        <v>0</v>
      </c>
      <c r="AC42" s="383">
        <f t="shared" si="119"/>
        <v>0</v>
      </c>
      <c r="AP42" s="383">
        <f t="shared" si="121"/>
        <v>0</v>
      </c>
      <c r="BC42" s="383">
        <f t="shared" si="123"/>
        <v>0</v>
      </c>
      <c r="BP42" s="383">
        <f t="shared" si="125"/>
        <v>0</v>
      </c>
      <c r="CF42" s="297" t="s">
        <v>874</v>
      </c>
      <c r="CG42" s="12" t="s">
        <v>965</v>
      </c>
    </row>
    <row r="43" spans="1:85" s="5" customFormat="1" outlineLevel="1">
      <c r="A43" s="297" t="s">
        <v>515</v>
      </c>
      <c r="B43" s="12" t="s">
        <v>502</v>
      </c>
      <c r="P43" s="383">
        <f t="shared" si="117"/>
        <v>0</v>
      </c>
      <c r="AC43" s="383">
        <f t="shared" si="119"/>
        <v>0</v>
      </c>
      <c r="AP43" s="383">
        <f t="shared" si="121"/>
        <v>0</v>
      </c>
      <c r="BC43" s="383">
        <f t="shared" si="123"/>
        <v>0</v>
      </c>
      <c r="BP43" s="383">
        <f t="shared" si="125"/>
        <v>0</v>
      </c>
      <c r="CF43" s="297" t="s">
        <v>869</v>
      </c>
      <c r="CG43" s="12" t="s">
        <v>965</v>
      </c>
    </row>
    <row r="44" spans="1:85" s="63" customFormat="1">
      <c r="A44" s="298" t="s">
        <v>516</v>
      </c>
      <c r="B44" s="12" t="s">
        <v>502</v>
      </c>
      <c r="C44" s="299"/>
      <c r="D44" s="63">
        <f t="shared" ref="D44:O44" si="141">D37+D40</f>
        <v>0</v>
      </c>
      <c r="E44" s="63">
        <f t="shared" si="141"/>
        <v>0</v>
      </c>
      <c r="F44" s="63">
        <f t="shared" si="141"/>
        <v>0</v>
      </c>
      <c r="G44" s="63">
        <f t="shared" si="141"/>
        <v>0</v>
      </c>
      <c r="H44" s="63">
        <f t="shared" si="141"/>
        <v>0</v>
      </c>
      <c r="I44" s="63">
        <f t="shared" si="141"/>
        <v>0</v>
      </c>
      <c r="J44" s="63">
        <f t="shared" si="141"/>
        <v>-0.6529613111866569</v>
      </c>
      <c r="K44" s="63">
        <f t="shared" si="141"/>
        <v>-1.9841914009338779</v>
      </c>
      <c r="L44" s="63">
        <f t="shared" si="141"/>
        <v>-3.2567002517234114</v>
      </c>
      <c r="M44" s="63">
        <f t="shared" si="141"/>
        <v>-4.7945652174729885</v>
      </c>
      <c r="N44" s="63">
        <f t="shared" si="141"/>
        <v>-6.0681851756900453</v>
      </c>
      <c r="O44" s="63">
        <f t="shared" si="141"/>
        <v>-7.759152276449397</v>
      </c>
      <c r="P44" s="397">
        <f t="shared" si="117"/>
        <v>-24.515755633456379</v>
      </c>
      <c r="Q44" s="63">
        <f t="shared" ref="Q44:AB44" si="142">Q37+Q40</f>
        <v>-9.5754925456520148</v>
      </c>
      <c r="R44" s="63">
        <f t="shared" si="142"/>
        <v>-11.693168586856428</v>
      </c>
      <c r="S44" s="63">
        <f t="shared" si="142"/>
        <v>-16.48087797060532</v>
      </c>
      <c r="T44" s="63">
        <f t="shared" si="142"/>
        <v>-19.524557768820731</v>
      </c>
      <c r="U44" s="63">
        <f t="shared" si="142"/>
        <v>-24.024572234484857</v>
      </c>
      <c r="V44" s="63">
        <f t="shared" si="142"/>
        <v>-27.119362034960936</v>
      </c>
      <c r="W44" s="63">
        <f t="shared" si="142"/>
        <v>-32.166375089069405</v>
      </c>
      <c r="X44" s="63">
        <f t="shared" si="142"/>
        <v>-36.4481983748516</v>
      </c>
      <c r="Y44" s="63">
        <f t="shared" si="142"/>
        <v>-39.545009328328987</v>
      </c>
      <c r="Z44" s="63">
        <f t="shared" si="142"/>
        <v>-45.405529783029515</v>
      </c>
      <c r="AA44" s="63">
        <f t="shared" si="142"/>
        <v>-48.454207641830294</v>
      </c>
      <c r="AB44" s="63">
        <f t="shared" si="142"/>
        <v>-54.737763986543634</v>
      </c>
      <c r="AC44" s="397">
        <f t="shared" si="119"/>
        <v>-365.17511534503376</v>
      </c>
      <c r="AD44" s="63">
        <f t="shared" ref="AD44:AO44" si="143">AD37+AD40</f>
        <v>-55.004200511699828</v>
      </c>
      <c r="AE44" s="63">
        <f t="shared" si="143"/>
        <v>-53.444578598464105</v>
      </c>
      <c r="AF44" s="63">
        <f t="shared" si="143"/>
        <v>-63.530454899654409</v>
      </c>
      <c r="AG44" s="63">
        <f t="shared" si="143"/>
        <v>-65.880288023134966</v>
      </c>
      <c r="AH44" s="63">
        <f t="shared" si="143"/>
        <v>-72.801206800225003</v>
      </c>
      <c r="AI44" s="63">
        <f t="shared" si="143"/>
        <v>-75.191522634001004</v>
      </c>
      <c r="AJ44" s="63">
        <f t="shared" si="143"/>
        <v>-82.758967694838589</v>
      </c>
      <c r="AK44" s="63">
        <f t="shared" si="143"/>
        <v>-87.976823090134829</v>
      </c>
      <c r="AL44" s="63">
        <f t="shared" si="143"/>
        <v>-90.332696607093041</v>
      </c>
      <c r="AM44" s="63">
        <f t="shared" si="143"/>
        <v>-98.852068905630674</v>
      </c>
      <c r="AN44" s="63">
        <f t="shared" si="143"/>
        <v>-101.12302831814092</v>
      </c>
      <c r="AO44" s="63">
        <f t="shared" si="143"/>
        <v>-110.10329464787343</v>
      </c>
      <c r="AP44" s="397">
        <f t="shared" si="121"/>
        <v>-956.99913073089067</v>
      </c>
      <c r="AQ44" s="63">
        <f t="shared" ref="AQ44:BB44" si="144">AQ37+AQ40</f>
        <v>-105.66168802475522</v>
      </c>
      <c r="AR44" s="63">
        <f t="shared" si="144"/>
        <v>-98.197333424209418</v>
      </c>
      <c r="AS44" s="63">
        <f t="shared" si="144"/>
        <v>-111.95102840275472</v>
      </c>
      <c r="AT44" s="63">
        <f t="shared" si="144"/>
        <v>-111.63167339237552</v>
      </c>
      <c r="AU44" s="63">
        <f t="shared" si="144"/>
        <v>-118.91683704772363</v>
      </c>
      <c r="AV44" s="63">
        <f t="shared" si="144"/>
        <v>-118.68048389794731</v>
      </c>
      <c r="AW44" s="63">
        <f t="shared" si="144"/>
        <v>-126.50477154409363</v>
      </c>
      <c r="AX44" s="63">
        <f t="shared" si="144"/>
        <v>-130.51462626719641</v>
      </c>
      <c r="AY44" s="63">
        <f t="shared" si="144"/>
        <v>-130.31513786159087</v>
      </c>
      <c r="AZ44" s="63">
        <f t="shared" si="144"/>
        <v>-138.93068414411815</v>
      </c>
      <c r="BA44" s="63">
        <f t="shared" si="144"/>
        <v>-138.69927396905229</v>
      </c>
      <c r="BB44" s="63">
        <f t="shared" si="144"/>
        <v>-147.66346665115324</v>
      </c>
      <c r="BC44" s="397">
        <f t="shared" si="123"/>
        <v>-1477.6670046269703</v>
      </c>
      <c r="BD44" s="63">
        <f t="shared" ref="BD44:BO44" si="145">BD37+BD40</f>
        <v>-138.17259187554166</v>
      </c>
      <c r="BE44" s="63">
        <f t="shared" si="145"/>
        <v>-126.46717179032217</v>
      </c>
      <c r="BF44" s="63">
        <f t="shared" si="145"/>
        <v>-142.04800793232482</v>
      </c>
      <c r="BG44" s="63">
        <f t="shared" si="145"/>
        <v>-139.60471718347941</v>
      </c>
      <c r="BH44" s="63">
        <f t="shared" si="145"/>
        <v>-146.64099602227103</v>
      </c>
      <c r="BI44" s="63">
        <f t="shared" si="145"/>
        <v>-144.3768971175891</v>
      </c>
      <c r="BJ44" s="63">
        <f t="shared" si="145"/>
        <v>-151.8966213235953</v>
      </c>
      <c r="BK44" s="63">
        <f t="shared" si="145"/>
        <v>-154.7554481603504</v>
      </c>
      <c r="BL44" s="63">
        <f t="shared" si="145"/>
        <v>-152.66987825032368</v>
      </c>
      <c r="BM44" s="63">
        <f t="shared" si="145"/>
        <v>-160.89981195036074</v>
      </c>
      <c r="BN44" s="63">
        <f t="shared" si="145"/>
        <v>-158.87532379576876</v>
      </c>
      <c r="BO44" s="63">
        <f t="shared" si="145"/>
        <v>-167.39402168445608</v>
      </c>
      <c r="BP44" s="397">
        <f t="shared" si="125"/>
        <v>-1783.8014870863831</v>
      </c>
      <c r="CF44" s="298" t="s">
        <v>868</v>
      </c>
      <c r="CG44" s="12" t="s">
        <v>965</v>
      </c>
    </row>
    <row r="45" spans="1:85" s="3" customFormat="1">
      <c r="A45" s="296" t="s">
        <v>517</v>
      </c>
      <c r="B45" s="12" t="s">
        <v>502</v>
      </c>
      <c r="C45" s="5"/>
      <c r="D45" s="3">
        <f t="shared" ref="D45:O45" si="146">AVERAGE(C24:D24)*D32/365*D1</f>
        <v>0</v>
      </c>
      <c r="E45" s="3">
        <f t="shared" si="146"/>
        <v>0</v>
      </c>
      <c r="F45" s="3">
        <f t="shared" si="146"/>
        <v>0</v>
      </c>
      <c r="G45" s="3">
        <f t="shared" si="146"/>
        <v>0</v>
      </c>
      <c r="H45" s="3">
        <f t="shared" si="146"/>
        <v>0</v>
      </c>
      <c r="I45" s="3">
        <f t="shared" si="146"/>
        <v>0</v>
      </c>
      <c r="J45" s="3">
        <f t="shared" si="146"/>
        <v>-1.2243024584749818E-2</v>
      </c>
      <c r="K45" s="3">
        <f t="shared" si="146"/>
        <v>-3.7203588767510218E-2</v>
      </c>
      <c r="L45" s="3">
        <f t="shared" si="146"/>
        <v>-6.1063129719813966E-2</v>
      </c>
      <c r="M45" s="3">
        <f t="shared" si="146"/>
        <v>-8.9898097827618539E-2</v>
      </c>
      <c r="N45" s="3">
        <f t="shared" si="146"/>
        <v>-0.11377847204418835</v>
      </c>
      <c r="O45" s="3">
        <f t="shared" si="146"/>
        <v>-0.14548410518342619</v>
      </c>
      <c r="P45" s="397">
        <f t="shared" si="117"/>
        <v>-0.45967041812730708</v>
      </c>
      <c r="Q45" s="3">
        <f t="shared" ref="Q45:AB45" si="147">AVERAGE(P24:Q24)*Q32/365*Q1</f>
        <v>-0.19236480560461636</v>
      </c>
      <c r="R45" s="3">
        <f t="shared" si="147"/>
        <v>-0.23490740464666934</v>
      </c>
      <c r="S45" s="3">
        <f t="shared" si="147"/>
        <v>-0.33108906637376762</v>
      </c>
      <c r="T45" s="3">
        <f t="shared" si="147"/>
        <v>-0.39223441946291654</v>
      </c>
      <c r="U45" s="3">
        <f t="shared" si="147"/>
        <v>-0.48263649578206191</v>
      </c>
      <c r="V45" s="3">
        <f t="shared" si="147"/>
        <v>-0.5448086123094833</v>
      </c>
      <c r="W45" s="3">
        <f t="shared" si="147"/>
        <v>-0.64619949955719791</v>
      </c>
      <c r="X45" s="3">
        <f t="shared" si="147"/>
        <v>-0.73221827092335812</v>
      </c>
      <c r="Y45" s="3">
        <f t="shared" si="147"/>
        <v>-0.79443099097089498</v>
      </c>
      <c r="Z45" s="3">
        <f t="shared" si="147"/>
        <v>-0.91216466081978953</v>
      </c>
      <c r="AA45" s="3">
        <f t="shared" si="147"/>
        <v>-0.97341042137605505</v>
      </c>
      <c r="AB45" s="3">
        <f t="shared" si="147"/>
        <v>-1.0996425800868141</v>
      </c>
      <c r="AC45" s="397">
        <f t="shared" si="119"/>
        <v>-7.3361072279136259</v>
      </c>
      <c r="AD45" s="3">
        <f t="shared" ref="AD45:AO45" si="148">AVERAGE(AC24:AD24)*AD32/365*AD1</f>
        <v>-1.1844854877819979</v>
      </c>
      <c r="AE45" s="3">
        <f t="shared" si="148"/>
        <v>-1.1455468569782972</v>
      </c>
      <c r="AF45" s="3">
        <f t="shared" si="148"/>
        <v>-1.3553672770058487</v>
      </c>
      <c r="AG45" s="3">
        <f t="shared" si="148"/>
        <v>-1.3989003466450936</v>
      </c>
      <c r="AH45" s="3">
        <f t="shared" si="148"/>
        <v>-1.5385671709582813</v>
      </c>
      <c r="AI45" s="3">
        <f t="shared" si="148"/>
        <v>-1.5815524592488202</v>
      </c>
      <c r="AJ45" s="3">
        <f t="shared" si="148"/>
        <v>-1.7324343197337015</v>
      </c>
      <c r="AK45" s="3">
        <f t="shared" si="148"/>
        <v>-1.8328504810444766</v>
      </c>
      <c r="AL45" s="3">
        <f t="shared" si="148"/>
        <v>-1.8728834332600433</v>
      </c>
      <c r="AM45" s="3">
        <f t="shared" si="148"/>
        <v>-2.0396160050640959</v>
      </c>
      <c r="AN45" s="3">
        <f t="shared" si="148"/>
        <v>-2.0763442312919578</v>
      </c>
      <c r="AO45" s="3">
        <f t="shared" si="148"/>
        <v>-2.2497067416031848</v>
      </c>
      <c r="AP45" s="397">
        <f t="shared" si="121"/>
        <v>-20.008254810615796</v>
      </c>
      <c r="AQ45" s="3">
        <f t="shared" ref="AQ45:BB45" si="149">AVERAGE(AP24:AQ24)*AQ32/365*AQ1</f>
        <v>-2.3274004632188925</v>
      </c>
      <c r="AR45" s="3">
        <f t="shared" si="149"/>
        <v>-2.1523287056955627</v>
      </c>
      <c r="AS45" s="3">
        <f t="shared" si="149"/>
        <v>-2.4416402678986224</v>
      </c>
      <c r="AT45" s="3">
        <f t="shared" si="149"/>
        <v>-2.422562356605372</v>
      </c>
      <c r="AU45" s="3">
        <f t="shared" si="149"/>
        <v>-2.5677572235782349</v>
      </c>
      <c r="AV45" s="3">
        <f t="shared" si="149"/>
        <v>-2.5497760212449627</v>
      </c>
      <c r="AW45" s="3">
        <f t="shared" si="149"/>
        <v>-2.704149304924746</v>
      </c>
      <c r="AX45" s="3">
        <f t="shared" si="149"/>
        <v>-2.7757016871061748</v>
      </c>
      <c r="AY45" s="3">
        <f t="shared" si="149"/>
        <v>-2.7573189977224639</v>
      </c>
      <c r="AZ45" s="3">
        <f t="shared" si="149"/>
        <v>-2.9245391410545718</v>
      </c>
      <c r="BA45" s="3">
        <f t="shared" si="149"/>
        <v>-2.9046180421036358</v>
      </c>
      <c r="BB45" s="3">
        <f t="shared" si="149"/>
        <v>-3.0763222218990283</v>
      </c>
      <c r="BC45" s="397">
        <f t="shared" si="123"/>
        <v>-31.604114433052267</v>
      </c>
      <c r="BD45" s="3">
        <f t="shared" ref="BD45:BO45" si="150">AVERAGE(BC24:BD24)*BD32/365*BD1</f>
        <v>-3.1239305218073454</v>
      </c>
      <c r="BE45" s="3">
        <f t="shared" si="150"/>
        <v>-2.8443137594887804</v>
      </c>
      <c r="BF45" s="3">
        <f t="shared" si="150"/>
        <v>-3.1779206320086875</v>
      </c>
      <c r="BG45" s="3">
        <f t="shared" si="150"/>
        <v>-3.1067337630793239</v>
      </c>
      <c r="BH45" s="3">
        <f t="shared" si="150"/>
        <v>-3.245959547367979</v>
      </c>
      <c r="BI45" s="3">
        <f t="shared" si="150"/>
        <v>-3.1787527064241932</v>
      </c>
      <c r="BJ45" s="3">
        <f t="shared" si="150"/>
        <v>-3.3263346288902857</v>
      </c>
      <c r="BK45" s="3">
        <f t="shared" si="150"/>
        <v>-3.3706205565227845</v>
      </c>
      <c r="BL45" s="3">
        <f t="shared" si="150"/>
        <v>-3.3071244933486321</v>
      </c>
      <c r="BM45" s="3">
        <f t="shared" si="150"/>
        <v>-3.4663548502563528</v>
      </c>
      <c r="BN45" s="3">
        <f t="shared" si="150"/>
        <v>-3.4039339023477946</v>
      </c>
      <c r="BO45" s="3">
        <f t="shared" si="150"/>
        <v>-3.5666339847540378</v>
      </c>
      <c r="BP45" s="397">
        <f t="shared" si="125"/>
        <v>-39.1186133462962</v>
      </c>
      <c r="BQ45" s="43" t="s">
        <v>614</v>
      </c>
      <c r="CF45" s="296" t="s">
        <v>873</v>
      </c>
      <c r="CG45" s="12" t="s">
        <v>965</v>
      </c>
    </row>
    <row r="46" spans="1:85" s="63" customFormat="1">
      <c r="A46" s="298" t="s">
        <v>518</v>
      </c>
      <c r="B46" s="12" t="s">
        <v>502</v>
      </c>
      <c r="C46" s="299"/>
      <c r="D46" s="63">
        <f t="shared" ref="D46:O46" si="151">D44+D45</f>
        <v>0</v>
      </c>
      <c r="E46" s="63">
        <f t="shared" si="151"/>
        <v>0</v>
      </c>
      <c r="F46" s="63">
        <f t="shared" si="151"/>
        <v>0</v>
      </c>
      <c r="G46" s="63">
        <f t="shared" si="151"/>
        <v>0</v>
      </c>
      <c r="H46" s="63">
        <f t="shared" si="151"/>
        <v>0</v>
      </c>
      <c r="I46" s="63">
        <f t="shared" si="151"/>
        <v>0</v>
      </c>
      <c r="J46" s="63">
        <f t="shared" si="151"/>
        <v>-0.6652043357714067</v>
      </c>
      <c r="K46" s="63">
        <f t="shared" si="151"/>
        <v>-2.0213949897013883</v>
      </c>
      <c r="L46" s="63">
        <f t="shared" si="151"/>
        <v>-3.3177633814432252</v>
      </c>
      <c r="M46" s="63">
        <f t="shared" si="151"/>
        <v>-4.8844633153006072</v>
      </c>
      <c r="N46" s="63">
        <f t="shared" si="151"/>
        <v>-6.1819636477342339</v>
      </c>
      <c r="O46" s="63">
        <f t="shared" si="151"/>
        <v>-7.9046363816328231</v>
      </c>
      <c r="P46" s="397">
        <f t="shared" si="117"/>
        <v>-24.975426051583685</v>
      </c>
      <c r="Q46" s="63">
        <f t="shared" ref="Q46:AB46" si="152">Q44+Q45</f>
        <v>-9.767857351256632</v>
      </c>
      <c r="R46" s="63">
        <f t="shared" si="152"/>
        <v>-11.928075991503098</v>
      </c>
      <c r="S46" s="63">
        <f t="shared" si="152"/>
        <v>-16.811967036979087</v>
      </c>
      <c r="T46" s="63">
        <f t="shared" si="152"/>
        <v>-19.916792188283647</v>
      </c>
      <c r="U46" s="63">
        <f t="shared" si="152"/>
        <v>-24.507208730266917</v>
      </c>
      <c r="V46" s="63">
        <f t="shared" si="152"/>
        <v>-27.664170647270421</v>
      </c>
      <c r="W46" s="63">
        <f t="shared" si="152"/>
        <v>-32.812574588626603</v>
      </c>
      <c r="X46" s="63">
        <f t="shared" si="152"/>
        <v>-37.180416645774962</v>
      </c>
      <c r="Y46" s="63">
        <f t="shared" si="152"/>
        <v>-40.339440319299882</v>
      </c>
      <c r="Z46" s="63">
        <f t="shared" si="152"/>
        <v>-46.317694443849305</v>
      </c>
      <c r="AA46" s="63">
        <f t="shared" si="152"/>
        <v>-49.427618063206346</v>
      </c>
      <c r="AB46" s="63">
        <f t="shared" si="152"/>
        <v>-55.837406566630449</v>
      </c>
      <c r="AC46" s="397">
        <f t="shared" si="119"/>
        <v>-372.5112225729473</v>
      </c>
      <c r="AD46" s="63">
        <f t="shared" ref="AD46:AO46" si="153">AD44+AD45</f>
        <v>-56.188685999481827</v>
      </c>
      <c r="AE46" s="63">
        <f t="shared" si="153"/>
        <v>-54.590125455442404</v>
      </c>
      <c r="AF46" s="63">
        <f t="shared" si="153"/>
        <v>-64.885822176660255</v>
      </c>
      <c r="AG46" s="63">
        <f t="shared" si="153"/>
        <v>-67.279188369780059</v>
      </c>
      <c r="AH46" s="63">
        <f t="shared" si="153"/>
        <v>-74.339773971183291</v>
      </c>
      <c r="AI46" s="63">
        <f t="shared" si="153"/>
        <v>-76.77307509324983</v>
      </c>
      <c r="AJ46" s="63">
        <f t="shared" si="153"/>
        <v>-84.491402014572287</v>
      </c>
      <c r="AK46" s="63">
        <f t="shared" si="153"/>
        <v>-89.809673571179303</v>
      </c>
      <c r="AL46" s="63">
        <f t="shared" si="153"/>
        <v>-92.205580040353084</v>
      </c>
      <c r="AM46" s="63">
        <f t="shared" si="153"/>
        <v>-100.89168491069476</v>
      </c>
      <c r="AN46" s="63">
        <f t="shared" si="153"/>
        <v>-103.19937254943288</v>
      </c>
      <c r="AO46" s="63">
        <f t="shared" si="153"/>
        <v>-112.35300138947662</v>
      </c>
      <c r="AP46" s="397">
        <f t="shared" si="121"/>
        <v>-977.00738554150644</v>
      </c>
      <c r="AQ46" s="63">
        <f t="shared" ref="AQ46:BB46" si="154">AQ44+AQ45</f>
        <v>-107.98908848797412</v>
      </c>
      <c r="AR46" s="63">
        <f t="shared" si="154"/>
        <v>-100.34966212990498</v>
      </c>
      <c r="AS46" s="63">
        <f t="shared" si="154"/>
        <v>-114.39266867065334</v>
      </c>
      <c r="AT46" s="63">
        <f t="shared" si="154"/>
        <v>-114.05423574898089</v>
      </c>
      <c r="AU46" s="63">
        <f t="shared" si="154"/>
        <v>-121.48459427130187</v>
      </c>
      <c r="AV46" s="63">
        <f t="shared" si="154"/>
        <v>-121.23025991919228</v>
      </c>
      <c r="AW46" s="63">
        <f t="shared" si="154"/>
        <v>-129.20892084901837</v>
      </c>
      <c r="AX46" s="63">
        <f t="shared" si="154"/>
        <v>-133.29032795430257</v>
      </c>
      <c r="AY46" s="63">
        <f t="shared" si="154"/>
        <v>-133.07245685931332</v>
      </c>
      <c r="AZ46" s="63">
        <f t="shared" si="154"/>
        <v>-141.85522328517271</v>
      </c>
      <c r="BA46" s="63">
        <f t="shared" si="154"/>
        <v>-141.60389201115592</v>
      </c>
      <c r="BB46" s="63">
        <f t="shared" si="154"/>
        <v>-150.73978887305228</v>
      </c>
      <c r="BC46" s="397">
        <f t="shared" si="123"/>
        <v>-1509.2711190600226</v>
      </c>
      <c r="BD46" s="63">
        <f t="shared" ref="BD46:BO46" si="155">BD44+BD45</f>
        <v>-141.29652239734901</v>
      </c>
      <c r="BE46" s="63">
        <f t="shared" si="155"/>
        <v>-129.31148554981095</v>
      </c>
      <c r="BF46" s="63">
        <f t="shared" si="155"/>
        <v>-145.22592856433351</v>
      </c>
      <c r="BG46" s="63">
        <f t="shared" si="155"/>
        <v>-142.71145094655873</v>
      </c>
      <c r="BH46" s="63">
        <f t="shared" si="155"/>
        <v>-149.88695556963901</v>
      </c>
      <c r="BI46" s="63">
        <f t="shared" si="155"/>
        <v>-147.5556498240133</v>
      </c>
      <c r="BJ46" s="63">
        <f t="shared" si="155"/>
        <v>-155.22295595248559</v>
      </c>
      <c r="BK46" s="63">
        <f t="shared" si="155"/>
        <v>-158.12606871687319</v>
      </c>
      <c r="BL46" s="63">
        <f t="shared" si="155"/>
        <v>-155.9770027436723</v>
      </c>
      <c r="BM46" s="63">
        <f t="shared" si="155"/>
        <v>-164.36616680061709</v>
      </c>
      <c r="BN46" s="63">
        <f t="shared" si="155"/>
        <v>-162.27925769811657</v>
      </c>
      <c r="BO46" s="63">
        <f t="shared" si="155"/>
        <v>-170.96065566921013</v>
      </c>
      <c r="BP46" s="397">
        <f t="shared" si="125"/>
        <v>-1822.9201004326796</v>
      </c>
      <c r="CF46" s="298" t="s">
        <v>872</v>
      </c>
      <c r="CG46" s="12" t="s">
        <v>965</v>
      </c>
    </row>
    <row r="47" spans="1:85" s="3" customFormat="1">
      <c r="A47" s="296" t="s">
        <v>471</v>
      </c>
      <c r="B47" s="12" t="s">
        <v>502</v>
      </c>
      <c r="C47" s="5"/>
      <c r="D47" s="3">
        <f t="shared" ref="D47:O47" si="156">D48+D49+D50</f>
        <v>0</v>
      </c>
      <c r="E47" s="3">
        <f t="shared" si="156"/>
        <v>0</v>
      </c>
      <c r="F47" s="3">
        <f t="shared" si="156"/>
        <v>0</v>
      </c>
      <c r="G47" s="3">
        <f t="shared" si="156"/>
        <v>0</v>
      </c>
      <c r="H47" s="3">
        <f t="shared" si="156"/>
        <v>0</v>
      </c>
      <c r="I47" s="3">
        <f t="shared" si="156"/>
        <v>0</v>
      </c>
      <c r="J47" s="3">
        <f t="shared" si="156"/>
        <v>0</v>
      </c>
      <c r="K47" s="3">
        <f t="shared" si="156"/>
        <v>0</v>
      </c>
      <c r="L47" s="3">
        <f t="shared" si="156"/>
        <v>0</v>
      </c>
      <c r="M47" s="3">
        <f t="shared" si="156"/>
        <v>0</v>
      </c>
      <c r="N47" s="3">
        <f t="shared" si="156"/>
        <v>0</v>
      </c>
      <c r="O47" s="3">
        <f t="shared" si="156"/>
        <v>0</v>
      </c>
      <c r="P47" s="397">
        <f t="shared" si="117"/>
        <v>0</v>
      </c>
      <c r="Q47" s="3">
        <f t="shared" ref="Q47:AB47" si="157">Q48+Q49+Q50</f>
        <v>0</v>
      </c>
      <c r="R47" s="3">
        <f t="shared" si="157"/>
        <v>0</v>
      </c>
      <c r="S47" s="3">
        <f t="shared" si="157"/>
        <v>0</v>
      </c>
      <c r="T47" s="3">
        <f t="shared" si="157"/>
        <v>0</v>
      </c>
      <c r="U47" s="3">
        <f t="shared" si="157"/>
        <v>0</v>
      </c>
      <c r="V47" s="3">
        <f t="shared" si="157"/>
        <v>0</v>
      </c>
      <c r="W47" s="3">
        <f t="shared" si="157"/>
        <v>0</v>
      </c>
      <c r="X47" s="3">
        <f t="shared" si="157"/>
        <v>0</v>
      </c>
      <c r="Y47" s="3">
        <f t="shared" si="157"/>
        <v>0</v>
      </c>
      <c r="Z47" s="3">
        <f t="shared" si="157"/>
        <v>0</v>
      </c>
      <c r="AA47" s="3">
        <f t="shared" si="157"/>
        <v>0</v>
      </c>
      <c r="AB47" s="3">
        <f t="shared" si="157"/>
        <v>0</v>
      </c>
      <c r="AC47" s="397">
        <f t="shared" si="119"/>
        <v>0</v>
      </c>
      <c r="AD47" s="3">
        <f t="shared" ref="AD47:AO47" si="158">AD48+AD49+AD50</f>
        <v>0</v>
      </c>
      <c r="AE47" s="3">
        <f t="shared" si="158"/>
        <v>0</v>
      </c>
      <c r="AF47" s="3">
        <f t="shared" si="158"/>
        <v>0</v>
      </c>
      <c r="AG47" s="3">
        <f t="shared" si="158"/>
        <v>0</v>
      </c>
      <c r="AH47" s="3">
        <f t="shared" si="158"/>
        <v>0</v>
      </c>
      <c r="AI47" s="3">
        <f t="shared" si="158"/>
        <v>0</v>
      </c>
      <c r="AJ47" s="3">
        <f t="shared" si="158"/>
        <v>0</v>
      </c>
      <c r="AK47" s="3">
        <f t="shared" si="158"/>
        <v>0</v>
      </c>
      <c r="AL47" s="3">
        <f t="shared" si="158"/>
        <v>0</v>
      </c>
      <c r="AM47" s="3">
        <f t="shared" si="158"/>
        <v>0</v>
      </c>
      <c r="AN47" s="3">
        <f t="shared" si="158"/>
        <v>0</v>
      </c>
      <c r="AO47" s="3">
        <f t="shared" si="158"/>
        <v>0</v>
      </c>
      <c r="AP47" s="397">
        <f t="shared" si="121"/>
        <v>0</v>
      </c>
      <c r="AQ47" s="3">
        <f t="shared" ref="AQ47:BB47" si="159">AQ48+AQ49+AQ50</f>
        <v>0</v>
      </c>
      <c r="AR47" s="3">
        <f t="shared" si="159"/>
        <v>0</v>
      </c>
      <c r="AS47" s="3">
        <f t="shared" si="159"/>
        <v>0</v>
      </c>
      <c r="AT47" s="3">
        <f t="shared" si="159"/>
        <v>0</v>
      </c>
      <c r="AU47" s="3">
        <f t="shared" si="159"/>
        <v>0</v>
      </c>
      <c r="AV47" s="3">
        <f t="shared" si="159"/>
        <v>0</v>
      </c>
      <c r="AW47" s="3">
        <f t="shared" si="159"/>
        <v>0</v>
      </c>
      <c r="AX47" s="3">
        <f t="shared" si="159"/>
        <v>0</v>
      </c>
      <c r="AY47" s="3">
        <f t="shared" si="159"/>
        <v>0</v>
      </c>
      <c r="AZ47" s="3">
        <f t="shared" si="159"/>
        <v>0</v>
      </c>
      <c r="BA47" s="3">
        <f t="shared" si="159"/>
        <v>0</v>
      </c>
      <c r="BB47" s="3">
        <f t="shared" si="159"/>
        <v>0</v>
      </c>
      <c r="BC47" s="397">
        <f t="shared" si="123"/>
        <v>0</v>
      </c>
      <c r="BD47" s="3">
        <f t="shared" ref="BD47:BO47" si="160">BD48+BD49+BD50</f>
        <v>0</v>
      </c>
      <c r="BE47" s="3">
        <f t="shared" si="160"/>
        <v>0</v>
      </c>
      <c r="BF47" s="3">
        <f t="shared" si="160"/>
        <v>0</v>
      </c>
      <c r="BG47" s="3">
        <f t="shared" si="160"/>
        <v>0</v>
      </c>
      <c r="BH47" s="3">
        <f t="shared" si="160"/>
        <v>0</v>
      </c>
      <c r="BI47" s="3">
        <f t="shared" si="160"/>
        <v>0</v>
      </c>
      <c r="BJ47" s="3">
        <f t="shared" si="160"/>
        <v>0</v>
      </c>
      <c r="BK47" s="3">
        <f t="shared" si="160"/>
        <v>0</v>
      </c>
      <c r="BL47" s="3">
        <f t="shared" si="160"/>
        <v>0</v>
      </c>
      <c r="BM47" s="3">
        <f t="shared" si="160"/>
        <v>0</v>
      </c>
      <c r="BN47" s="3">
        <f t="shared" si="160"/>
        <v>0</v>
      </c>
      <c r="BO47" s="3">
        <f t="shared" si="160"/>
        <v>0</v>
      </c>
      <c r="BP47" s="397">
        <f t="shared" si="125"/>
        <v>0</v>
      </c>
      <c r="CF47" s="296" t="s">
        <v>863</v>
      </c>
      <c r="CG47" s="12" t="s">
        <v>965</v>
      </c>
    </row>
    <row r="48" spans="1:85" s="5" customFormat="1" outlineLevel="1">
      <c r="A48" s="297" t="s">
        <v>519</v>
      </c>
      <c r="B48" s="12" t="s">
        <v>502</v>
      </c>
      <c r="P48" s="383">
        <f t="shared" si="117"/>
        <v>0</v>
      </c>
      <c r="AC48" s="383">
        <f t="shared" si="119"/>
        <v>0</v>
      </c>
      <c r="AP48" s="383">
        <f t="shared" si="121"/>
        <v>0</v>
      </c>
      <c r="BC48" s="383">
        <f t="shared" si="123"/>
        <v>0</v>
      </c>
      <c r="BP48" s="383">
        <f t="shared" si="125"/>
        <v>0</v>
      </c>
      <c r="CF48" s="297" t="s">
        <v>1031</v>
      </c>
      <c r="CG48" s="12" t="s">
        <v>965</v>
      </c>
    </row>
    <row r="49" spans="1:85" s="5" customFormat="1" outlineLevel="1">
      <c r="A49" s="297" t="s">
        <v>520</v>
      </c>
      <c r="B49" s="12" t="s">
        <v>502</v>
      </c>
      <c r="P49" s="383">
        <f t="shared" si="117"/>
        <v>0</v>
      </c>
      <c r="AC49" s="383">
        <f t="shared" si="119"/>
        <v>0</v>
      </c>
      <c r="AP49" s="383">
        <f t="shared" si="121"/>
        <v>0</v>
      </c>
      <c r="BC49" s="383">
        <f t="shared" si="123"/>
        <v>0</v>
      </c>
      <c r="BP49" s="383">
        <f t="shared" si="125"/>
        <v>0</v>
      </c>
      <c r="CF49" s="297" t="s">
        <v>1033</v>
      </c>
      <c r="CG49" s="12" t="s">
        <v>965</v>
      </c>
    </row>
    <row r="50" spans="1:85" s="5" customFormat="1" outlineLevel="1">
      <c r="A50" s="297" t="s">
        <v>521</v>
      </c>
      <c r="B50" s="12" t="s">
        <v>502</v>
      </c>
      <c r="D50" s="5">
        <f t="shared" ref="D50:O50" si="161">D22*D30/1000000</f>
        <v>0</v>
      </c>
      <c r="E50" s="5">
        <f t="shared" si="161"/>
        <v>0</v>
      </c>
      <c r="F50" s="5">
        <f t="shared" si="161"/>
        <v>0</v>
      </c>
      <c r="G50" s="5">
        <f t="shared" si="161"/>
        <v>0</v>
      </c>
      <c r="H50" s="5">
        <f t="shared" si="161"/>
        <v>0</v>
      </c>
      <c r="I50" s="5">
        <f t="shared" si="161"/>
        <v>0</v>
      </c>
      <c r="J50" s="5">
        <f t="shared" si="161"/>
        <v>0</v>
      </c>
      <c r="K50" s="5">
        <f t="shared" si="161"/>
        <v>0</v>
      </c>
      <c r="L50" s="5">
        <f t="shared" si="161"/>
        <v>0</v>
      </c>
      <c r="M50" s="5">
        <f t="shared" si="161"/>
        <v>0</v>
      </c>
      <c r="N50" s="5">
        <f t="shared" si="161"/>
        <v>0</v>
      </c>
      <c r="O50" s="5">
        <f t="shared" si="161"/>
        <v>0</v>
      </c>
      <c r="P50" s="383">
        <f t="shared" si="117"/>
        <v>0</v>
      </c>
      <c r="Q50" s="5">
        <f t="shared" ref="Q50:AB50" si="162">Q22*Q30/1000000</f>
        <v>0</v>
      </c>
      <c r="R50" s="5">
        <f t="shared" si="162"/>
        <v>0</v>
      </c>
      <c r="S50" s="5">
        <f t="shared" si="162"/>
        <v>0</v>
      </c>
      <c r="T50" s="5">
        <f t="shared" si="162"/>
        <v>0</v>
      </c>
      <c r="U50" s="5">
        <f t="shared" si="162"/>
        <v>0</v>
      </c>
      <c r="V50" s="5">
        <f t="shared" si="162"/>
        <v>0</v>
      </c>
      <c r="W50" s="5">
        <f t="shared" si="162"/>
        <v>0</v>
      </c>
      <c r="X50" s="5">
        <f t="shared" si="162"/>
        <v>0</v>
      </c>
      <c r="Y50" s="5">
        <f t="shared" si="162"/>
        <v>0</v>
      </c>
      <c r="Z50" s="5">
        <f t="shared" si="162"/>
        <v>0</v>
      </c>
      <c r="AA50" s="5">
        <f t="shared" si="162"/>
        <v>0</v>
      </c>
      <c r="AB50" s="5">
        <f t="shared" si="162"/>
        <v>0</v>
      </c>
      <c r="AC50" s="383">
        <f t="shared" si="119"/>
        <v>0</v>
      </c>
      <c r="AD50" s="5">
        <f t="shared" ref="AD50:AO50" si="163">AD22*AD30/1000000</f>
        <v>0</v>
      </c>
      <c r="AE50" s="5">
        <f t="shared" si="163"/>
        <v>0</v>
      </c>
      <c r="AF50" s="5">
        <f t="shared" si="163"/>
        <v>0</v>
      </c>
      <c r="AG50" s="5">
        <f t="shared" si="163"/>
        <v>0</v>
      </c>
      <c r="AH50" s="5">
        <f t="shared" si="163"/>
        <v>0</v>
      </c>
      <c r="AI50" s="5">
        <f t="shared" si="163"/>
        <v>0</v>
      </c>
      <c r="AJ50" s="5">
        <f t="shared" si="163"/>
        <v>0</v>
      </c>
      <c r="AK50" s="5">
        <f t="shared" si="163"/>
        <v>0</v>
      </c>
      <c r="AL50" s="5">
        <f t="shared" si="163"/>
        <v>0</v>
      </c>
      <c r="AM50" s="5">
        <f t="shared" si="163"/>
        <v>0</v>
      </c>
      <c r="AN50" s="5">
        <f t="shared" si="163"/>
        <v>0</v>
      </c>
      <c r="AO50" s="5">
        <f t="shared" si="163"/>
        <v>0</v>
      </c>
      <c r="AP50" s="383">
        <f t="shared" si="121"/>
        <v>0</v>
      </c>
      <c r="AQ50" s="5">
        <f t="shared" ref="AQ50:BB50" si="164">AQ22*AQ30/1000000</f>
        <v>0</v>
      </c>
      <c r="AR50" s="5">
        <f t="shared" si="164"/>
        <v>0</v>
      </c>
      <c r="AS50" s="5">
        <f t="shared" si="164"/>
        <v>0</v>
      </c>
      <c r="AT50" s="5">
        <f t="shared" si="164"/>
        <v>0</v>
      </c>
      <c r="AU50" s="5">
        <f t="shared" si="164"/>
        <v>0</v>
      </c>
      <c r="AV50" s="5">
        <f t="shared" si="164"/>
        <v>0</v>
      </c>
      <c r="AW50" s="5">
        <f t="shared" si="164"/>
        <v>0</v>
      </c>
      <c r="AX50" s="5">
        <f t="shared" si="164"/>
        <v>0</v>
      </c>
      <c r="AY50" s="5">
        <f t="shared" si="164"/>
        <v>0</v>
      </c>
      <c r="AZ50" s="5">
        <f t="shared" si="164"/>
        <v>0</v>
      </c>
      <c r="BA50" s="5">
        <f t="shared" si="164"/>
        <v>0</v>
      </c>
      <c r="BB50" s="5">
        <f t="shared" si="164"/>
        <v>0</v>
      </c>
      <c r="BC50" s="383">
        <f t="shared" si="123"/>
        <v>0</v>
      </c>
      <c r="BD50" s="5">
        <f t="shared" ref="BD50:BO50" si="165">BD22*BD30/1000000</f>
        <v>0</v>
      </c>
      <c r="BE50" s="5">
        <f t="shared" si="165"/>
        <v>0</v>
      </c>
      <c r="BF50" s="5">
        <f t="shared" si="165"/>
        <v>0</v>
      </c>
      <c r="BG50" s="5">
        <f t="shared" si="165"/>
        <v>0</v>
      </c>
      <c r="BH50" s="5">
        <f t="shared" si="165"/>
        <v>0</v>
      </c>
      <c r="BI50" s="5">
        <f t="shared" si="165"/>
        <v>0</v>
      </c>
      <c r="BJ50" s="5">
        <f t="shared" si="165"/>
        <v>0</v>
      </c>
      <c r="BK50" s="5">
        <f t="shared" si="165"/>
        <v>0</v>
      </c>
      <c r="BL50" s="5">
        <f t="shared" si="165"/>
        <v>0</v>
      </c>
      <c r="BM50" s="5">
        <f t="shared" si="165"/>
        <v>0</v>
      </c>
      <c r="BN50" s="5">
        <f t="shared" si="165"/>
        <v>0</v>
      </c>
      <c r="BO50" s="5">
        <f t="shared" si="165"/>
        <v>0</v>
      </c>
      <c r="BP50" s="383">
        <f t="shared" si="125"/>
        <v>0</v>
      </c>
      <c r="CF50" s="297" t="s">
        <v>1032</v>
      </c>
      <c r="CG50" s="12" t="s">
        <v>965</v>
      </c>
    </row>
    <row r="51" spans="1:85" s="3" customFormat="1">
      <c r="A51" s="296" t="s">
        <v>472</v>
      </c>
      <c r="B51" s="12" t="s">
        <v>502</v>
      </c>
      <c r="C51" s="5"/>
      <c r="D51" s="3">
        <f t="shared" ref="D51:O51" si="166">D52+D53+D54</f>
        <v>0</v>
      </c>
      <c r="E51" s="3">
        <f t="shared" si="166"/>
        <v>0</v>
      </c>
      <c r="F51" s="3">
        <f t="shared" si="166"/>
        <v>0</v>
      </c>
      <c r="G51" s="3">
        <f t="shared" si="166"/>
        <v>0</v>
      </c>
      <c r="H51" s="3">
        <f t="shared" si="166"/>
        <v>0</v>
      </c>
      <c r="I51" s="3">
        <f t="shared" si="166"/>
        <v>0</v>
      </c>
      <c r="J51" s="3">
        <f t="shared" si="166"/>
        <v>0</v>
      </c>
      <c r="K51" s="3">
        <f t="shared" si="166"/>
        <v>0</v>
      </c>
      <c r="L51" s="3">
        <f t="shared" si="166"/>
        <v>0</v>
      </c>
      <c r="M51" s="3">
        <f t="shared" si="166"/>
        <v>0</v>
      </c>
      <c r="N51" s="3">
        <f t="shared" si="166"/>
        <v>0</v>
      </c>
      <c r="O51" s="3">
        <f t="shared" si="166"/>
        <v>0</v>
      </c>
      <c r="P51" s="397">
        <f t="shared" si="117"/>
        <v>0</v>
      </c>
      <c r="Q51" s="3">
        <f t="shared" ref="Q51:AB51" si="167">Q52+Q53+Q54</f>
        <v>0</v>
      </c>
      <c r="R51" s="3">
        <f t="shared" si="167"/>
        <v>0</v>
      </c>
      <c r="S51" s="3">
        <f t="shared" si="167"/>
        <v>0</v>
      </c>
      <c r="T51" s="3">
        <f t="shared" si="167"/>
        <v>0</v>
      </c>
      <c r="U51" s="3">
        <f t="shared" si="167"/>
        <v>0</v>
      </c>
      <c r="V51" s="3">
        <f t="shared" si="167"/>
        <v>0</v>
      </c>
      <c r="W51" s="3">
        <f t="shared" si="167"/>
        <v>0</v>
      </c>
      <c r="X51" s="3">
        <f t="shared" si="167"/>
        <v>0</v>
      </c>
      <c r="Y51" s="3">
        <f t="shared" si="167"/>
        <v>0</v>
      </c>
      <c r="Z51" s="3">
        <f t="shared" si="167"/>
        <v>0</v>
      </c>
      <c r="AA51" s="3">
        <f t="shared" si="167"/>
        <v>0</v>
      </c>
      <c r="AB51" s="3">
        <f t="shared" si="167"/>
        <v>0</v>
      </c>
      <c r="AC51" s="397">
        <f t="shared" si="119"/>
        <v>0</v>
      </c>
      <c r="AD51" s="3">
        <f t="shared" ref="AD51:AO51" si="168">AD52+AD53+AD54</f>
        <v>0</v>
      </c>
      <c r="AE51" s="3">
        <f t="shared" si="168"/>
        <v>0</v>
      </c>
      <c r="AF51" s="3">
        <f t="shared" si="168"/>
        <v>0</v>
      </c>
      <c r="AG51" s="3">
        <f t="shared" si="168"/>
        <v>0</v>
      </c>
      <c r="AH51" s="3">
        <f t="shared" si="168"/>
        <v>0</v>
      </c>
      <c r="AI51" s="3">
        <f t="shared" si="168"/>
        <v>0</v>
      </c>
      <c r="AJ51" s="3">
        <f t="shared" si="168"/>
        <v>0</v>
      </c>
      <c r="AK51" s="3">
        <f t="shared" si="168"/>
        <v>0</v>
      </c>
      <c r="AL51" s="3">
        <f t="shared" si="168"/>
        <v>0</v>
      </c>
      <c r="AM51" s="3">
        <f t="shared" si="168"/>
        <v>0</v>
      </c>
      <c r="AN51" s="3">
        <f t="shared" si="168"/>
        <v>0</v>
      </c>
      <c r="AO51" s="3">
        <f t="shared" si="168"/>
        <v>0</v>
      </c>
      <c r="AP51" s="397">
        <f t="shared" si="121"/>
        <v>0</v>
      </c>
      <c r="AQ51" s="3">
        <f t="shared" ref="AQ51:BB51" si="169">AQ52+AQ53+AQ54</f>
        <v>0</v>
      </c>
      <c r="AR51" s="3">
        <f t="shared" si="169"/>
        <v>0</v>
      </c>
      <c r="AS51" s="3">
        <f t="shared" si="169"/>
        <v>0</v>
      </c>
      <c r="AT51" s="3">
        <f t="shared" si="169"/>
        <v>0</v>
      </c>
      <c r="AU51" s="3">
        <f t="shared" si="169"/>
        <v>0</v>
      </c>
      <c r="AV51" s="3">
        <f t="shared" si="169"/>
        <v>0</v>
      </c>
      <c r="AW51" s="3">
        <f t="shared" si="169"/>
        <v>0</v>
      </c>
      <c r="AX51" s="3">
        <f t="shared" si="169"/>
        <v>0</v>
      </c>
      <c r="AY51" s="3">
        <f t="shared" si="169"/>
        <v>0</v>
      </c>
      <c r="AZ51" s="3">
        <f t="shared" si="169"/>
        <v>0</v>
      </c>
      <c r="BA51" s="3">
        <f t="shared" si="169"/>
        <v>0</v>
      </c>
      <c r="BB51" s="3">
        <f t="shared" si="169"/>
        <v>0</v>
      </c>
      <c r="BC51" s="397">
        <f t="shared" si="123"/>
        <v>0</v>
      </c>
      <c r="BD51" s="3">
        <f t="shared" ref="BD51:BO51" si="170">BD52+BD53+BD54</f>
        <v>0</v>
      </c>
      <c r="BE51" s="3">
        <f t="shared" si="170"/>
        <v>0</v>
      </c>
      <c r="BF51" s="3">
        <f t="shared" si="170"/>
        <v>0</v>
      </c>
      <c r="BG51" s="3">
        <f t="shared" si="170"/>
        <v>0</v>
      </c>
      <c r="BH51" s="3">
        <f t="shared" si="170"/>
        <v>0</v>
      </c>
      <c r="BI51" s="3">
        <f t="shared" si="170"/>
        <v>0</v>
      </c>
      <c r="BJ51" s="3">
        <f t="shared" si="170"/>
        <v>0</v>
      </c>
      <c r="BK51" s="3">
        <f t="shared" si="170"/>
        <v>0</v>
      </c>
      <c r="BL51" s="3">
        <f t="shared" si="170"/>
        <v>0</v>
      </c>
      <c r="BM51" s="3">
        <f t="shared" si="170"/>
        <v>0</v>
      </c>
      <c r="BN51" s="3">
        <f t="shared" si="170"/>
        <v>0</v>
      </c>
      <c r="BO51" s="3">
        <f t="shared" si="170"/>
        <v>0</v>
      </c>
      <c r="BP51" s="397">
        <f t="shared" si="125"/>
        <v>0</v>
      </c>
      <c r="CF51" s="296" t="s">
        <v>864</v>
      </c>
      <c r="CG51" s="12" t="s">
        <v>965</v>
      </c>
    </row>
    <row r="52" spans="1:85" s="3" customFormat="1" outlineLevel="1">
      <c r="A52" s="297" t="s">
        <v>522</v>
      </c>
      <c r="B52" s="12" t="s">
        <v>502</v>
      </c>
      <c r="C52" s="5"/>
      <c r="P52" s="397"/>
      <c r="AC52" s="397"/>
      <c r="AP52" s="397"/>
      <c r="BC52" s="397"/>
      <c r="BP52" s="397"/>
      <c r="CF52" s="297" t="s">
        <v>1034</v>
      </c>
      <c r="CG52" s="12" t="s">
        <v>965</v>
      </c>
    </row>
    <row r="53" spans="1:85" s="3" customFormat="1" outlineLevel="1">
      <c r="A53" s="297" t="s">
        <v>523</v>
      </c>
      <c r="B53" s="12" t="s">
        <v>502</v>
      </c>
      <c r="C53" s="5"/>
      <c r="P53" s="397"/>
      <c r="AC53" s="397"/>
      <c r="AP53" s="397"/>
      <c r="BC53" s="397"/>
      <c r="BP53" s="397"/>
      <c r="CF53" s="297" t="s">
        <v>1035</v>
      </c>
      <c r="CG53" s="12" t="s">
        <v>965</v>
      </c>
    </row>
    <row r="54" spans="1:85" s="3" customFormat="1" outlineLevel="1">
      <c r="A54" s="297" t="s">
        <v>524</v>
      </c>
      <c r="B54" s="12" t="s">
        <v>502</v>
      </c>
      <c r="C54" s="5"/>
      <c r="P54" s="397"/>
      <c r="AC54" s="397"/>
      <c r="AP54" s="397"/>
      <c r="BC54" s="397"/>
      <c r="BP54" s="397"/>
      <c r="CF54" s="297" t="s">
        <v>1036</v>
      </c>
      <c r="CG54" s="12" t="s">
        <v>965</v>
      </c>
    </row>
    <row r="55" spans="1:85" s="3" customFormat="1">
      <c r="A55" s="296" t="s">
        <v>525</v>
      </c>
      <c r="B55" s="12" t="s">
        <v>502</v>
      </c>
      <c r="C55" s="5"/>
      <c r="P55" s="397">
        <f t="shared" ref="P55:P60" si="171">SUM(D55:O55)</f>
        <v>0</v>
      </c>
      <c r="AC55" s="397">
        <f t="shared" ref="AC55:AC60" si="172">SUM(Q55:AB55)</f>
        <v>0</v>
      </c>
      <c r="AP55" s="397">
        <f t="shared" ref="AP55:AP60" si="173">SUM(AD55:AO55)</f>
        <v>0</v>
      </c>
      <c r="BC55" s="397">
        <f t="shared" ref="BC55:BC60" si="174">SUM(AQ55:BB55)</f>
        <v>0</v>
      </c>
      <c r="BP55" s="397">
        <f t="shared" ref="BP55:BP60" si="175">SUM(BD55:BO55)</f>
        <v>0</v>
      </c>
      <c r="CF55" s="296" t="s">
        <v>865</v>
      </c>
      <c r="CG55" s="12" t="s">
        <v>965</v>
      </c>
    </row>
    <row r="56" spans="1:85" s="3" customFormat="1">
      <c r="A56" s="300" t="s">
        <v>526</v>
      </c>
      <c r="B56" s="12" t="s">
        <v>502</v>
      </c>
      <c r="C56" s="5"/>
      <c r="P56" s="397">
        <f t="shared" si="171"/>
        <v>0</v>
      </c>
      <c r="AC56" s="397">
        <f t="shared" si="172"/>
        <v>0</v>
      </c>
      <c r="AP56" s="397">
        <f t="shared" si="173"/>
        <v>0</v>
      </c>
      <c r="BC56" s="397">
        <f t="shared" si="174"/>
        <v>0</v>
      </c>
      <c r="BP56" s="397">
        <f t="shared" si="175"/>
        <v>0</v>
      </c>
      <c r="CF56" s="300" t="s">
        <v>866</v>
      </c>
      <c r="CG56" s="12" t="s">
        <v>965</v>
      </c>
    </row>
    <row r="57" spans="1:85" s="63" customFormat="1">
      <c r="A57" s="298" t="s">
        <v>527</v>
      </c>
      <c r="B57" s="12" t="s">
        <v>502</v>
      </c>
      <c r="C57" s="299"/>
      <c r="D57" s="63">
        <f t="shared" ref="D57:O57" si="176">D46+D47+D51+D55+D56</f>
        <v>0</v>
      </c>
      <c r="E57" s="63">
        <f t="shared" si="176"/>
        <v>0</v>
      </c>
      <c r="F57" s="63">
        <f t="shared" si="176"/>
        <v>0</v>
      </c>
      <c r="G57" s="63">
        <f t="shared" si="176"/>
        <v>0</v>
      </c>
      <c r="H57" s="63">
        <f t="shared" si="176"/>
        <v>0</v>
      </c>
      <c r="I57" s="63">
        <f t="shared" si="176"/>
        <v>0</v>
      </c>
      <c r="J57" s="63">
        <f t="shared" si="176"/>
        <v>-0.6652043357714067</v>
      </c>
      <c r="K57" s="63">
        <f t="shared" si="176"/>
        <v>-2.0213949897013883</v>
      </c>
      <c r="L57" s="63">
        <f t="shared" si="176"/>
        <v>-3.3177633814432252</v>
      </c>
      <c r="M57" s="63">
        <f t="shared" si="176"/>
        <v>-4.8844633153006072</v>
      </c>
      <c r="N57" s="63">
        <f t="shared" si="176"/>
        <v>-6.1819636477342339</v>
      </c>
      <c r="O57" s="63">
        <f t="shared" si="176"/>
        <v>-7.9046363816328231</v>
      </c>
      <c r="P57" s="397">
        <f t="shared" si="171"/>
        <v>-24.975426051583685</v>
      </c>
      <c r="Q57" s="63">
        <f t="shared" ref="Q57:AB57" si="177">Q46+Q47+Q51+Q55+Q56</f>
        <v>-9.767857351256632</v>
      </c>
      <c r="R57" s="63">
        <f t="shared" si="177"/>
        <v>-11.928075991503098</v>
      </c>
      <c r="S57" s="63">
        <f t="shared" si="177"/>
        <v>-16.811967036979087</v>
      </c>
      <c r="T57" s="63">
        <f t="shared" si="177"/>
        <v>-19.916792188283647</v>
      </c>
      <c r="U57" s="63">
        <f t="shared" si="177"/>
        <v>-24.507208730266917</v>
      </c>
      <c r="V57" s="63">
        <f t="shared" si="177"/>
        <v>-27.664170647270421</v>
      </c>
      <c r="W57" s="63">
        <f t="shared" si="177"/>
        <v>-32.812574588626603</v>
      </c>
      <c r="X57" s="63">
        <f t="shared" si="177"/>
        <v>-37.180416645774962</v>
      </c>
      <c r="Y57" s="63">
        <f t="shared" si="177"/>
        <v>-40.339440319299882</v>
      </c>
      <c r="Z57" s="63">
        <f t="shared" si="177"/>
        <v>-46.317694443849305</v>
      </c>
      <c r="AA57" s="63">
        <f t="shared" si="177"/>
        <v>-49.427618063206346</v>
      </c>
      <c r="AB57" s="63">
        <f t="shared" si="177"/>
        <v>-55.837406566630449</v>
      </c>
      <c r="AC57" s="397">
        <f t="shared" si="172"/>
        <v>-372.5112225729473</v>
      </c>
      <c r="AD57" s="63">
        <f t="shared" ref="AD57:AO57" si="178">AD46+AD47+AD51+AD55+AD56</f>
        <v>-56.188685999481827</v>
      </c>
      <c r="AE57" s="63">
        <f t="shared" si="178"/>
        <v>-54.590125455442404</v>
      </c>
      <c r="AF57" s="63">
        <f t="shared" si="178"/>
        <v>-64.885822176660255</v>
      </c>
      <c r="AG57" s="63">
        <f t="shared" si="178"/>
        <v>-67.279188369780059</v>
      </c>
      <c r="AH57" s="63">
        <f t="shared" si="178"/>
        <v>-74.339773971183291</v>
      </c>
      <c r="AI57" s="63">
        <f t="shared" si="178"/>
        <v>-76.77307509324983</v>
      </c>
      <c r="AJ57" s="63">
        <f t="shared" si="178"/>
        <v>-84.491402014572287</v>
      </c>
      <c r="AK57" s="63">
        <f t="shared" si="178"/>
        <v>-89.809673571179303</v>
      </c>
      <c r="AL57" s="63">
        <f t="shared" si="178"/>
        <v>-92.205580040353084</v>
      </c>
      <c r="AM57" s="63">
        <f t="shared" si="178"/>
        <v>-100.89168491069476</v>
      </c>
      <c r="AN57" s="63">
        <f t="shared" si="178"/>
        <v>-103.19937254943288</v>
      </c>
      <c r="AO57" s="63">
        <f t="shared" si="178"/>
        <v>-112.35300138947662</v>
      </c>
      <c r="AP57" s="397">
        <f t="shared" si="173"/>
        <v>-977.00738554150644</v>
      </c>
      <c r="AQ57" s="63">
        <f t="shared" ref="AQ57:BB57" si="179">AQ46+AQ47+AQ51+AQ55+AQ56</f>
        <v>-107.98908848797412</v>
      </c>
      <c r="AR57" s="63">
        <f t="shared" si="179"/>
        <v>-100.34966212990498</v>
      </c>
      <c r="AS57" s="63">
        <f t="shared" si="179"/>
        <v>-114.39266867065334</v>
      </c>
      <c r="AT57" s="63">
        <f t="shared" si="179"/>
        <v>-114.05423574898089</v>
      </c>
      <c r="AU57" s="63">
        <f t="shared" si="179"/>
        <v>-121.48459427130187</v>
      </c>
      <c r="AV57" s="63">
        <f t="shared" si="179"/>
        <v>-121.23025991919228</v>
      </c>
      <c r="AW57" s="63">
        <f t="shared" si="179"/>
        <v>-129.20892084901837</v>
      </c>
      <c r="AX57" s="63">
        <f t="shared" si="179"/>
        <v>-133.29032795430257</v>
      </c>
      <c r="AY57" s="63">
        <f t="shared" si="179"/>
        <v>-133.07245685931332</v>
      </c>
      <c r="AZ57" s="63">
        <f t="shared" si="179"/>
        <v>-141.85522328517271</v>
      </c>
      <c r="BA57" s="63">
        <f t="shared" si="179"/>
        <v>-141.60389201115592</v>
      </c>
      <c r="BB57" s="63">
        <f t="shared" si="179"/>
        <v>-150.73978887305228</v>
      </c>
      <c r="BC57" s="397">
        <f t="shared" si="174"/>
        <v>-1509.2711190600226</v>
      </c>
      <c r="BD57" s="63">
        <f t="shared" ref="BD57:BO57" si="180">BD46+BD47+BD51+BD55+BD56</f>
        <v>-141.29652239734901</v>
      </c>
      <c r="BE57" s="63">
        <f t="shared" si="180"/>
        <v>-129.31148554981095</v>
      </c>
      <c r="BF57" s="63">
        <f t="shared" si="180"/>
        <v>-145.22592856433351</v>
      </c>
      <c r="BG57" s="63">
        <f t="shared" si="180"/>
        <v>-142.71145094655873</v>
      </c>
      <c r="BH57" s="63">
        <f t="shared" si="180"/>
        <v>-149.88695556963901</v>
      </c>
      <c r="BI57" s="63">
        <f t="shared" si="180"/>
        <v>-147.5556498240133</v>
      </c>
      <c r="BJ57" s="63">
        <f t="shared" si="180"/>
        <v>-155.22295595248559</v>
      </c>
      <c r="BK57" s="63">
        <f t="shared" si="180"/>
        <v>-158.12606871687319</v>
      </c>
      <c r="BL57" s="63">
        <f t="shared" si="180"/>
        <v>-155.9770027436723</v>
      </c>
      <c r="BM57" s="63">
        <f t="shared" si="180"/>
        <v>-164.36616680061709</v>
      </c>
      <c r="BN57" s="63">
        <f t="shared" si="180"/>
        <v>-162.27925769811657</v>
      </c>
      <c r="BO57" s="63">
        <f t="shared" si="180"/>
        <v>-170.96065566921013</v>
      </c>
      <c r="BP57" s="397">
        <f t="shared" si="175"/>
        <v>-1822.9201004326796</v>
      </c>
      <c r="CF57" s="298" t="s">
        <v>860</v>
      </c>
      <c r="CG57" s="12" t="s">
        <v>965</v>
      </c>
    </row>
    <row r="58" spans="1:85" s="3" customFormat="1">
      <c r="A58" s="296" t="s">
        <v>528</v>
      </c>
      <c r="B58" s="12" t="s">
        <v>502</v>
      </c>
      <c r="C58" s="5"/>
      <c r="P58" s="397">
        <f t="shared" si="171"/>
        <v>0</v>
      </c>
      <c r="AC58" s="397">
        <f t="shared" si="172"/>
        <v>0</v>
      </c>
      <c r="AP58" s="397">
        <f t="shared" si="173"/>
        <v>0</v>
      </c>
      <c r="BC58" s="397">
        <f t="shared" si="174"/>
        <v>0</v>
      </c>
      <c r="BP58" s="397">
        <f t="shared" si="175"/>
        <v>0</v>
      </c>
      <c r="CF58" s="296" t="s">
        <v>1037</v>
      </c>
      <c r="CG58" s="12" t="s">
        <v>965</v>
      </c>
    </row>
    <row r="59" spans="1:85" s="3" customFormat="1">
      <c r="A59" s="296" t="s">
        <v>529</v>
      </c>
      <c r="B59" s="12" t="s">
        <v>502</v>
      </c>
      <c r="C59" s="5"/>
      <c r="D59" s="3">
        <f t="shared" ref="D59:O59" si="181">SUM(C60:D66)</f>
        <v>0</v>
      </c>
      <c r="E59" s="3">
        <f t="shared" si="181"/>
        <v>0</v>
      </c>
      <c r="F59" s="3">
        <f t="shared" si="181"/>
        <v>0</v>
      </c>
      <c r="G59" s="3">
        <f t="shared" si="181"/>
        <v>0</v>
      </c>
      <c r="H59" s="3">
        <f t="shared" si="181"/>
        <v>0</v>
      </c>
      <c r="I59" s="3">
        <f t="shared" si="181"/>
        <v>0</v>
      </c>
      <c r="J59" s="3">
        <f t="shared" si="181"/>
        <v>0</v>
      </c>
      <c r="K59" s="3">
        <f t="shared" si="181"/>
        <v>0</v>
      </c>
      <c r="L59" s="3">
        <f t="shared" si="181"/>
        <v>0</v>
      </c>
      <c r="M59" s="3">
        <f t="shared" si="181"/>
        <v>0</v>
      </c>
      <c r="N59" s="3">
        <f t="shared" si="181"/>
        <v>0</v>
      </c>
      <c r="O59" s="3">
        <f t="shared" si="181"/>
        <v>0</v>
      </c>
      <c r="P59" s="397">
        <f t="shared" si="171"/>
        <v>0</v>
      </c>
      <c r="Q59" s="3">
        <f t="shared" ref="Q59:AB59" si="182">SUM(P60:Q66)</f>
        <v>0</v>
      </c>
      <c r="R59" s="3">
        <f t="shared" si="182"/>
        <v>0</v>
      </c>
      <c r="S59" s="3">
        <f t="shared" si="182"/>
        <v>0</v>
      </c>
      <c r="T59" s="3">
        <f t="shared" si="182"/>
        <v>0</v>
      </c>
      <c r="U59" s="3">
        <f t="shared" si="182"/>
        <v>0</v>
      </c>
      <c r="V59" s="3">
        <f t="shared" si="182"/>
        <v>0</v>
      </c>
      <c r="W59" s="3">
        <f t="shared" si="182"/>
        <v>0</v>
      </c>
      <c r="X59" s="3">
        <f t="shared" si="182"/>
        <v>0</v>
      </c>
      <c r="Y59" s="3">
        <f t="shared" si="182"/>
        <v>0</v>
      </c>
      <c r="Z59" s="3">
        <f t="shared" si="182"/>
        <v>0</v>
      </c>
      <c r="AA59" s="3">
        <f t="shared" si="182"/>
        <v>0</v>
      </c>
      <c r="AB59" s="3">
        <f t="shared" si="182"/>
        <v>0</v>
      </c>
      <c r="AC59" s="397">
        <f t="shared" si="172"/>
        <v>0</v>
      </c>
      <c r="AD59" s="3">
        <f t="shared" ref="AD59:AO59" si="183">SUM(AC60:AD66)</f>
        <v>0</v>
      </c>
      <c r="AE59" s="3">
        <f t="shared" si="183"/>
        <v>0</v>
      </c>
      <c r="AF59" s="3">
        <f t="shared" si="183"/>
        <v>0</v>
      </c>
      <c r="AG59" s="3">
        <f t="shared" si="183"/>
        <v>0</v>
      </c>
      <c r="AH59" s="3">
        <f t="shared" si="183"/>
        <v>0</v>
      </c>
      <c r="AI59" s="3">
        <f t="shared" si="183"/>
        <v>0</v>
      </c>
      <c r="AJ59" s="3">
        <f t="shared" si="183"/>
        <v>0</v>
      </c>
      <c r="AK59" s="3">
        <f t="shared" si="183"/>
        <v>0</v>
      </c>
      <c r="AL59" s="3">
        <f t="shared" si="183"/>
        <v>0</v>
      </c>
      <c r="AM59" s="3">
        <f t="shared" si="183"/>
        <v>0</v>
      </c>
      <c r="AN59" s="3">
        <f t="shared" si="183"/>
        <v>0</v>
      </c>
      <c r="AO59" s="3">
        <f t="shared" si="183"/>
        <v>0</v>
      </c>
      <c r="AP59" s="397">
        <f t="shared" si="173"/>
        <v>0</v>
      </c>
      <c r="AQ59" s="3">
        <f t="shared" ref="AQ59:BB59" si="184">SUM(AP60:AQ66)</f>
        <v>0</v>
      </c>
      <c r="AR59" s="3">
        <f t="shared" si="184"/>
        <v>0</v>
      </c>
      <c r="AS59" s="3">
        <f t="shared" si="184"/>
        <v>0</v>
      </c>
      <c r="AT59" s="3">
        <f t="shared" si="184"/>
        <v>0</v>
      </c>
      <c r="AU59" s="3">
        <f t="shared" si="184"/>
        <v>0</v>
      </c>
      <c r="AV59" s="3">
        <f t="shared" si="184"/>
        <v>0</v>
      </c>
      <c r="AW59" s="3">
        <f t="shared" si="184"/>
        <v>0</v>
      </c>
      <c r="AX59" s="3">
        <f t="shared" si="184"/>
        <v>0</v>
      </c>
      <c r="AY59" s="3">
        <f t="shared" si="184"/>
        <v>0</v>
      </c>
      <c r="AZ59" s="3">
        <f t="shared" si="184"/>
        <v>0</v>
      </c>
      <c r="BA59" s="3">
        <f t="shared" si="184"/>
        <v>0</v>
      </c>
      <c r="BB59" s="3">
        <f t="shared" si="184"/>
        <v>0</v>
      </c>
      <c r="BC59" s="397">
        <f t="shared" si="174"/>
        <v>0</v>
      </c>
      <c r="BD59" s="3">
        <f t="shared" ref="BD59:BO59" si="185">SUM(BC60:BD66)</f>
        <v>0</v>
      </c>
      <c r="BE59" s="3">
        <f t="shared" si="185"/>
        <v>0</v>
      </c>
      <c r="BF59" s="3">
        <f t="shared" si="185"/>
        <v>0</v>
      </c>
      <c r="BG59" s="3">
        <f t="shared" si="185"/>
        <v>0</v>
      </c>
      <c r="BH59" s="3">
        <f t="shared" si="185"/>
        <v>0</v>
      </c>
      <c r="BI59" s="3">
        <f t="shared" si="185"/>
        <v>0</v>
      </c>
      <c r="BJ59" s="3">
        <f t="shared" si="185"/>
        <v>0</v>
      </c>
      <c r="BK59" s="3">
        <f t="shared" si="185"/>
        <v>0</v>
      </c>
      <c r="BL59" s="3">
        <f t="shared" si="185"/>
        <v>0</v>
      </c>
      <c r="BM59" s="3">
        <f t="shared" si="185"/>
        <v>0</v>
      </c>
      <c r="BN59" s="3">
        <f t="shared" si="185"/>
        <v>0</v>
      </c>
      <c r="BO59" s="3">
        <f t="shared" si="185"/>
        <v>0</v>
      </c>
      <c r="BP59" s="397">
        <f t="shared" si="175"/>
        <v>0</v>
      </c>
      <c r="CF59" s="296" t="s">
        <v>1038</v>
      </c>
      <c r="CG59" s="12" t="s">
        <v>965</v>
      </c>
    </row>
    <row r="60" spans="1:85" s="5" customFormat="1" outlineLevel="1">
      <c r="A60" s="297" t="s">
        <v>530</v>
      </c>
      <c r="B60" s="12" t="s">
        <v>502</v>
      </c>
      <c r="P60" s="383">
        <f t="shared" si="171"/>
        <v>0</v>
      </c>
      <c r="AC60" s="383">
        <f t="shared" si="172"/>
        <v>0</v>
      </c>
      <c r="AP60" s="383">
        <f t="shared" si="173"/>
        <v>0</v>
      </c>
      <c r="BC60" s="383">
        <f t="shared" si="174"/>
        <v>0</v>
      </c>
      <c r="BP60" s="383">
        <f t="shared" si="175"/>
        <v>0</v>
      </c>
      <c r="CF60" s="297" t="s">
        <v>989</v>
      </c>
      <c r="CG60" s="12" t="s">
        <v>965</v>
      </c>
    </row>
    <row r="61" spans="1:85" s="5" customFormat="1" outlineLevel="1">
      <c r="A61" s="297" t="s">
        <v>531</v>
      </c>
      <c r="B61" s="12" t="s">
        <v>502</v>
      </c>
      <c r="P61" s="383"/>
      <c r="AC61" s="383"/>
      <c r="AP61" s="383"/>
      <c r="BC61" s="383"/>
      <c r="BP61" s="383"/>
      <c r="CF61" s="297" t="s">
        <v>990</v>
      </c>
      <c r="CG61" s="12" t="s">
        <v>965</v>
      </c>
    </row>
    <row r="62" spans="1:85" s="5" customFormat="1" outlineLevel="1">
      <c r="A62" s="297" t="s">
        <v>532</v>
      </c>
      <c r="B62" s="12" t="s">
        <v>502</v>
      </c>
      <c r="P62" s="383"/>
      <c r="AC62" s="383"/>
      <c r="AP62" s="383"/>
      <c r="BC62" s="383"/>
      <c r="BP62" s="383"/>
      <c r="CF62" s="297" t="s">
        <v>992</v>
      </c>
      <c r="CG62" s="12" t="s">
        <v>965</v>
      </c>
    </row>
    <row r="63" spans="1:85" s="5" customFormat="1" outlineLevel="1">
      <c r="A63" s="297" t="s">
        <v>533</v>
      </c>
      <c r="B63" s="12" t="s">
        <v>502</v>
      </c>
      <c r="P63" s="383"/>
      <c r="AC63" s="383"/>
      <c r="AP63" s="383"/>
      <c r="BC63" s="383"/>
      <c r="BP63" s="383"/>
      <c r="CF63" s="297" t="s">
        <v>991</v>
      </c>
      <c r="CG63" s="12" t="s">
        <v>965</v>
      </c>
    </row>
    <row r="64" spans="1:85" s="5" customFormat="1" outlineLevel="1">
      <c r="A64" s="297" t="s">
        <v>534</v>
      </c>
      <c r="B64" s="12" t="s">
        <v>502</v>
      </c>
      <c r="P64" s="383">
        <f t="shared" ref="P64:P72" si="186">SUM(D64:O64)</f>
        <v>0</v>
      </c>
      <c r="AC64" s="383">
        <f t="shared" ref="AC64:AC72" si="187">SUM(Q64:AB64)</f>
        <v>0</v>
      </c>
      <c r="AP64" s="383">
        <f t="shared" ref="AP64:AP72" si="188">SUM(AD64:AO64)</f>
        <v>0</v>
      </c>
      <c r="BC64" s="383">
        <f t="shared" ref="BC64:BC72" si="189">SUM(AQ64:BB64)</f>
        <v>0</v>
      </c>
      <c r="BP64" s="383">
        <f t="shared" ref="BP64:BP72" si="190">SUM(BD64:BO64)</f>
        <v>0</v>
      </c>
      <c r="CF64" s="297" t="s">
        <v>997</v>
      </c>
      <c r="CG64" s="12" t="s">
        <v>965</v>
      </c>
    </row>
    <row r="65" spans="1:85" s="5" customFormat="1" outlineLevel="1">
      <c r="A65" s="297" t="s">
        <v>535</v>
      </c>
      <c r="B65" s="12" t="s">
        <v>502</v>
      </c>
      <c r="P65" s="383">
        <f t="shared" si="186"/>
        <v>0</v>
      </c>
      <c r="AC65" s="383">
        <f t="shared" si="187"/>
        <v>0</v>
      </c>
      <c r="AP65" s="383">
        <f t="shared" si="188"/>
        <v>0</v>
      </c>
      <c r="BC65" s="383">
        <f t="shared" si="189"/>
        <v>0</v>
      </c>
      <c r="BP65" s="383">
        <f t="shared" si="190"/>
        <v>0</v>
      </c>
      <c r="CF65" s="297" t="s">
        <v>998</v>
      </c>
      <c r="CG65" s="12" t="s">
        <v>965</v>
      </c>
    </row>
    <row r="66" spans="1:85" s="5" customFormat="1" outlineLevel="1">
      <c r="A66" s="297" t="s">
        <v>536</v>
      </c>
      <c r="B66" s="12" t="s">
        <v>502</v>
      </c>
      <c r="P66" s="383">
        <f t="shared" si="186"/>
        <v>0</v>
      </c>
      <c r="AC66" s="383">
        <f t="shared" si="187"/>
        <v>0</v>
      </c>
      <c r="AP66" s="383">
        <f t="shared" si="188"/>
        <v>0</v>
      </c>
      <c r="BC66" s="383">
        <f t="shared" si="189"/>
        <v>0</v>
      </c>
      <c r="BP66" s="383">
        <f t="shared" si="190"/>
        <v>0</v>
      </c>
      <c r="CF66" s="297" t="s">
        <v>996</v>
      </c>
      <c r="CG66" s="12" t="s">
        <v>965</v>
      </c>
    </row>
    <row r="67" spans="1:85" s="3" customFormat="1">
      <c r="A67" s="296" t="s">
        <v>537</v>
      </c>
      <c r="B67" s="12" t="s">
        <v>502</v>
      </c>
      <c r="C67" s="5"/>
      <c r="P67" s="397">
        <f t="shared" si="186"/>
        <v>0</v>
      </c>
      <c r="AC67" s="397">
        <f t="shared" si="187"/>
        <v>0</v>
      </c>
      <c r="AP67" s="397">
        <f t="shared" si="188"/>
        <v>0</v>
      </c>
      <c r="BC67" s="397">
        <f t="shared" si="189"/>
        <v>0</v>
      </c>
      <c r="BP67" s="397">
        <f t="shared" si="190"/>
        <v>0</v>
      </c>
      <c r="CF67" s="296" t="s">
        <v>1040</v>
      </c>
      <c r="CG67" s="12" t="s">
        <v>965</v>
      </c>
    </row>
    <row r="68" spans="1:85" s="3" customFormat="1">
      <c r="A68" s="296" t="s">
        <v>538</v>
      </c>
      <c r="B68" s="12" t="s">
        <v>502</v>
      </c>
      <c r="C68" s="5"/>
      <c r="P68" s="397">
        <f t="shared" si="186"/>
        <v>0</v>
      </c>
      <c r="AC68" s="397">
        <f t="shared" si="187"/>
        <v>0</v>
      </c>
      <c r="AP68" s="397">
        <f t="shared" si="188"/>
        <v>0</v>
      </c>
      <c r="BC68" s="397">
        <f t="shared" si="189"/>
        <v>0</v>
      </c>
      <c r="BP68" s="397">
        <f t="shared" si="190"/>
        <v>0</v>
      </c>
      <c r="CF68" s="296" t="s">
        <v>1039</v>
      </c>
      <c r="CG68" s="12" t="s">
        <v>965</v>
      </c>
    </row>
    <row r="69" spans="1:85" s="63" customFormat="1">
      <c r="A69" s="298" t="s">
        <v>475</v>
      </c>
      <c r="B69" s="12" t="s">
        <v>502</v>
      </c>
      <c r="C69" s="299"/>
      <c r="D69" s="63">
        <f t="shared" ref="D69:O69" si="191">D58+D59+D67+D68</f>
        <v>0</v>
      </c>
      <c r="E69" s="63">
        <f t="shared" si="191"/>
        <v>0</v>
      </c>
      <c r="F69" s="63">
        <f t="shared" si="191"/>
        <v>0</v>
      </c>
      <c r="G69" s="63">
        <f t="shared" si="191"/>
        <v>0</v>
      </c>
      <c r="H69" s="63">
        <f t="shared" si="191"/>
        <v>0</v>
      </c>
      <c r="I69" s="63">
        <f t="shared" si="191"/>
        <v>0</v>
      </c>
      <c r="J69" s="63">
        <f t="shared" si="191"/>
        <v>0</v>
      </c>
      <c r="K69" s="63">
        <f t="shared" si="191"/>
        <v>0</v>
      </c>
      <c r="L69" s="63">
        <f t="shared" si="191"/>
        <v>0</v>
      </c>
      <c r="M69" s="63">
        <f t="shared" si="191"/>
        <v>0</v>
      </c>
      <c r="N69" s="63">
        <f t="shared" si="191"/>
        <v>0</v>
      </c>
      <c r="O69" s="63">
        <f t="shared" si="191"/>
        <v>0</v>
      </c>
      <c r="P69" s="397">
        <f t="shared" si="186"/>
        <v>0</v>
      </c>
      <c r="Q69" s="63">
        <f t="shared" ref="Q69:AB69" si="192">Q58+Q59+Q67+Q68</f>
        <v>0</v>
      </c>
      <c r="R69" s="63">
        <f t="shared" si="192"/>
        <v>0</v>
      </c>
      <c r="S69" s="63">
        <f t="shared" si="192"/>
        <v>0</v>
      </c>
      <c r="T69" s="63">
        <f t="shared" si="192"/>
        <v>0</v>
      </c>
      <c r="U69" s="63">
        <f t="shared" si="192"/>
        <v>0</v>
      </c>
      <c r="V69" s="63">
        <f t="shared" si="192"/>
        <v>0</v>
      </c>
      <c r="W69" s="63">
        <f t="shared" si="192"/>
        <v>0</v>
      </c>
      <c r="X69" s="63">
        <f t="shared" si="192"/>
        <v>0</v>
      </c>
      <c r="Y69" s="63">
        <f t="shared" si="192"/>
        <v>0</v>
      </c>
      <c r="Z69" s="63">
        <f t="shared" si="192"/>
        <v>0</v>
      </c>
      <c r="AA69" s="63">
        <f t="shared" si="192"/>
        <v>0</v>
      </c>
      <c r="AB69" s="63">
        <f t="shared" si="192"/>
        <v>0</v>
      </c>
      <c r="AC69" s="397">
        <f t="shared" si="187"/>
        <v>0</v>
      </c>
      <c r="AD69" s="63">
        <f t="shared" ref="AD69:AO69" si="193">AD58+AD59+AD67+AD68</f>
        <v>0</v>
      </c>
      <c r="AE69" s="63">
        <f t="shared" si="193"/>
        <v>0</v>
      </c>
      <c r="AF69" s="63">
        <f t="shared" si="193"/>
        <v>0</v>
      </c>
      <c r="AG69" s="63">
        <f t="shared" si="193"/>
        <v>0</v>
      </c>
      <c r="AH69" s="63">
        <f t="shared" si="193"/>
        <v>0</v>
      </c>
      <c r="AI69" s="63">
        <f t="shared" si="193"/>
        <v>0</v>
      </c>
      <c r="AJ69" s="63">
        <f t="shared" si="193"/>
        <v>0</v>
      </c>
      <c r="AK69" s="63">
        <f t="shared" si="193"/>
        <v>0</v>
      </c>
      <c r="AL69" s="63">
        <f t="shared" si="193"/>
        <v>0</v>
      </c>
      <c r="AM69" s="63">
        <f t="shared" si="193"/>
        <v>0</v>
      </c>
      <c r="AN69" s="63">
        <f t="shared" si="193"/>
        <v>0</v>
      </c>
      <c r="AO69" s="63">
        <f t="shared" si="193"/>
        <v>0</v>
      </c>
      <c r="AP69" s="397">
        <f t="shared" si="188"/>
        <v>0</v>
      </c>
      <c r="AQ69" s="63">
        <f t="shared" ref="AQ69:BB69" si="194">AQ58+AQ59+AQ67+AQ68</f>
        <v>0</v>
      </c>
      <c r="AR69" s="63">
        <f t="shared" si="194"/>
        <v>0</v>
      </c>
      <c r="AS69" s="63">
        <f t="shared" si="194"/>
        <v>0</v>
      </c>
      <c r="AT69" s="63">
        <f t="shared" si="194"/>
        <v>0</v>
      </c>
      <c r="AU69" s="63">
        <f t="shared" si="194"/>
        <v>0</v>
      </c>
      <c r="AV69" s="63">
        <f t="shared" si="194"/>
        <v>0</v>
      </c>
      <c r="AW69" s="63">
        <f t="shared" si="194"/>
        <v>0</v>
      </c>
      <c r="AX69" s="63">
        <f t="shared" si="194"/>
        <v>0</v>
      </c>
      <c r="AY69" s="63">
        <f t="shared" si="194"/>
        <v>0</v>
      </c>
      <c r="AZ69" s="63">
        <f t="shared" si="194"/>
        <v>0</v>
      </c>
      <c r="BA69" s="63">
        <f t="shared" si="194"/>
        <v>0</v>
      </c>
      <c r="BB69" s="63">
        <f t="shared" si="194"/>
        <v>0</v>
      </c>
      <c r="BC69" s="397">
        <f t="shared" si="189"/>
        <v>0</v>
      </c>
      <c r="BD69" s="63">
        <f t="shared" ref="BD69:BO69" si="195">BD58+BD59+BD67+BD68</f>
        <v>0</v>
      </c>
      <c r="BE69" s="63">
        <f t="shared" si="195"/>
        <v>0</v>
      </c>
      <c r="BF69" s="63">
        <f t="shared" si="195"/>
        <v>0</v>
      </c>
      <c r="BG69" s="63">
        <f t="shared" si="195"/>
        <v>0</v>
      </c>
      <c r="BH69" s="63">
        <f t="shared" si="195"/>
        <v>0</v>
      </c>
      <c r="BI69" s="63">
        <f t="shared" si="195"/>
        <v>0</v>
      </c>
      <c r="BJ69" s="63">
        <f t="shared" si="195"/>
        <v>0</v>
      </c>
      <c r="BK69" s="63">
        <f t="shared" si="195"/>
        <v>0</v>
      </c>
      <c r="BL69" s="63">
        <f t="shared" si="195"/>
        <v>0</v>
      </c>
      <c r="BM69" s="63">
        <f t="shared" si="195"/>
        <v>0</v>
      </c>
      <c r="BN69" s="63">
        <f t="shared" si="195"/>
        <v>0</v>
      </c>
      <c r="BO69" s="63">
        <f t="shared" si="195"/>
        <v>0</v>
      </c>
      <c r="BP69" s="397">
        <f t="shared" si="190"/>
        <v>0</v>
      </c>
      <c r="CF69" s="298" t="s">
        <v>859</v>
      </c>
      <c r="CG69" s="12" t="s">
        <v>965</v>
      </c>
    </row>
    <row r="70" spans="1:85" s="301" customFormat="1" ht="15.6">
      <c r="A70" s="301" t="s">
        <v>539</v>
      </c>
      <c r="B70" s="380" t="s">
        <v>502</v>
      </c>
      <c r="C70" s="302"/>
      <c r="D70" s="301">
        <f t="shared" ref="D70:O70" si="196">D57+D69</f>
        <v>0</v>
      </c>
      <c r="E70" s="301">
        <f t="shared" si="196"/>
        <v>0</v>
      </c>
      <c r="F70" s="301">
        <f t="shared" si="196"/>
        <v>0</v>
      </c>
      <c r="G70" s="301">
        <f t="shared" si="196"/>
        <v>0</v>
      </c>
      <c r="H70" s="301">
        <f t="shared" si="196"/>
        <v>0</v>
      </c>
      <c r="I70" s="301">
        <f t="shared" si="196"/>
        <v>0</v>
      </c>
      <c r="J70" s="301">
        <f t="shared" si="196"/>
        <v>-0.6652043357714067</v>
      </c>
      <c r="K70" s="301">
        <f t="shared" si="196"/>
        <v>-2.0213949897013883</v>
      </c>
      <c r="L70" s="301">
        <f t="shared" si="196"/>
        <v>-3.3177633814432252</v>
      </c>
      <c r="M70" s="301">
        <f t="shared" si="196"/>
        <v>-4.8844633153006072</v>
      </c>
      <c r="N70" s="301">
        <f t="shared" si="196"/>
        <v>-6.1819636477342339</v>
      </c>
      <c r="O70" s="301">
        <f t="shared" si="196"/>
        <v>-7.9046363816328231</v>
      </c>
      <c r="P70" s="372">
        <f t="shared" si="186"/>
        <v>-24.975426051583685</v>
      </c>
      <c r="Q70" s="301">
        <f t="shared" ref="Q70:AB70" si="197">Q57+Q69</f>
        <v>-9.767857351256632</v>
      </c>
      <c r="R70" s="301">
        <f t="shared" si="197"/>
        <v>-11.928075991503098</v>
      </c>
      <c r="S70" s="301">
        <f t="shared" si="197"/>
        <v>-16.811967036979087</v>
      </c>
      <c r="T70" s="301">
        <f t="shared" si="197"/>
        <v>-19.916792188283647</v>
      </c>
      <c r="U70" s="301">
        <f t="shared" si="197"/>
        <v>-24.507208730266917</v>
      </c>
      <c r="V70" s="301">
        <f t="shared" si="197"/>
        <v>-27.664170647270421</v>
      </c>
      <c r="W70" s="301">
        <f t="shared" si="197"/>
        <v>-32.812574588626603</v>
      </c>
      <c r="X70" s="301">
        <f t="shared" si="197"/>
        <v>-37.180416645774962</v>
      </c>
      <c r="Y70" s="301">
        <f t="shared" si="197"/>
        <v>-40.339440319299882</v>
      </c>
      <c r="Z70" s="301">
        <f t="shared" si="197"/>
        <v>-46.317694443849305</v>
      </c>
      <c r="AA70" s="301">
        <f t="shared" si="197"/>
        <v>-49.427618063206346</v>
      </c>
      <c r="AB70" s="301">
        <f t="shared" si="197"/>
        <v>-55.837406566630449</v>
      </c>
      <c r="AC70" s="372">
        <f t="shared" si="187"/>
        <v>-372.5112225729473</v>
      </c>
      <c r="AD70" s="301">
        <f t="shared" ref="AD70:AO70" si="198">AD57+AD69</f>
        <v>-56.188685999481827</v>
      </c>
      <c r="AE70" s="301">
        <f t="shared" si="198"/>
        <v>-54.590125455442404</v>
      </c>
      <c r="AF70" s="301">
        <f t="shared" si="198"/>
        <v>-64.885822176660255</v>
      </c>
      <c r="AG70" s="301">
        <f t="shared" si="198"/>
        <v>-67.279188369780059</v>
      </c>
      <c r="AH70" s="301">
        <f t="shared" si="198"/>
        <v>-74.339773971183291</v>
      </c>
      <c r="AI70" s="301">
        <f t="shared" si="198"/>
        <v>-76.77307509324983</v>
      </c>
      <c r="AJ70" s="301">
        <f t="shared" si="198"/>
        <v>-84.491402014572287</v>
      </c>
      <c r="AK70" s="301">
        <f t="shared" si="198"/>
        <v>-89.809673571179303</v>
      </c>
      <c r="AL70" s="301">
        <f t="shared" si="198"/>
        <v>-92.205580040353084</v>
      </c>
      <c r="AM70" s="301">
        <f t="shared" si="198"/>
        <v>-100.89168491069476</v>
      </c>
      <c r="AN70" s="301">
        <f t="shared" si="198"/>
        <v>-103.19937254943288</v>
      </c>
      <c r="AO70" s="301">
        <f t="shared" si="198"/>
        <v>-112.35300138947662</v>
      </c>
      <c r="AP70" s="372">
        <f t="shared" si="188"/>
        <v>-977.00738554150644</v>
      </c>
      <c r="AQ70" s="301">
        <f t="shared" ref="AQ70:BB70" si="199">AQ57+AQ69</f>
        <v>-107.98908848797412</v>
      </c>
      <c r="AR70" s="301">
        <f t="shared" si="199"/>
        <v>-100.34966212990498</v>
      </c>
      <c r="AS70" s="301">
        <f t="shared" si="199"/>
        <v>-114.39266867065334</v>
      </c>
      <c r="AT70" s="301">
        <f t="shared" si="199"/>
        <v>-114.05423574898089</v>
      </c>
      <c r="AU70" s="301">
        <f t="shared" si="199"/>
        <v>-121.48459427130187</v>
      </c>
      <c r="AV70" s="301">
        <f t="shared" si="199"/>
        <v>-121.23025991919228</v>
      </c>
      <c r="AW70" s="301">
        <f t="shared" si="199"/>
        <v>-129.20892084901837</v>
      </c>
      <c r="AX70" s="301">
        <f t="shared" si="199"/>
        <v>-133.29032795430257</v>
      </c>
      <c r="AY70" s="301">
        <f t="shared" si="199"/>
        <v>-133.07245685931332</v>
      </c>
      <c r="AZ70" s="301">
        <f t="shared" si="199"/>
        <v>-141.85522328517271</v>
      </c>
      <c r="BA70" s="301">
        <f t="shared" si="199"/>
        <v>-141.60389201115592</v>
      </c>
      <c r="BB70" s="301">
        <f t="shared" si="199"/>
        <v>-150.73978887305228</v>
      </c>
      <c r="BC70" s="372">
        <f t="shared" si="189"/>
        <v>-1509.2711190600226</v>
      </c>
      <c r="BD70" s="301">
        <f t="shared" ref="BD70:BO70" si="200">BD57+BD69</f>
        <v>-141.29652239734901</v>
      </c>
      <c r="BE70" s="301">
        <f t="shared" si="200"/>
        <v>-129.31148554981095</v>
      </c>
      <c r="BF70" s="301">
        <f t="shared" si="200"/>
        <v>-145.22592856433351</v>
      </c>
      <c r="BG70" s="301">
        <f t="shared" si="200"/>
        <v>-142.71145094655873</v>
      </c>
      <c r="BH70" s="301">
        <f t="shared" si="200"/>
        <v>-149.88695556963901</v>
      </c>
      <c r="BI70" s="301">
        <f t="shared" si="200"/>
        <v>-147.5556498240133</v>
      </c>
      <c r="BJ70" s="301">
        <f t="shared" si="200"/>
        <v>-155.22295595248559</v>
      </c>
      <c r="BK70" s="301">
        <f t="shared" si="200"/>
        <v>-158.12606871687319</v>
      </c>
      <c r="BL70" s="301">
        <f t="shared" si="200"/>
        <v>-155.9770027436723</v>
      </c>
      <c r="BM70" s="301">
        <f t="shared" si="200"/>
        <v>-164.36616680061709</v>
      </c>
      <c r="BN70" s="301">
        <f t="shared" si="200"/>
        <v>-162.27925769811657</v>
      </c>
      <c r="BO70" s="301">
        <f t="shared" si="200"/>
        <v>-170.96065566921013</v>
      </c>
      <c r="BP70" s="372">
        <f t="shared" si="190"/>
        <v>-1822.9201004326796</v>
      </c>
      <c r="CF70" s="301" t="s">
        <v>858</v>
      </c>
      <c r="CG70" s="380" t="s">
        <v>965</v>
      </c>
    </row>
    <row r="71" spans="1:85" s="3" customFormat="1">
      <c r="A71" s="296" t="s">
        <v>540</v>
      </c>
      <c r="B71" s="12" t="s">
        <v>502</v>
      </c>
      <c r="C71" s="40"/>
      <c r="D71" s="3">
        <f>IF(D70&lt;0,0,D70*$C$71)</f>
        <v>0</v>
      </c>
      <c r="E71" s="3">
        <f>IF(SUM(D70:E70)&lt;0,0,SUM(D70:E70)*$C$71)-D71</f>
        <v>0</v>
      </c>
      <c r="F71" s="3">
        <f>IF(SUM(D70:F70)&lt;0,0,SUM(D70:F70)*$C$71)-SUM(D71:E71)</f>
        <v>0</v>
      </c>
      <c r="G71" s="3">
        <f>IF(SUM(D70:G70)&lt;0,0,SUM(D70:G70)*$C$71)-SUM(D71:F71)</f>
        <v>0</v>
      </c>
      <c r="H71" s="3">
        <f>IF(SUM(D70:H70)&lt;0,0,SUM(D70:H70)*$C$71)-SUM(D71:G71)</f>
        <v>0</v>
      </c>
      <c r="I71" s="3">
        <f>IF(SUM(D70:I70)&lt;0,0,SUM(D70:I70)*$C$71)-SUM(D71:H71)</f>
        <v>0</v>
      </c>
      <c r="J71" s="3">
        <f>IF(SUM(D70:J70)&lt;0,0,SUM(D70:J70)*$C$71)-SUM(D71:I71)</f>
        <v>0</v>
      </c>
      <c r="K71" s="3">
        <f>IF(SUM(D70:K70)&lt;0,0,SUM(D70:K70)*$C$71)-SUM(D71:J71)</f>
        <v>0</v>
      </c>
      <c r="L71" s="3">
        <f>IF(SUM(D70:L70)&lt;0,0,SUM(D70:L70)*$C$71)-SUM(D71:K71)</f>
        <v>0</v>
      </c>
      <c r="M71" s="3">
        <f>IF(SUM(D70:M70)&lt;0,0,SUM(D70:M70)*$C$71)-SUM(D71:L71)</f>
        <v>0</v>
      </c>
      <c r="N71" s="3">
        <f>IF(SUM(D70:N70)&lt;0,0,SUM(D70:N70)*$C$71)-SUM(D71:M71)</f>
        <v>0</v>
      </c>
      <c r="O71" s="3">
        <f>IF(SUM(D70:O70)&lt;0,0,SUM(D70:O70)*$C$71)-SUM(D71:N71)</f>
        <v>0</v>
      </c>
      <c r="P71" s="397">
        <f t="shared" si="186"/>
        <v>0</v>
      </c>
      <c r="Q71" s="3">
        <f>IF(Q70&lt;0,0,Q70*$C$71)</f>
        <v>0</v>
      </c>
      <c r="R71" s="3">
        <f>IF(SUM(Q70:R70)&lt;0,0,SUM(Q70:R70)*$C$71)-Q71</f>
        <v>0</v>
      </c>
      <c r="S71" s="3">
        <f>IF(SUM(Q70:S70)&lt;0,0,SUM(Q70:S70)*$C$71)-SUM(Q71:R71)</f>
        <v>0</v>
      </c>
      <c r="T71" s="3">
        <f>IF(SUM(Q70:T70)&lt;0,0,SUM(Q70:T70)*$C$71)-SUM(Q71:S71)</f>
        <v>0</v>
      </c>
      <c r="U71" s="3">
        <f>IF(SUM(Q70:U70)&lt;0,0,SUM(Q70:U70)*$C$71)-SUM(Q71:T71)</f>
        <v>0</v>
      </c>
      <c r="V71" s="3">
        <f>IF(SUM(Q70:V70)&lt;0,0,SUM(Q70:V70)*$C$71)-SUM(Q71:U71)</f>
        <v>0</v>
      </c>
      <c r="W71" s="3">
        <f>IF(SUM(Q70:W70)&lt;0,0,SUM(Q70:W70)*$C$71)-SUM(Q71:V71)</f>
        <v>0</v>
      </c>
      <c r="X71" s="3">
        <f>IF(SUM(Q70:X70)&lt;0,0,SUM(Q70:X70)*$C$71)-SUM(Q71:W71)</f>
        <v>0</v>
      </c>
      <c r="Y71" s="3">
        <f>IF(SUM(Q70:Y70)&lt;0,0,SUM(Q70:Y70)*$C$71)-SUM(Q71:X71)</f>
        <v>0</v>
      </c>
      <c r="Z71" s="3">
        <f>IF(SUM(Q70:Z70)&lt;0,0,SUM(Q70:Z70)*$C$71)-SUM(Q71:Y71)</f>
        <v>0</v>
      </c>
      <c r="AA71" s="3">
        <f>IF(SUM(Q70:AA70)&lt;0,0,SUM(Q70:AA70)*$C$71)-SUM(Q71:Z71)</f>
        <v>0</v>
      </c>
      <c r="AB71" s="3">
        <f>IF(SUM(Q70:AB70)&lt;0,0,SUM(Q70:AB70)*$C$71)-SUM(Q71:AA71)</f>
        <v>0</v>
      </c>
      <c r="AC71" s="397">
        <f t="shared" si="187"/>
        <v>0</v>
      </c>
      <c r="AD71" s="3">
        <f>IF(AD70&lt;0,0,AD70*$C$71)</f>
        <v>0</v>
      </c>
      <c r="AE71" s="3">
        <f>IF(SUM(AD70:AE70)&lt;0,0,SUM(AD70:AE70)*$C$71)-AD71</f>
        <v>0</v>
      </c>
      <c r="AF71" s="3">
        <f>IF(SUM(AD70:AF70)&lt;0,0,SUM(AD70:AF70)*$C$71)-SUM(AD71:AE71)</f>
        <v>0</v>
      </c>
      <c r="AG71" s="3">
        <f>IF(SUM(AD70:AG70)&lt;0,0,SUM(AD70:AG70)*$C$71)-SUM(AD71:AF71)</f>
        <v>0</v>
      </c>
      <c r="AH71" s="3">
        <f>IF(SUM(AD70:AH70)&lt;0,0,SUM(AD70:AH70)*$C$71)-SUM(AD71:AG71)</f>
        <v>0</v>
      </c>
      <c r="AI71" s="3">
        <f>IF(SUM(AD70:AI70)&lt;0,0,SUM(AD70:AI70)*$C$71)-SUM(AD71:AH71)</f>
        <v>0</v>
      </c>
      <c r="AJ71" s="3">
        <f>IF(SUM(AD70:AJ70)&lt;0,0,SUM(AD70:AJ70)*$C$71)-SUM(AD71:AI71)</f>
        <v>0</v>
      </c>
      <c r="AK71" s="3">
        <f>IF(SUM(AD70:AK70)&lt;0,0,SUM(AD70:AK70)*$C$71)-SUM(AD71:AJ71)</f>
        <v>0</v>
      </c>
      <c r="AL71" s="3">
        <f>IF(SUM(AD70:AL70)&lt;0,0,SUM(AD70:AL70)*$C$71)-SUM(AD71:AK71)</f>
        <v>0</v>
      </c>
      <c r="AM71" s="3">
        <f>IF(SUM(AD70:AM70)&lt;0,0,SUM(AD70:AM70)*$C$71)-SUM(AD71:AL71)</f>
        <v>0</v>
      </c>
      <c r="AN71" s="3">
        <f>IF(SUM(AD70:AN70)&lt;0,0,SUM(AD70:AN70)*$C$71)-SUM(AD71:AM71)</f>
        <v>0</v>
      </c>
      <c r="AO71" s="3">
        <f>IF(SUM(AD70:AO70)&lt;0,0,SUM(AD70:AO70)*$C$71)-SUM(AD71:AN71)</f>
        <v>0</v>
      </c>
      <c r="AP71" s="397">
        <f t="shared" si="188"/>
        <v>0</v>
      </c>
      <c r="AQ71" s="3">
        <f>IF(AQ70&lt;0,0,AQ70*$C$71)</f>
        <v>0</v>
      </c>
      <c r="AR71" s="3">
        <f>IF(SUM(AQ70:AR70)&lt;0,0,SUM(AQ70:AR70)*$C$71)-AQ71</f>
        <v>0</v>
      </c>
      <c r="AS71" s="3">
        <f>IF(SUM(AQ70:AS70)&lt;0,0,SUM(AQ70:AS70)*$C$71)-SUM(AQ71:AR71)</f>
        <v>0</v>
      </c>
      <c r="AT71" s="3">
        <f>IF(SUM(AQ70:AT70)&lt;0,0,SUM(AQ70:AT70)*$C$71)-SUM(AQ71:AS71)</f>
        <v>0</v>
      </c>
      <c r="AU71" s="3">
        <f>IF(SUM(AQ70:AU70)&lt;0,0,SUM(AQ70:AU70)*$C$71)-SUM(AQ71:AT71)</f>
        <v>0</v>
      </c>
      <c r="AV71" s="3">
        <f>IF(SUM(AQ70:AV70)&lt;0,0,SUM(AQ70:AV70)*$C$71)-SUM(AQ71:AU71)</f>
        <v>0</v>
      </c>
      <c r="AW71" s="3">
        <f>IF(SUM(AQ70:AW70)&lt;0,0,SUM(AQ70:AW70)*$C$71)-SUM(AQ71:AV71)</f>
        <v>0</v>
      </c>
      <c r="AX71" s="3">
        <f>IF(SUM(AQ70:AX70)&lt;0,0,SUM(AQ70:AX70)*$C$71)-SUM(AQ71:AW71)</f>
        <v>0</v>
      </c>
      <c r="AY71" s="3">
        <f>IF(SUM(AQ70:AY70)&lt;0,0,SUM(AQ70:AY70)*$C$71)-SUM(AQ71:AX71)</f>
        <v>0</v>
      </c>
      <c r="AZ71" s="3">
        <f>IF(SUM(AQ70:AZ70)&lt;0,0,SUM(AQ70:AZ70)*$C$71)-SUM(AQ71:AY71)</f>
        <v>0</v>
      </c>
      <c r="BA71" s="3">
        <f>IF(SUM(AQ70:BA70)&lt;0,0,SUM(AQ70:BA70)*$C$71)-SUM(AQ71:AZ71)</f>
        <v>0</v>
      </c>
      <c r="BB71" s="3">
        <f>IF(SUM(AQ70:BB70)&lt;0,0,SUM(AQ70:BB70)*$C$71)-SUM(AQ71:BA71)</f>
        <v>0</v>
      </c>
      <c r="BC71" s="397">
        <f t="shared" si="189"/>
        <v>0</v>
      </c>
      <c r="BD71" s="3">
        <f>IF(BD70&lt;0,0,BD70*$C$71)</f>
        <v>0</v>
      </c>
      <c r="BE71" s="3">
        <f>IF(SUM(BD70:BE70)&lt;0,0,SUM(BD70:BE70)*$C$71)-BD71</f>
        <v>0</v>
      </c>
      <c r="BF71" s="3">
        <f>IF(SUM(BD70:BF70)&lt;0,0,SUM(BD70:BF70)*$C$71)-SUM(BD71:BE71)</f>
        <v>0</v>
      </c>
      <c r="BG71" s="3">
        <f>IF(SUM(BD70:BG70)&lt;0,0,SUM(BD70:BG70)*$C$71)-SUM(BD71:BF71)</f>
        <v>0</v>
      </c>
      <c r="BH71" s="3">
        <f>IF(SUM(BD70:BH70)&lt;0,0,SUM(BD70:BH70)*$C$71)-SUM(BD71:BG71)</f>
        <v>0</v>
      </c>
      <c r="BI71" s="3">
        <f>IF(SUM(BD70:BI70)&lt;0,0,SUM(BD70:BI70)*$C$71)-SUM(BD71:BH71)</f>
        <v>0</v>
      </c>
      <c r="BJ71" s="3">
        <f>IF(SUM(BD70:BJ70)&lt;0,0,SUM(BD70:BJ70)*$C$71)-SUM(BD71:BI71)</f>
        <v>0</v>
      </c>
      <c r="BK71" s="3">
        <f>IF(SUM(BD70:BK70)&lt;0,0,SUM(BD70:BK70)*$C$71)-SUM(BD71:BJ71)</f>
        <v>0</v>
      </c>
      <c r="BL71" s="3">
        <f>IF(SUM(BD70:BL70)&lt;0,0,SUM(BD70:BL70)*$C$71)-SUM(BD71:BK71)</f>
        <v>0</v>
      </c>
      <c r="BM71" s="3">
        <f>IF(SUM(BD70:BM70)&lt;0,0,SUM(BD70:BM70)*$C$71)-SUM(BD71:BL71)</f>
        <v>0</v>
      </c>
      <c r="BN71" s="3">
        <f>IF(SUM(BD70:BN70)&lt;0,0,SUM(BD70:BN70)*$C$71)-SUM(BD71:BM71)</f>
        <v>0</v>
      </c>
      <c r="BO71" s="3">
        <f>IF(SUM(BD70:BO70)&lt;0,0,SUM(BD70:BO70)*$C$71)-SUM(BD71:BN71)</f>
        <v>0</v>
      </c>
      <c r="BP71" s="397">
        <f t="shared" si="190"/>
        <v>0</v>
      </c>
      <c r="CF71" s="296" t="s">
        <v>857</v>
      </c>
      <c r="CG71" s="12" t="s">
        <v>965</v>
      </c>
    </row>
    <row r="72" spans="1:85" s="301" customFormat="1" ht="15.6">
      <c r="A72" s="301" t="s">
        <v>676</v>
      </c>
      <c r="B72" s="380" t="s">
        <v>502</v>
      </c>
      <c r="C72" s="302"/>
      <c r="D72" s="301">
        <f t="shared" ref="D72:O72" si="201">D70+D71</f>
        <v>0</v>
      </c>
      <c r="E72" s="301">
        <f t="shared" si="201"/>
        <v>0</v>
      </c>
      <c r="F72" s="301">
        <f t="shared" si="201"/>
        <v>0</v>
      </c>
      <c r="G72" s="301">
        <f t="shared" si="201"/>
        <v>0</v>
      </c>
      <c r="H72" s="301">
        <f t="shared" si="201"/>
        <v>0</v>
      </c>
      <c r="I72" s="301">
        <f t="shared" si="201"/>
        <v>0</v>
      </c>
      <c r="J72" s="301">
        <f t="shared" si="201"/>
        <v>-0.6652043357714067</v>
      </c>
      <c r="K72" s="301">
        <f t="shared" si="201"/>
        <v>-2.0213949897013883</v>
      </c>
      <c r="L72" s="301">
        <f t="shared" si="201"/>
        <v>-3.3177633814432252</v>
      </c>
      <c r="M72" s="301">
        <f t="shared" si="201"/>
        <v>-4.8844633153006072</v>
      </c>
      <c r="N72" s="301">
        <f t="shared" si="201"/>
        <v>-6.1819636477342339</v>
      </c>
      <c r="O72" s="301">
        <f t="shared" si="201"/>
        <v>-7.9046363816328231</v>
      </c>
      <c r="P72" s="372">
        <f t="shared" si="186"/>
        <v>-24.975426051583685</v>
      </c>
      <c r="Q72" s="301">
        <f t="shared" ref="Q72:AB72" si="202">Q70+Q71</f>
        <v>-9.767857351256632</v>
      </c>
      <c r="R72" s="301">
        <f t="shared" si="202"/>
        <v>-11.928075991503098</v>
      </c>
      <c r="S72" s="301">
        <f t="shared" si="202"/>
        <v>-16.811967036979087</v>
      </c>
      <c r="T72" s="301">
        <f t="shared" si="202"/>
        <v>-19.916792188283647</v>
      </c>
      <c r="U72" s="301">
        <f t="shared" si="202"/>
        <v>-24.507208730266917</v>
      </c>
      <c r="V72" s="301">
        <f t="shared" si="202"/>
        <v>-27.664170647270421</v>
      </c>
      <c r="W72" s="301">
        <f t="shared" si="202"/>
        <v>-32.812574588626603</v>
      </c>
      <c r="X72" s="301">
        <f t="shared" si="202"/>
        <v>-37.180416645774962</v>
      </c>
      <c r="Y72" s="301">
        <f t="shared" si="202"/>
        <v>-40.339440319299882</v>
      </c>
      <c r="Z72" s="301">
        <f t="shared" si="202"/>
        <v>-46.317694443849305</v>
      </c>
      <c r="AA72" s="301">
        <f t="shared" si="202"/>
        <v>-49.427618063206346</v>
      </c>
      <c r="AB72" s="301">
        <f t="shared" si="202"/>
        <v>-55.837406566630449</v>
      </c>
      <c r="AC72" s="372">
        <f t="shared" si="187"/>
        <v>-372.5112225729473</v>
      </c>
      <c r="AD72" s="301">
        <f t="shared" ref="AD72:AO72" si="203">AD70+AD71</f>
        <v>-56.188685999481827</v>
      </c>
      <c r="AE72" s="301">
        <f t="shared" si="203"/>
        <v>-54.590125455442404</v>
      </c>
      <c r="AF72" s="301">
        <f t="shared" si="203"/>
        <v>-64.885822176660255</v>
      </c>
      <c r="AG72" s="301">
        <f t="shared" si="203"/>
        <v>-67.279188369780059</v>
      </c>
      <c r="AH72" s="301">
        <f t="shared" si="203"/>
        <v>-74.339773971183291</v>
      </c>
      <c r="AI72" s="301">
        <f t="shared" si="203"/>
        <v>-76.77307509324983</v>
      </c>
      <c r="AJ72" s="301">
        <f t="shared" si="203"/>
        <v>-84.491402014572287</v>
      </c>
      <c r="AK72" s="301">
        <f t="shared" si="203"/>
        <v>-89.809673571179303</v>
      </c>
      <c r="AL72" s="301">
        <f t="shared" si="203"/>
        <v>-92.205580040353084</v>
      </c>
      <c r="AM72" s="301">
        <f t="shared" si="203"/>
        <v>-100.89168491069476</v>
      </c>
      <c r="AN72" s="301">
        <f t="shared" si="203"/>
        <v>-103.19937254943288</v>
      </c>
      <c r="AO72" s="301">
        <f t="shared" si="203"/>
        <v>-112.35300138947662</v>
      </c>
      <c r="AP72" s="372">
        <f t="shared" si="188"/>
        <v>-977.00738554150644</v>
      </c>
      <c r="AQ72" s="301">
        <f t="shared" ref="AQ72:BB72" si="204">AQ70+AQ71</f>
        <v>-107.98908848797412</v>
      </c>
      <c r="AR72" s="301">
        <f t="shared" si="204"/>
        <v>-100.34966212990498</v>
      </c>
      <c r="AS72" s="301">
        <f t="shared" si="204"/>
        <v>-114.39266867065334</v>
      </c>
      <c r="AT72" s="301">
        <f t="shared" si="204"/>
        <v>-114.05423574898089</v>
      </c>
      <c r="AU72" s="301">
        <f t="shared" si="204"/>
        <v>-121.48459427130187</v>
      </c>
      <c r="AV72" s="301">
        <f t="shared" si="204"/>
        <v>-121.23025991919228</v>
      </c>
      <c r="AW72" s="301">
        <f t="shared" si="204"/>
        <v>-129.20892084901837</v>
      </c>
      <c r="AX72" s="301">
        <f t="shared" si="204"/>
        <v>-133.29032795430257</v>
      </c>
      <c r="AY72" s="301">
        <f t="shared" si="204"/>
        <v>-133.07245685931332</v>
      </c>
      <c r="AZ72" s="301">
        <f t="shared" si="204"/>
        <v>-141.85522328517271</v>
      </c>
      <c r="BA72" s="301">
        <f t="shared" si="204"/>
        <v>-141.60389201115592</v>
      </c>
      <c r="BB72" s="301">
        <f t="shared" si="204"/>
        <v>-150.73978887305228</v>
      </c>
      <c r="BC72" s="372">
        <f t="shared" si="189"/>
        <v>-1509.2711190600226</v>
      </c>
      <c r="BD72" s="301">
        <f t="shared" ref="BD72:BO72" si="205">BD70+BD71</f>
        <v>-141.29652239734901</v>
      </c>
      <c r="BE72" s="301">
        <f t="shared" si="205"/>
        <v>-129.31148554981095</v>
      </c>
      <c r="BF72" s="301">
        <f t="shared" si="205"/>
        <v>-145.22592856433351</v>
      </c>
      <c r="BG72" s="301">
        <f t="shared" si="205"/>
        <v>-142.71145094655873</v>
      </c>
      <c r="BH72" s="301">
        <f t="shared" si="205"/>
        <v>-149.88695556963901</v>
      </c>
      <c r="BI72" s="301">
        <f t="shared" si="205"/>
        <v>-147.5556498240133</v>
      </c>
      <c r="BJ72" s="301">
        <f t="shared" si="205"/>
        <v>-155.22295595248559</v>
      </c>
      <c r="BK72" s="301">
        <f t="shared" si="205"/>
        <v>-158.12606871687319</v>
      </c>
      <c r="BL72" s="301">
        <f t="shared" si="205"/>
        <v>-155.9770027436723</v>
      </c>
      <c r="BM72" s="301">
        <f t="shared" si="205"/>
        <v>-164.36616680061709</v>
      </c>
      <c r="BN72" s="301">
        <f t="shared" si="205"/>
        <v>-162.27925769811657</v>
      </c>
      <c r="BO72" s="301">
        <f t="shared" si="205"/>
        <v>-170.96065566921013</v>
      </c>
      <c r="BP72" s="372">
        <f t="shared" si="190"/>
        <v>-1822.9201004326796</v>
      </c>
      <c r="CF72" s="301" t="s">
        <v>940</v>
      </c>
      <c r="CG72" s="380" t="s">
        <v>965</v>
      </c>
    </row>
    <row r="73" spans="1:85" s="299" customFormat="1" ht="15.6">
      <c r="A73" s="299" t="s">
        <v>676</v>
      </c>
      <c r="B73" s="380" t="s">
        <v>628</v>
      </c>
      <c r="D73" s="299">
        <f t="shared" ref="D73:AI73" si="206">D72/500*1000</f>
        <v>0</v>
      </c>
      <c r="E73" s="299">
        <f t="shared" si="206"/>
        <v>0</v>
      </c>
      <c r="F73" s="299">
        <f t="shared" si="206"/>
        <v>0</v>
      </c>
      <c r="G73" s="299">
        <f t="shared" si="206"/>
        <v>0</v>
      </c>
      <c r="H73" s="299">
        <f t="shared" si="206"/>
        <v>0</v>
      </c>
      <c r="I73" s="299">
        <f t="shared" si="206"/>
        <v>0</v>
      </c>
      <c r="J73" s="299">
        <f t="shared" si="206"/>
        <v>-1.3304086715428134</v>
      </c>
      <c r="K73" s="299">
        <f t="shared" si="206"/>
        <v>-4.0427899794027766</v>
      </c>
      <c r="L73" s="299">
        <f t="shared" si="206"/>
        <v>-6.6355267628864505</v>
      </c>
      <c r="M73" s="299">
        <f t="shared" si="206"/>
        <v>-9.7689266306012144</v>
      </c>
      <c r="N73" s="299">
        <f t="shared" si="206"/>
        <v>-12.363927295468468</v>
      </c>
      <c r="O73" s="299">
        <f t="shared" si="206"/>
        <v>-15.809272763265648</v>
      </c>
      <c r="P73" s="299">
        <f t="shared" si="206"/>
        <v>-49.950852103167371</v>
      </c>
      <c r="Q73" s="299">
        <f t="shared" si="206"/>
        <v>-19.535714702513264</v>
      </c>
      <c r="R73" s="299">
        <f t="shared" si="206"/>
        <v>-23.856151983006196</v>
      </c>
      <c r="S73" s="299">
        <f t="shared" si="206"/>
        <v>-33.623934073958175</v>
      </c>
      <c r="T73" s="299">
        <f t="shared" si="206"/>
        <v>-39.833584376567295</v>
      </c>
      <c r="U73" s="299">
        <f t="shared" si="206"/>
        <v>-49.014417460533835</v>
      </c>
      <c r="V73" s="299">
        <f t="shared" si="206"/>
        <v>-55.328341294540841</v>
      </c>
      <c r="W73" s="299">
        <f t="shared" si="206"/>
        <v>-65.625149177253206</v>
      </c>
      <c r="X73" s="299">
        <f t="shared" si="206"/>
        <v>-74.360833291549923</v>
      </c>
      <c r="Y73" s="299">
        <f t="shared" si="206"/>
        <v>-80.678880638599765</v>
      </c>
      <c r="Z73" s="299">
        <f t="shared" si="206"/>
        <v>-92.63538888769861</v>
      </c>
      <c r="AA73" s="299">
        <f t="shared" si="206"/>
        <v>-98.855236126412692</v>
      </c>
      <c r="AB73" s="299">
        <f t="shared" si="206"/>
        <v>-111.6748131332609</v>
      </c>
      <c r="AC73" s="299">
        <f t="shared" si="206"/>
        <v>-745.02244514589461</v>
      </c>
      <c r="AD73" s="299">
        <f t="shared" si="206"/>
        <v>-112.37737199896365</v>
      </c>
      <c r="AE73" s="299">
        <f t="shared" si="206"/>
        <v>-109.18025091088481</v>
      </c>
      <c r="AF73" s="299">
        <f t="shared" si="206"/>
        <v>-129.77164435332051</v>
      </c>
      <c r="AG73" s="299">
        <f t="shared" si="206"/>
        <v>-134.55837673956012</v>
      </c>
      <c r="AH73" s="299">
        <f t="shared" si="206"/>
        <v>-148.67954794236658</v>
      </c>
      <c r="AI73" s="299">
        <f t="shared" si="206"/>
        <v>-153.54615018649966</v>
      </c>
      <c r="AJ73" s="299">
        <f t="shared" ref="AJ73:BO73" si="207">AJ72/500*1000</f>
        <v>-168.98280402914457</v>
      </c>
      <c r="AK73" s="299">
        <f t="shared" si="207"/>
        <v>-179.61934714235861</v>
      </c>
      <c r="AL73" s="299">
        <f t="shared" si="207"/>
        <v>-184.41116008070617</v>
      </c>
      <c r="AM73" s="299">
        <f t="shared" si="207"/>
        <v>-201.78336982138953</v>
      </c>
      <c r="AN73" s="299">
        <f t="shared" si="207"/>
        <v>-206.39874509886576</v>
      </c>
      <c r="AO73" s="299">
        <f t="shared" si="207"/>
        <v>-224.70600277895323</v>
      </c>
      <c r="AP73" s="299">
        <f t="shared" si="207"/>
        <v>-1954.0147710830129</v>
      </c>
      <c r="AQ73" s="299">
        <f t="shared" si="207"/>
        <v>-215.97817697594823</v>
      </c>
      <c r="AR73" s="299">
        <f t="shared" si="207"/>
        <v>-200.69932425980997</v>
      </c>
      <c r="AS73" s="299">
        <f t="shared" si="207"/>
        <v>-228.78533734130667</v>
      </c>
      <c r="AT73" s="299">
        <f t="shared" si="207"/>
        <v>-228.10847149796177</v>
      </c>
      <c r="AU73" s="299">
        <f t="shared" si="207"/>
        <v>-242.96918854260375</v>
      </c>
      <c r="AV73" s="299">
        <f t="shared" si="207"/>
        <v>-242.46051983838456</v>
      </c>
      <c r="AW73" s="299">
        <f t="shared" si="207"/>
        <v>-258.41784169803674</v>
      </c>
      <c r="AX73" s="299">
        <f t="shared" si="207"/>
        <v>-266.58065590860514</v>
      </c>
      <c r="AY73" s="299">
        <f t="shared" si="207"/>
        <v>-266.14491371862664</v>
      </c>
      <c r="AZ73" s="299">
        <f t="shared" si="207"/>
        <v>-283.71044657034543</v>
      </c>
      <c r="BA73" s="299">
        <f t="shared" si="207"/>
        <v>-283.20778402231184</v>
      </c>
      <c r="BB73" s="299">
        <f t="shared" si="207"/>
        <v>-301.47957774610455</v>
      </c>
      <c r="BC73" s="299">
        <f t="shared" si="207"/>
        <v>-3018.5422381200451</v>
      </c>
      <c r="BD73" s="299">
        <f t="shared" si="207"/>
        <v>-282.59304479469802</v>
      </c>
      <c r="BE73" s="299">
        <f t="shared" si="207"/>
        <v>-258.62297109962191</v>
      </c>
      <c r="BF73" s="299">
        <f t="shared" si="207"/>
        <v>-290.45185712866703</v>
      </c>
      <c r="BG73" s="299">
        <f t="shared" si="207"/>
        <v>-285.42290189311746</v>
      </c>
      <c r="BH73" s="299">
        <f t="shared" si="207"/>
        <v>-299.77391113927803</v>
      </c>
      <c r="BI73" s="299">
        <f t="shared" si="207"/>
        <v>-295.1112996480266</v>
      </c>
      <c r="BJ73" s="299">
        <f t="shared" si="207"/>
        <v>-310.44591190497118</v>
      </c>
      <c r="BK73" s="299">
        <f t="shared" si="207"/>
        <v>-316.25213743374638</v>
      </c>
      <c r="BL73" s="299">
        <f t="shared" si="207"/>
        <v>-311.9540054873446</v>
      </c>
      <c r="BM73" s="299">
        <f t="shared" si="207"/>
        <v>-328.73233360123419</v>
      </c>
      <c r="BN73" s="299">
        <f t="shared" si="207"/>
        <v>-324.55851539623313</v>
      </c>
      <c r="BO73" s="299">
        <f t="shared" si="207"/>
        <v>-341.92131133842025</v>
      </c>
      <c r="BP73" s="299">
        <f t="shared" ref="BP73" si="208">BP72/500*1000</f>
        <v>-3645.8402008653593</v>
      </c>
      <c r="BR73" s="60">
        <f>D73+E73+F73</f>
        <v>0</v>
      </c>
      <c r="BS73" s="60">
        <f>G73+H73+I73</f>
        <v>0</v>
      </c>
      <c r="BT73" s="60">
        <f>J73+K73+L73</f>
        <v>-12.008725413832041</v>
      </c>
      <c r="BU73" s="60">
        <f>M73+N73+O73</f>
        <v>-37.942126689335332</v>
      </c>
      <c r="BV73" s="60">
        <f>SUM(Q73:V73)</f>
        <v>-221.1921438911196</v>
      </c>
      <c r="BW73" s="60">
        <f>SUM(W73:AB73)</f>
        <v>-523.83030125477512</v>
      </c>
      <c r="BX73" s="60">
        <f>SUM(AD73:AI73)</f>
        <v>-788.11334213159523</v>
      </c>
      <c r="BY73" s="60">
        <f>SUM(AJ73:AO73)</f>
        <v>-1165.901428951418</v>
      </c>
      <c r="BZ73" s="60">
        <f>SUM(AQ73:AV73)</f>
        <v>-1359.0010184560149</v>
      </c>
      <c r="CA73" s="60">
        <f>SUM(AW73:BB73)</f>
        <v>-1659.5412196640305</v>
      </c>
      <c r="CB73" s="60">
        <f>SUM(BD73:BI73)</f>
        <v>-1711.9759857034092</v>
      </c>
      <c r="CC73" s="60">
        <f>SUM(BJ73:BO73)</f>
        <v>-1933.8642151619497</v>
      </c>
      <c r="CD73" s="301"/>
      <c r="CF73" s="299" t="s">
        <v>940</v>
      </c>
      <c r="CG73" s="380" t="s">
        <v>967</v>
      </c>
    </row>
    <row r="76" spans="1:85" s="3" customFormat="1">
      <c r="A76" s="296" t="s">
        <v>513</v>
      </c>
      <c r="B76" s="12" t="s">
        <v>809</v>
      </c>
      <c r="C76" s="5"/>
      <c r="D76" s="3">
        <f>D37/500*1000</f>
        <v>0</v>
      </c>
      <c r="E76" s="3">
        <f t="shared" ref="E76:O76" si="209">E37/500*1000</f>
        <v>0</v>
      </c>
      <c r="F76" s="3">
        <f t="shared" si="209"/>
        <v>0</v>
      </c>
      <c r="G76" s="3">
        <f t="shared" si="209"/>
        <v>0</v>
      </c>
      <c r="H76" s="3">
        <f t="shared" si="209"/>
        <v>0</v>
      </c>
      <c r="I76" s="3">
        <f t="shared" si="209"/>
        <v>0</v>
      </c>
      <c r="J76" s="3">
        <f t="shared" si="209"/>
        <v>-1.3059226223733138</v>
      </c>
      <c r="K76" s="3">
        <f t="shared" si="209"/>
        <v>-3.9683828018677558</v>
      </c>
      <c r="L76" s="3">
        <f t="shared" si="209"/>
        <v>-6.5134005034468228</v>
      </c>
      <c r="M76" s="3">
        <f t="shared" si="209"/>
        <v>-9.5891304349459769</v>
      </c>
      <c r="N76" s="3">
        <f t="shared" si="209"/>
        <v>-12.136370351380091</v>
      </c>
      <c r="O76" s="3">
        <f t="shared" si="209"/>
        <v>-15.518304552898794</v>
      </c>
      <c r="P76" s="397">
        <f t="shared" ref="P76:P90" si="210">SUM(D76:O76)</f>
        <v>-49.031511266912759</v>
      </c>
      <c r="Q76" s="3">
        <f>Q37/500*1000</f>
        <v>-19.15098509130403</v>
      </c>
      <c r="R76" s="3">
        <f t="shared" ref="R76:AB76" si="211">R37/500*1000</f>
        <v>-23.386337173712857</v>
      </c>
      <c r="S76" s="3">
        <f t="shared" si="211"/>
        <v>-32.96175594121064</v>
      </c>
      <c r="T76" s="3">
        <f t="shared" si="211"/>
        <v>-39.049115537641462</v>
      </c>
      <c r="U76" s="3">
        <f t="shared" si="211"/>
        <v>-48.049144468969715</v>
      </c>
      <c r="V76" s="3">
        <f t="shared" si="211"/>
        <v>-54.238724069921872</v>
      </c>
      <c r="W76" s="3">
        <f t="shared" si="211"/>
        <v>-64.332750178138809</v>
      </c>
      <c r="X76" s="3">
        <f t="shared" si="211"/>
        <v>-72.8963967497032</v>
      </c>
      <c r="Y76" s="3">
        <f t="shared" si="211"/>
        <v>-79.090018656657975</v>
      </c>
      <c r="Z76" s="3">
        <f t="shared" si="211"/>
        <v>-90.811059566059029</v>
      </c>
      <c r="AA76" s="3">
        <f t="shared" si="211"/>
        <v>-96.908415283660588</v>
      </c>
      <c r="AB76" s="3">
        <f t="shared" si="211"/>
        <v>-109.47552797308727</v>
      </c>
      <c r="AC76" s="397">
        <f t="shared" ref="AC76:AC90" si="212">SUM(Q76:AB76)</f>
        <v>-730.35023069006752</v>
      </c>
      <c r="AD76" s="3">
        <f>AD37/500*1000</f>
        <v>-110.00840102339966</v>
      </c>
      <c r="AE76" s="3">
        <f t="shared" ref="AE76:AO76" si="213">AE37/500*1000</f>
        <v>-106.88915719692821</v>
      </c>
      <c r="AF76" s="3">
        <f t="shared" si="213"/>
        <v>-127.06090979930882</v>
      </c>
      <c r="AG76" s="3">
        <f t="shared" si="213"/>
        <v>-131.76057604626993</v>
      </c>
      <c r="AH76" s="3">
        <f t="shared" si="213"/>
        <v>-145.60241360045001</v>
      </c>
      <c r="AI76" s="3">
        <f t="shared" si="213"/>
        <v>-150.38304526800201</v>
      </c>
      <c r="AJ76" s="3">
        <f t="shared" si="213"/>
        <v>-165.51793538967718</v>
      </c>
      <c r="AK76" s="3">
        <f t="shared" si="213"/>
        <v>-175.95364618026966</v>
      </c>
      <c r="AL76" s="3">
        <f t="shared" si="213"/>
        <v>-180.66539321418608</v>
      </c>
      <c r="AM76" s="3">
        <f t="shared" si="213"/>
        <v>-197.70413781126135</v>
      </c>
      <c r="AN76" s="3">
        <f t="shared" si="213"/>
        <v>-202.24605663628185</v>
      </c>
      <c r="AO76" s="3">
        <f t="shared" si="213"/>
        <v>-220.20658929574685</v>
      </c>
      <c r="AP76" s="397">
        <f t="shared" ref="AP76:AP90" si="214">SUM(AD76:AO76)</f>
        <v>-1913.9982614617813</v>
      </c>
      <c r="AQ76" s="3">
        <f>AQ37/500*1000</f>
        <v>-211.32337604951044</v>
      </c>
      <c r="AR76" s="3">
        <f t="shared" ref="AR76:BB76" si="215">AR37/500*1000</f>
        <v>-196.39466684841884</v>
      </c>
      <c r="AS76" s="3">
        <f t="shared" si="215"/>
        <v>-223.90205680550943</v>
      </c>
      <c r="AT76" s="3">
        <f t="shared" si="215"/>
        <v>-223.26334678475104</v>
      </c>
      <c r="AU76" s="3">
        <f t="shared" si="215"/>
        <v>-237.83367409544726</v>
      </c>
      <c r="AV76" s="3">
        <f t="shared" si="215"/>
        <v>-237.36096779589462</v>
      </c>
      <c r="AW76" s="3">
        <f t="shared" si="215"/>
        <v>-253.00954308818723</v>
      </c>
      <c r="AX76" s="3">
        <f t="shared" si="215"/>
        <v>-261.02925253439281</v>
      </c>
      <c r="AY76" s="3">
        <f t="shared" si="215"/>
        <v>-260.63027572318174</v>
      </c>
      <c r="AZ76" s="3">
        <f t="shared" si="215"/>
        <v>-277.86136828823629</v>
      </c>
      <c r="BA76" s="3">
        <f t="shared" si="215"/>
        <v>-277.39854793810457</v>
      </c>
      <c r="BB76" s="3">
        <f t="shared" si="215"/>
        <v>-295.32693330230649</v>
      </c>
      <c r="BC76" s="397">
        <f t="shared" ref="BC76:BC90" si="216">SUM(AQ76:BB76)</f>
        <v>-2955.3340092539406</v>
      </c>
      <c r="BD76" s="3">
        <f>BD37/500*1000</f>
        <v>-276.34518375108331</v>
      </c>
      <c r="BE76" s="3">
        <f t="shared" ref="BE76:BO76" si="217">BE37/500*1000</f>
        <v>-252.93434358064431</v>
      </c>
      <c r="BF76" s="3">
        <f t="shared" si="217"/>
        <v>-284.09601586464964</v>
      </c>
      <c r="BG76" s="3">
        <f t="shared" si="217"/>
        <v>-279.20943436695882</v>
      </c>
      <c r="BH76" s="3">
        <f t="shared" si="217"/>
        <v>-293.28199204454205</v>
      </c>
      <c r="BI76" s="3">
        <f t="shared" si="217"/>
        <v>-288.75379423517819</v>
      </c>
      <c r="BJ76" s="3">
        <f t="shared" si="217"/>
        <v>-303.7932426471906</v>
      </c>
      <c r="BK76" s="3">
        <f t="shared" si="217"/>
        <v>-309.51089632070079</v>
      </c>
      <c r="BL76" s="3">
        <f t="shared" si="217"/>
        <v>-305.33975650064735</v>
      </c>
      <c r="BM76" s="3">
        <f t="shared" si="217"/>
        <v>-321.79962390072149</v>
      </c>
      <c r="BN76" s="3">
        <f t="shared" si="217"/>
        <v>-317.75064759153753</v>
      </c>
      <c r="BO76" s="3">
        <f t="shared" si="217"/>
        <v>-334.78804336891216</v>
      </c>
      <c r="BP76" s="397">
        <f t="shared" ref="BP76:BP90" si="218">SUM(BD76:BO76)</f>
        <v>-3567.6029741727662</v>
      </c>
      <c r="CF76" s="296" t="s">
        <v>871</v>
      </c>
      <c r="CG76" s="12" t="s">
        <v>967</v>
      </c>
    </row>
    <row r="77" spans="1:85" s="5" customFormat="1" outlineLevel="1">
      <c r="A77" s="297" t="s">
        <v>466</v>
      </c>
      <c r="B77" s="12" t="s">
        <v>809</v>
      </c>
      <c r="D77" s="3">
        <f t="shared" ref="D77:O111" si="219">D38/500*1000</f>
        <v>0</v>
      </c>
      <c r="E77" s="3">
        <f t="shared" si="219"/>
        <v>0</v>
      </c>
      <c r="F77" s="3">
        <f t="shared" si="219"/>
        <v>0</v>
      </c>
      <c r="G77" s="3">
        <f t="shared" si="219"/>
        <v>0</v>
      </c>
      <c r="H77" s="3">
        <f t="shared" si="219"/>
        <v>0</v>
      </c>
      <c r="I77" s="3">
        <f t="shared" si="219"/>
        <v>0</v>
      </c>
      <c r="J77" s="3">
        <f t="shared" si="219"/>
        <v>0</v>
      </c>
      <c r="K77" s="3">
        <f t="shared" si="219"/>
        <v>0</v>
      </c>
      <c r="L77" s="3">
        <f t="shared" si="219"/>
        <v>0</v>
      </c>
      <c r="M77" s="3">
        <f t="shared" si="219"/>
        <v>0</v>
      </c>
      <c r="N77" s="3">
        <f t="shared" si="219"/>
        <v>0</v>
      </c>
      <c r="O77" s="3">
        <f t="shared" si="219"/>
        <v>0</v>
      </c>
      <c r="P77" s="383">
        <f t="shared" si="210"/>
        <v>0</v>
      </c>
      <c r="Q77" s="3">
        <f t="shared" ref="Q77:AB92" si="220">Q38/500*1000</f>
        <v>0</v>
      </c>
      <c r="R77" s="3">
        <f t="shared" si="220"/>
        <v>0</v>
      </c>
      <c r="S77" s="3">
        <f t="shared" si="220"/>
        <v>0</v>
      </c>
      <c r="T77" s="3">
        <f t="shared" si="220"/>
        <v>0</v>
      </c>
      <c r="U77" s="3">
        <f t="shared" si="220"/>
        <v>0</v>
      </c>
      <c r="V77" s="3">
        <f t="shared" si="220"/>
        <v>0</v>
      </c>
      <c r="W77" s="3">
        <f t="shared" si="220"/>
        <v>0</v>
      </c>
      <c r="X77" s="3">
        <f t="shared" si="220"/>
        <v>0</v>
      </c>
      <c r="Y77" s="3">
        <f t="shared" si="220"/>
        <v>0</v>
      </c>
      <c r="Z77" s="3">
        <f t="shared" si="220"/>
        <v>0</v>
      </c>
      <c r="AA77" s="3">
        <f t="shared" si="220"/>
        <v>0</v>
      </c>
      <c r="AB77" s="3">
        <f t="shared" si="220"/>
        <v>0</v>
      </c>
      <c r="AC77" s="383">
        <f t="shared" si="212"/>
        <v>0</v>
      </c>
      <c r="AD77" s="3">
        <f t="shared" ref="AD77:AO92" si="221">AD38/500*1000</f>
        <v>0</v>
      </c>
      <c r="AE77" s="3">
        <f t="shared" si="221"/>
        <v>0</v>
      </c>
      <c r="AF77" s="3">
        <f t="shared" si="221"/>
        <v>0</v>
      </c>
      <c r="AG77" s="3">
        <f t="shared" si="221"/>
        <v>0</v>
      </c>
      <c r="AH77" s="3">
        <f t="shared" si="221"/>
        <v>0</v>
      </c>
      <c r="AI77" s="3">
        <f t="shared" si="221"/>
        <v>0</v>
      </c>
      <c r="AJ77" s="3">
        <f t="shared" si="221"/>
        <v>0</v>
      </c>
      <c r="AK77" s="3">
        <f t="shared" si="221"/>
        <v>0</v>
      </c>
      <c r="AL77" s="3">
        <f t="shared" si="221"/>
        <v>0</v>
      </c>
      <c r="AM77" s="3">
        <f t="shared" si="221"/>
        <v>0</v>
      </c>
      <c r="AN77" s="3">
        <f t="shared" si="221"/>
        <v>0</v>
      </c>
      <c r="AO77" s="3">
        <f t="shared" si="221"/>
        <v>0</v>
      </c>
      <c r="AP77" s="383">
        <f t="shared" si="214"/>
        <v>0</v>
      </c>
      <c r="AQ77" s="3">
        <f t="shared" ref="AQ77:BB92" si="222">AQ38/500*1000</f>
        <v>0</v>
      </c>
      <c r="AR77" s="3">
        <f t="shared" si="222"/>
        <v>0</v>
      </c>
      <c r="AS77" s="3">
        <f t="shared" si="222"/>
        <v>0</v>
      </c>
      <c r="AT77" s="3">
        <f t="shared" si="222"/>
        <v>0</v>
      </c>
      <c r="AU77" s="3">
        <f t="shared" si="222"/>
        <v>0</v>
      </c>
      <c r="AV77" s="3">
        <f t="shared" si="222"/>
        <v>0</v>
      </c>
      <c r="AW77" s="3">
        <f t="shared" si="222"/>
        <v>0</v>
      </c>
      <c r="AX77" s="3">
        <f t="shared" si="222"/>
        <v>0</v>
      </c>
      <c r="AY77" s="3">
        <f t="shared" si="222"/>
        <v>0</v>
      </c>
      <c r="AZ77" s="3">
        <f t="shared" si="222"/>
        <v>0</v>
      </c>
      <c r="BA77" s="3">
        <f t="shared" si="222"/>
        <v>0</v>
      </c>
      <c r="BB77" s="3">
        <f t="shared" si="222"/>
        <v>0</v>
      </c>
      <c r="BC77" s="383">
        <f t="shared" si="216"/>
        <v>0</v>
      </c>
      <c r="BD77" s="3">
        <f t="shared" ref="BD77:BO92" si="223">BD38/500*1000</f>
        <v>0</v>
      </c>
      <c r="BE77" s="3">
        <f t="shared" si="223"/>
        <v>0</v>
      </c>
      <c r="BF77" s="3">
        <f t="shared" si="223"/>
        <v>0</v>
      </c>
      <c r="BG77" s="3">
        <f t="shared" si="223"/>
        <v>0</v>
      </c>
      <c r="BH77" s="3">
        <f t="shared" si="223"/>
        <v>0</v>
      </c>
      <c r="BI77" s="3">
        <f t="shared" si="223"/>
        <v>0</v>
      </c>
      <c r="BJ77" s="3">
        <f t="shared" si="223"/>
        <v>0</v>
      </c>
      <c r="BK77" s="3">
        <f t="shared" si="223"/>
        <v>0</v>
      </c>
      <c r="BL77" s="3">
        <f t="shared" si="223"/>
        <v>0</v>
      </c>
      <c r="BM77" s="3">
        <f t="shared" si="223"/>
        <v>0</v>
      </c>
      <c r="BN77" s="3">
        <f t="shared" si="223"/>
        <v>0</v>
      </c>
      <c r="BO77" s="3">
        <f t="shared" si="223"/>
        <v>0</v>
      </c>
      <c r="BP77" s="383">
        <f t="shared" si="218"/>
        <v>0</v>
      </c>
      <c r="CF77" s="297" t="s">
        <v>861</v>
      </c>
      <c r="CG77" s="12" t="s">
        <v>967</v>
      </c>
    </row>
    <row r="78" spans="1:85" s="5" customFormat="1" outlineLevel="1">
      <c r="A78" s="297" t="s">
        <v>158</v>
      </c>
      <c r="B78" s="12" t="s">
        <v>809</v>
      </c>
      <c r="D78" s="3">
        <f t="shared" si="219"/>
        <v>0</v>
      </c>
      <c r="E78" s="3">
        <f t="shared" si="219"/>
        <v>0</v>
      </c>
      <c r="F78" s="3">
        <f t="shared" si="219"/>
        <v>0</v>
      </c>
      <c r="G78" s="3">
        <f t="shared" si="219"/>
        <v>0</v>
      </c>
      <c r="H78" s="3">
        <f t="shared" si="219"/>
        <v>0</v>
      </c>
      <c r="I78" s="3">
        <f t="shared" si="219"/>
        <v>0</v>
      </c>
      <c r="J78" s="3">
        <f t="shared" si="219"/>
        <v>-1.3059226223733138</v>
      </c>
      <c r="K78" s="3">
        <f t="shared" si="219"/>
        <v>-3.9683828018677558</v>
      </c>
      <c r="L78" s="3">
        <f t="shared" si="219"/>
        <v>-6.5134005034468228</v>
      </c>
      <c r="M78" s="3">
        <f t="shared" si="219"/>
        <v>-9.5891304349459769</v>
      </c>
      <c r="N78" s="3">
        <f t="shared" si="219"/>
        <v>-12.136370351380091</v>
      </c>
      <c r="O78" s="3">
        <f t="shared" si="219"/>
        <v>-15.518304552898794</v>
      </c>
      <c r="P78" s="383">
        <f t="shared" si="210"/>
        <v>-49.031511266912759</v>
      </c>
      <c r="Q78" s="3">
        <f t="shared" si="220"/>
        <v>-19.15098509130403</v>
      </c>
      <c r="R78" s="3">
        <f t="shared" si="220"/>
        <v>-23.386337173712857</v>
      </c>
      <c r="S78" s="3">
        <f t="shared" si="220"/>
        <v>-32.96175594121064</v>
      </c>
      <c r="T78" s="3">
        <f t="shared" si="220"/>
        <v>-39.049115537641462</v>
      </c>
      <c r="U78" s="3">
        <f t="shared" si="220"/>
        <v>-48.049144468969715</v>
      </c>
      <c r="V78" s="3">
        <f t="shared" si="220"/>
        <v>-54.238724069921872</v>
      </c>
      <c r="W78" s="3">
        <f t="shared" si="220"/>
        <v>-64.332750178138809</v>
      </c>
      <c r="X78" s="3">
        <f t="shared" si="220"/>
        <v>-72.8963967497032</v>
      </c>
      <c r="Y78" s="3">
        <f t="shared" si="220"/>
        <v>-79.090018656657975</v>
      </c>
      <c r="Z78" s="3">
        <f t="shared" si="220"/>
        <v>-90.811059566059029</v>
      </c>
      <c r="AA78" s="3">
        <f t="shared" si="220"/>
        <v>-96.908415283660588</v>
      </c>
      <c r="AB78" s="3">
        <f t="shared" si="220"/>
        <v>-109.47552797308727</v>
      </c>
      <c r="AC78" s="383">
        <f t="shared" si="212"/>
        <v>-730.35023069006752</v>
      </c>
      <c r="AD78" s="3">
        <f t="shared" si="221"/>
        <v>-110.00840102339966</v>
      </c>
      <c r="AE78" s="3">
        <f t="shared" si="221"/>
        <v>-106.88915719692821</v>
      </c>
      <c r="AF78" s="3">
        <f t="shared" si="221"/>
        <v>-127.06090979930882</v>
      </c>
      <c r="AG78" s="3">
        <f t="shared" si="221"/>
        <v>-131.76057604626993</v>
      </c>
      <c r="AH78" s="3">
        <f t="shared" si="221"/>
        <v>-145.60241360045001</v>
      </c>
      <c r="AI78" s="3">
        <f t="shared" si="221"/>
        <v>-150.38304526800201</v>
      </c>
      <c r="AJ78" s="3">
        <f t="shared" si="221"/>
        <v>-165.51793538967718</v>
      </c>
      <c r="AK78" s="3">
        <f t="shared" si="221"/>
        <v>-175.95364618026966</v>
      </c>
      <c r="AL78" s="3">
        <f t="shared" si="221"/>
        <v>-180.66539321418608</v>
      </c>
      <c r="AM78" s="3">
        <f t="shared" si="221"/>
        <v>-197.70413781126135</v>
      </c>
      <c r="AN78" s="3">
        <f t="shared" si="221"/>
        <v>-202.24605663628185</v>
      </c>
      <c r="AO78" s="3">
        <f t="shared" si="221"/>
        <v>-220.20658929574685</v>
      </c>
      <c r="AP78" s="383">
        <f t="shared" si="214"/>
        <v>-1913.9982614617813</v>
      </c>
      <c r="AQ78" s="3">
        <f t="shared" si="222"/>
        <v>-211.32337604951044</v>
      </c>
      <c r="AR78" s="3">
        <f t="shared" si="222"/>
        <v>-196.39466684841884</v>
      </c>
      <c r="AS78" s="3">
        <f t="shared" si="222"/>
        <v>-223.90205680550943</v>
      </c>
      <c r="AT78" s="3">
        <f t="shared" si="222"/>
        <v>-223.26334678475104</v>
      </c>
      <c r="AU78" s="3">
        <f t="shared" si="222"/>
        <v>-237.83367409544726</v>
      </c>
      <c r="AV78" s="3">
        <f t="shared" si="222"/>
        <v>-237.36096779589462</v>
      </c>
      <c r="AW78" s="3">
        <f t="shared" si="222"/>
        <v>-253.00954308818723</v>
      </c>
      <c r="AX78" s="3">
        <f t="shared" si="222"/>
        <v>-261.02925253439281</v>
      </c>
      <c r="AY78" s="3">
        <f t="shared" si="222"/>
        <v>-260.63027572318174</v>
      </c>
      <c r="AZ78" s="3">
        <f t="shared" si="222"/>
        <v>-277.86136828823629</v>
      </c>
      <c r="BA78" s="3">
        <f t="shared" si="222"/>
        <v>-277.39854793810457</v>
      </c>
      <c r="BB78" s="3">
        <f t="shared" si="222"/>
        <v>-295.32693330230649</v>
      </c>
      <c r="BC78" s="383">
        <f t="shared" si="216"/>
        <v>-2955.3340092539406</v>
      </c>
      <c r="BD78" s="3">
        <f t="shared" si="223"/>
        <v>-276.34518375108331</v>
      </c>
      <c r="BE78" s="3">
        <f t="shared" si="223"/>
        <v>-252.93434358064431</v>
      </c>
      <c r="BF78" s="3">
        <f t="shared" si="223"/>
        <v>-284.09601586464964</v>
      </c>
      <c r="BG78" s="3">
        <f t="shared" si="223"/>
        <v>-279.20943436695882</v>
      </c>
      <c r="BH78" s="3">
        <f t="shared" si="223"/>
        <v>-293.28199204454205</v>
      </c>
      <c r="BI78" s="3">
        <f t="shared" si="223"/>
        <v>-288.75379423517819</v>
      </c>
      <c r="BJ78" s="3">
        <f t="shared" si="223"/>
        <v>-303.7932426471906</v>
      </c>
      <c r="BK78" s="3">
        <f t="shared" si="223"/>
        <v>-309.51089632070079</v>
      </c>
      <c r="BL78" s="3">
        <f t="shared" si="223"/>
        <v>-305.33975650064735</v>
      </c>
      <c r="BM78" s="3">
        <f t="shared" si="223"/>
        <v>-321.79962390072149</v>
      </c>
      <c r="BN78" s="3">
        <f t="shared" si="223"/>
        <v>-317.75064759153753</v>
      </c>
      <c r="BO78" s="3">
        <f t="shared" si="223"/>
        <v>-334.78804336891216</v>
      </c>
      <c r="BP78" s="383">
        <f t="shared" si="218"/>
        <v>-3567.6029741727662</v>
      </c>
      <c r="CF78" s="297" t="s">
        <v>867</v>
      </c>
      <c r="CG78" s="12" t="s">
        <v>967</v>
      </c>
    </row>
    <row r="79" spans="1:85" s="3" customFormat="1">
      <c r="A79" s="296" t="s">
        <v>514</v>
      </c>
      <c r="B79" s="12" t="s">
        <v>809</v>
      </c>
      <c r="C79" s="5"/>
      <c r="D79" s="3">
        <f t="shared" si="219"/>
        <v>0</v>
      </c>
      <c r="E79" s="3">
        <f t="shared" si="219"/>
        <v>0</v>
      </c>
      <c r="F79" s="3">
        <f t="shared" si="219"/>
        <v>0</v>
      </c>
      <c r="G79" s="3">
        <f t="shared" si="219"/>
        <v>0</v>
      </c>
      <c r="H79" s="3">
        <f t="shared" si="219"/>
        <v>0</v>
      </c>
      <c r="I79" s="3">
        <f t="shared" si="219"/>
        <v>0</v>
      </c>
      <c r="J79" s="3">
        <f t="shared" si="219"/>
        <v>0</v>
      </c>
      <c r="K79" s="3">
        <f t="shared" si="219"/>
        <v>0</v>
      </c>
      <c r="L79" s="3">
        <f t="shared" si="219"/>
        <v>0</v>
      </c>
      <c r="M79" s="3">
        <f t="shared" si="219"/>
        <v>0</v>
      </c>
      <c r="N79" s="3">
        <f t="shared" si="219"/>
        <v>0</v>
      </c>
      <c r="O79" s="3">
        <f t="shared" si="219"/>
        <v>0</v>
      </c>
      <c r="P79" s="397">
        <f t="shared" si="210"/>
        <v>0</v>
      </c>
      <c r="Q79" s="3">
        <f t="shared" si="220"/>
        <v>0</v>
      </c>
      <c r="R79" s="3">
        <f t="shared" si="220"/>
        <v>0</v>
      </c>
      <c r="S79" s="3">
        <f t="shared" si="220"/>
        <v>0</v>
      </c>
      <c r="T79" s="3">
        <f t="shared" si="220"/>
        <v>0</v>
      </c>
      <c r="U79" s="3">
        <f t="shared" si="220"/>
        <v>0</v>
      </c>
      <c r="V79" s="3">
        <f t="shared" si="220"/>
        <v>0</v>
      </c>
      <c r="W79" s="3">
        <f t="shared" si="220"/>
        <v>0</v>
      </c>
      <c r="X79" s="3">
        <f t="shared" si="220"/>
        <v>0</v>
      </c>
      <c r="Y79" s="3">
        <f t="shared" si="220"/>
        <v>0</v>
      </c>
      <c r="Z79" s="3">
        <f t="shared" si="220"/>
        <v>0</v>
      </c>
      <c r="AA79" s="3">
        <f t="shared" si="220"/>
        <v>0</v>
      </c>
      <c r="AB79" s="3">
        <f t="shared" si="220"/>
        <v>0</v>
      </c>
      <c r="AC79" s="397">
        <f t="shared" si="212"/>
        <v>0</v>
      </c>
      <c r="AD79" s="3">
        <f t="shared" si="221"/>
        <v>0</v>
      </c>
      <c r="AE79" s="3">
        <f t="shared" si="221"/>
        <v>0</v>
      </c>
      <c r="AF79" s="3">
        <f t="shared" si="221"/>
        <v>0</v>
      </c>
      <c r="AG79" s="3">
        <f t="shared" si="221"/>
        <v>0</v>
      </c>
      <c r="AH79" s="3">
        <f t="shared" si="221"/>
        <v>0</v>
      </c>
      <c r="AI79" s="3">
        <f t="shared" si="221"/>
        <v>0</v>
      </c>
      <c r="AJ79" s="3">
        <f t="shared" si="221"/>
        <v>0</v>
      </c>
      <c r="AK79" s="3">
        <f t="shared" si="221"/>
        <v>0</v>
      </c>
      <c r="AL79" s="3">
        <f t="shared" si="221"/>
        <v>0</v>
      </c>
      <c r="AM79" s="3">
        <f t="shared" si="221"/>
        <v>0</v>
      </c>
      <c r="AN79" s="3">
        <f t="shared" si="221"/>
        <v>0</v>
      </c>
      <c r="AO79" s="3">
        <f t="shared" si="221"/>
        <v>0</v>
      </c>
      <c r="AP79" s="397">
        <f t="shared" si="214"/>
        <v>0</v>
      </c>
      <c r="AQ79" s="3">
        <f t="shared" si="222"/>
        <v>0</v>
      </c>
      <c r="AR79" s="3">
        <f t="shared" si="222"/>
        <v>0</v>
      </c>
      <c r="AS79" s="3">
        <f t="shared" si="222"/>
        <v>0</v>
      </c>
      <c r="AT79" s="3">
        <f t="shared" si="222"/>
        <v>0</v>
      </c>
      <c r="AU79" s="3">
        <f t="shared" si="222"/>
        <v>0</v>
      </c>
      <c r="AV79" s="3">
        <f t="shared" si="222"/>
        <v>0</v>
      </c>
      <c r="AW79" s="3">
        <f t="shared" si="222"/>
        <v>0</v>
      </c>
      <c r="AX79" s="3">
        <f t="shared" si="222"/>
        <v>0</v>
      </c>
      <c r="AY79" s="3">
        <f t="shared" si="222"/>
        <v>0</v>
      </c>
      <c r="AZ79" s="3">
        <f t="shared" si="222"/>
        <v>0</v>
      </c>
      <c r="BA79" s="3">
        <f t="shared" si="222"/>
        <v>0</v>
      </c>
      <c r="BB79" s="3">
        <f t="shared" si="222"/>
        <v>0</v>
      </c>
      <c r="BC79" s="397">
        <f t="shared" si="216"/>
        <v>0</v>
      </c>
      <c r="BD79" s="3">
        <f t="shared" si="223"/>
        <v>0</v>
      </c>
      <c r="BE79" s="3">
        <f t="shared" si="223"/>
        <v>0</v>
      </c>
      <c r="BF79" s="3">
        <f t="shared" si="223"/>
        <v>0</v>
      </c>
      <c r="BG79" s="3">
        <f t="shared" si="223"/>
        <v>0</v>
      </c>
      <c r="BH79" s="3">
        <f t="shared" si="223"/>
        <v>0</v>
      </c>
      <c r="BI79" s="3">
        <f t="shared" si="223"/>
        <v>0</v>
      </c>
      <c r="BJ79" s="3">
        <f t="shared" si="223"/>
        <v>0</v>
      </c>
      <c r="BK79" s="3">
        <f t="shared" si="223"/>
        <v>0</v>
      </c>
      <c r="BL79" s="3">
        <f t="shared" si="223"/>
        <v>0</v>
      </c>
      <c r="BM79" s="3">
        <f t="shared" si="223"/>
        <v>0</v>
      </c>
      <c r="BN79" s="3">
        <f t="shared" si="223"/>
        <v>0</v>
      </c>
      <c r="BO79" s="3">
        <f t="shared" si="223"/>
        <v>0</v>
      </c>
      <c r="BP79" s="397">
        <f t="shared" si="218"/>
        <v>0</v>
      </c>
      <c r="CF79" s="296" t="s">
        <v>870</v>
      </c>
      <c r="CG79" s="12" t="s">
        <v>967</v>
      </c>
    </row>
    <row r="80" spans="1:85" s="5" customFormat="1" outlineLevel="1">
      <c r="A80" s="297" t="s">
        <v>275</v>
      </c>
      <c r="B80" s="12" t="s">
        <v>809</v>
      </c>
      <c r="D80" s="3">
        <f t="shared" si="219"/>
        <v>0</v>
      </c>
      <c r="E80" s="3">
        <f t="shared" si="219"/>
        <v>0</v>
      </c>
      <c r="F80" s="3">
        <f t="shared" si="219"/>
        <v>0</v>
      </c>
      <c r="G80" s="3">
        <f t="shared" si="219"/>
        <v>0</v>
      </c>
      <c r="H80" s="3">
        <f t="shared" si="219"/>
        <v>0</v>
      </c>
      <c r="I80" s="3">
        <f t="shared" si="219"/>
        <v>0</v>
      </c>
      <c r="J80" s="3">
        <f t="shared" si="219"/>
        <v>0</v>
      </c>
      <c r="K80" s="3">
        <f t="shared" si="219"/>
        <v>0</v>
      </c>
      <c r="L80" s="3">
        <f t="shared" si="219"/>
        <v>0</v>
      </c>
      <c r="M80" s="3">
        <f t="shared" si="219"/>
        <v>0</v>
      </c>
      <c r="N80" s="3">
        <f t="shared" si="219"/>
        <v>0</v>
      </c>
      <c r="O80" s="3">
        <f t="shared" si="219"/>
        <v>0</v>
      </c>
      <c r="P80" s="383">
        <f t="shared" si="210"/>
        <v>0</v>
      </c>
      <c r="Q80" s="3">
        <f t="shared" si="220"/>
        <v>0</v>
      </c>
      <c r="R80" s="3">
        <f t="shared" si="220"/>
        <v>0</v>
      </c>
      <c r="S80" s="3">
        <f t="shared" si="220"/>
        <v>0</v>
      </c>
      <c r="T80" s="3">
        <f t="shared" si="220"/>
        <v>0</v>
      </c>
      <c r="U80" s="3">
        <f t="shared" si="220"/>
        <v>0</v>
      </c>
      <c r="V80" s="3">
        <f t="shared" si="220"/>
        <v>0</v>
      </c>
      <c r="W80" s="3">
        <f t="shared" si="220"/>
        <v>0</v>
      </c>
      <c r="X80" s="3">
        <f t="shared" si="220"/>
        <v>0</v>
      </c>
      <c r="Y80" s="3">
        <f t="shared" si="220"/>
        <v>0</v>
      </c>
      <c r="Z80" s="3">
        <f t="shared" si="220"/>
        <v>0</v>
      </c>
      <c r="AA80" s="3">
        <f t="shared" si="220"/>
        <v>0</v>
      </c>
      <c r="AB80" s="3">
        <f t="shared" si="220"/>
        <v>0</v>
      </c>
      <c r="AC80" s="383">
        <f t="shared" si="212"/>
        <v>0</v>
      </c>
      <c r="AD80" s="3">
        <f t="shared" si="221"/>
        <v>0</v>
      </c>
      <c r="AE80" s="3">
        <f t="shared" si="221"/>
        <v>0</v>
      </c>
      <c r="AF80" s="3">
        <f t="shared" si="221"/>
        <v>0</v>
      </c>
      <c r="AG80" s="3">
        <f t="shared" si="221"/>
        <v>0</v>
      </c>
      <c r="AH80" s="3">
        <f t="shared" si="221"/>
        <v>0</v>
      </c>
      <c r="AI80" s="3">
        <f t="shared" si="221"/>
        <v>0</v>
      </c>
      <c r="AJ80" s="3">
        <f t="shared" si="221"/>
        <v>0</v>
      </c>
      <c r="AK80" s="3">
        <f t="shared" si="221"/>
        <v>0</v>
      </c>
      <c r="AL80" s="3">
        <f t="shared" si="221"/>
        <v>0</v>
      </c>
      <c r="AM80" s="3">
        <f t="shared" si="221"/>
        <v>0</v>
      </c>
      <c r="AN80" s="3">
        <f t="shared" si="221"/>
        <v>0</v>
      </c>
      <c r="AO80" s="3">
        <f t="shared" si="221"/>
        <v>0</v>
      </c>
      <c r="AP80" s="383">
        <f t="shared" si="214"/>
        <v>0</v>
      </c>
      <c r="AQ80" s="3">
        <f t="shared" si="222"/>
        <v>0</v>
      </c>
      <c r="AR80" s="3">
        <f t="shared" si="222"/>
        <v>0</v>
      </c>
      <c r="AS80" s="3">
        <f t="shared" si="222"/>
        <v>0</v>
      </c>
      <c r="AT80" s="3">
        <f t="shared" si="222"/>
        <v>0</v>
      </c>
      <c r="AU80" s="3">
        <f t="shared" si="222"/>
        <v>0</v>
      </c>
      <c r="AV80" s="3">
        <f t="shared" si="222"/>
        <v>0</v>
      </c>
      <c r="AW80" s="3">
        <f t="shared" si="222"/>
        <v>0</v>
      </c>
      <c r="AX80" s="3">
        <f t="shared" si="222"/>
        <v>0</v>
      </c>
      <c r="AY80" s="3">
        <f t="shared" si="222"/>
        <v>0</v>
      </c>
      <c r="AZ80" s="3">
        <f t="shared" si="222"/>
        <v>0</v>
      </c>
      <c r="BA80" s="3">
        <f t="shared" si="222"/>
        <v>0</v>
      </c>
      <c r="BB80" s="3">
        <f t="shared" si="222"/>
        <v>0</v>
      </c>
      <c r="BC80" s="383">
        <f t="shared" si="216"/>
        <v>0</v>
      </c>
      <c r="BD80" s="3">
        <f t="shared" si="223"/>
        <v>0</v>
      </c>
      <c r="BE80" s="3">
        <f t="shared" si="223"/>
        <v>0</v>
      </c>
      <c r="BF80" s="3">
        <f t="shared" si="223"/>
        <v>0</v>
      </c>
      <c r="BG80" s="3">
        <f t="shared" si="223"/>
        <v>0</v>
      </c>
      <c r="BH80" s="3">
        <f t="shared" si="223"/>
        <v>0</v>
      </c>
      <c r="BI80" s="3">
        <f t="shared" si="223"/>
        <v>0</v>
      </c>
      <c r="BJ80" s="3">
        <f t="shared" si="223"/>
        <v>0</v>
      </c>
      <c r="BK80" s="3">
        <f t="shared" si="223"/>
        <v>0</v>
      </c>
      <c r="BL80" s="3">
        <f t="shared" si="223"/>
        <v>0</v>
      </c>
      <c r="BM80" s="3">
        <f t="shared" si="223"/>
        <v>0</v>
      </c>
      <c r="BN80" s="3">
        <f t="shared" si="223"/>
        <v>0</v>
      </c>
      <c r="BO80" s="3">
        <f t="shared" si="223"/>
        <v>0</v>
      </c>
      <c r="BP80" s="383">
        <f t="shared" si="218"/>
        <v>0</v>
      </c>
      <c r="CF80" s="297" t="s">
        <v>862</v>
      </c>
      <c r="CG80" s="12" t="s">
        <v>967</v>
      </c>
    </row>
    <row r="81" spans="1:85" s="5" customFormat="1" outlineLevel="1">
      <c r="A81" s="297" t="s">
        <v>274</v>
      </c>
      <c r="B81" s="12" t="s">
        <v>809</v>
      </c>
      <c r="D81" s="3">
        <f t="shared" si="219"/>
        <v>0</v>
      </c>
      <c r="E81" s="3">
        <f t="shared" si="219"/>
        <v>0</v>
      </c>
      <c r="F81" s="3">
        <f t="shared" si="219"/>
        <v>0</v>
      </c>
      <c r="G81" s="3">
        <f t="shared" si="219"/>
        <v>0</v>
      </c>
      <c r="H81" s="3">
        <f t="shared" si="219"/>
        <v>0</v>
      </c>
      <c r="I81" s="3">
        <f t="shared" si="219"/>
        <v>0</v>
      </c>
      <c r="J81" s="3">
        <f t="shared" si="219"/>
        <v>0</v>
      </c>
      <c r="K81" s="3">
        <f t="shared" si="219"/>
        <v>0</v>
      </c>
      <c r="L81" s="3">
        <f t="shared" si="219"/>
        <v>0</v>
      </c>
      <c r="M81" s="3">
        <f t="shared" si="219"/>
        <v>0</v>
      </c>
      <c r="N81" s="3">
        <f t="shared" si="219"/>
        <v>0</v>
      </c>
      <c r="O81" s="3">
        <f t="shared" si="219"/>
        <v>0</v>
      </c>
      <c r="P81" s="383">
        <f t="shared" si="210"/>
        <v>0</v>
      </c>
      <c r="Q81" s="3">
        <f t="shared" si="220"/>
        <v>0</v>
      </c>
      <c r="R81" s="3">
        <f t="shared" si="220"/>
        <v>0</v>
      </c>
      <c r="S81" s="3">
        <f t="shared" si="220"/>
        <v>0</v>
      </c>
      <c r="T81" s="3">
        <f t="shared" si="220"/>
        <v>0</v>
      </c>
      <c r="U81" s="3">
        <f t="shared" si="220"/>
        <v>0</v>
      </c>
      <c r="V81" s="3">
        <f t="shared" si="220"/>
        <v>0</v>
      </c>
      <c r="W81" s="3">
        <f t="shared" si="220"/>
        <v>0</v>
      </c>
      <c r="X81" s="3">
        <f t="shared" si="220"/>
        <v>0</v>
      </c>
      <c r="Y81" s="3">
        <f t="shared" si="220"/>
        <v>0</v>
      </c>
      <c r="Z81" s="3">
        <f t="shared" si="220"/>
        <v>0</v>
      </c>
      <c r="AA81" s="3">
        <f t="shared" si="220"/>
        <v>0</v>
      </c>
      <c r="AB81" s="3">
        <f t="shared" si="220"/>
        <v>0</v>
      </c>
      <c r="AC81" s="383">
        <f t="shared" si="212"/>
        <v>0</v>
      </c>
      <c r="AD81" s="3">
        <f t="shared" si="221"/>
        <v>0</v>
      </c>
      <c r="AE81" s="3">
        <f t="shared" si="221"/>
        <v>0</v>
      </c>
      <c r="AF81" s="3">
        <f t="shared" si="221"/>
        <v>0</v>
      </c>
      <c r="AG81" s="3">
        <f t="shared" si="221"/>
        <v>0</v>
      </c>
      <c r="AH81" s="3">
        <f t="shared" si="221"/>
        <v>0</v>
      </c>
      <c r="AI81" s="3">
        <f t="shared" si="221"/>
        <v>0</v>
      </c>
      <c r="AJ81" s="3">
        <f t="shared" si="221"/>
        <v>0</v>
      </c>
      <c r="AK81" s="3">
        <f t="shared" si="221"/>
        <v>0</v>
      </c>
      <c r="AL81" s="3">
        <f t="shared" si="221"/>
        <v>0</v>
      </c>
      <c r="AM81" s="3">
        <f t="shared" si="221"/>
        <v>0</v>
      </c>
      <c r="AN81" s="3">
        <f t="shared" si="221"/>
        <v>0</v>
      </c>
      <c r="AO81" s="3">
        <f t="shared" si="221"/>
        <v>0</v>
      </c>
      <c r="AP81" s="383">
        <f t="shared" si="214"/>
        <v>0</v>
      </c>
      <c r="AQ81" s="3">
        <f t="shared" si="222"/>
        <v>0</v>
      </c>
      <c r="AR81" s="3">
        <f t="shared" si="222"/>
        <v>0</v>
      </c>
      <c r="AS81" s="3">
        <f t="shared" si="222"/>
        <v>0</v>
      </c>
      <c r="AT81" s="3">
        <f t="shared" si="222"/>
        <v>0</v>
      </c>
      <c r="AU81" s="3">
        <f t="shared" si="222"/>
        <v>0</v>
      </c>
      <c r="AV81" s="3">
        <f t="shared" si="222"/>
        <v>0</v>
      </c>
      <c r="AW81" s="3">
        <f t="shared" si="222"/>
        <v>0</v>
      </c>
      <c r="AX81" s="3">
        <f t="shared" si="222"/>
        <v>0</v>
      </c>
      <c r="AY81" s="3">
        <f t="shared" si="222"/>
        <v>0</v>
      </c>
      <c r="AZ81" s="3">
        <f t="shared" si="222"/>
        <v>0</v>
      </c>
      <c r="BA81" s="3">
        <f t="shared" si="222"/>
        <v>0</v>
      </c>
      <c r="BB81" s="3">
        <f t="shared" si="222"/>
        <v>0</v>
      </c>
      <c r="BC81" s="383">
        <f t="shared" si="216"/>
        <v>0</v>
      </c>
      <c r="BD81" s="3">
        <f t="shared" si="223"/>
        <v>0</v>
      </c>
      <c r="BE81" s="3">
        <f t="shared" si="223"/>
        <v>0</v>
      </c>
      <c r="BF81" s="3">
        <f t="shared" si="223"/>
        <v>0</v>
      </c>
      <c r="BG81" s="3">
        <f t="shared" si="223"/>
        <v>0</v>
      </c>
      <c r="BH81" s="3">
        <f t="shared" si="223"/>
        <v>0</v>
      </c>
      <c r="BI81" s="3">
        <f t="shared" si="223"/>
        <v>0</v>
      </c>
      <c r="BJ81" s="3">
        <f t="shared" si="223"/>
        <v>0</v>
      </c>
      <c r="BK81" s="3">
        <f t="shared" si="223"/>
        <v>0</v>
      </c>
      <c r="BL81" s="3">
        <f t="shared" si="223"/>
        <v>0</v>
      </c>
      <c r="BM81" s="3">
        <f t="shared" si="223"/>
        <v>0</v>
      </c>
      <c r="BN81" s="3">
        <f t="shared" si="223"/>
        <v>0</v>
      </c>
      <c r="BO81" s="3">
        <f t="shared" si="223"/>
        <v>0</v>
      </c>
      <c r="BP81" s="383">
        <f t="shared" si="218"/>
        <v>0</v>
      </c>
      <c r="CF81" s="297" t="s">
        <v>874</v>
      </c>
      <c r="CG81" s="12" t="s">
        <v>967</v>
      </c>
    </row>
    <row r="82" spans="1:85" s="5" customFormat="1" outlineLevel="1">
      <c r="A82" s="297" t="s">
        <v>515</v>
      </c>
      <c r="B82" s="12" t="s">
        <v>809</v>
      </c>
      <c r="D82" s="3">
        <f t="shared" si="219"/>
        <v>0</v>
      </c>
      <c r="E82" s="3">
        <f t="shared" si="219"/>
        <v>0</v>
      </c>
      <c r="F82" s="3">
        <f t="shared" si="219"/>
        <v>0</v>
      </c>
      <c r="G82" s="3">
        <f t="shared" si="219"/>
        <v>0</v>
      </c>
      <c r="H82" s="3">
        <f t="shared" si="219"/>
        <v>0</v>
      </c>
      <c r="I82" s="3">
        <f t="shared" si="219"/>
        <v>0</v>
      </c>
      <c r="J82" s="3">
        <f t="shared" si="219"/>
        <v>0</v>
      </c>
      <c r="K82" s="3">
        <f t="shared" si="219"/>
        <v>0</v>
      </c>
      <c r="L82" s="3">
        <f t="shared" si="219"/>
        <v>0</v>
      </c>
      <c r="M82" s="3">
        <f t="shared" si="219"/>
        <v>0</v>
      </c>
      <c r="N82" s="3">
        <f t="shared" si="219"/>
        <v>0</v>
      </c>
      <c r="O82" s="3">
        <f t="shared" si="219"/>
        <v>0</v>
      </c>
      <c r="P82" s="383">
        <f t="shared" si="210"/>
        <v>0</v>
      </c>
      <c r="Q82" s="3">
        <f t="shared" si="220"/>
        <v>0</v>
      </c>
      <c r="R82" s="3">
        <f t="shared" si="220"/>
        <v>0</v>
      </c>
      <c r="S82" s="3">
        <f t="shared" si="220"/>
        <v>0</v>
      </c>
      <c r="T82" s="3">
        <f t="shared" si="220"/>
        <v>0</v>
      </c>
      <c r="U82" s="3">
        <f t="shared" si="220"/>
        <v>0</v>
      </c>
      <c r="V82" s="3">
        <f t="shared" si="220"/>
        <v>0</v>
      </c>
      <c r="W82" s="3">
        <f t="shared" si="220"/>
        <v>0</v>
      </c>
      <c r="X82" s="3">
        <f t="shared" si="220"/>
        <v>0</v>
      </c>
      <c r="Y82" s="3">
        <f t="shared" si="220"/>
        <v>0</v>
      </c>
      <c r="Z82" s="3">
        <f t="shared" si="220"/>
        <v>0</v>
      </c>
      <c r="AA82" s="3">
        <f t="shared" si="220"/>
        <v>0</v>
      </c>
      <c r="AB82" s="3">
        <f t="shared" si="220"/>
        <v>0</v>
      </c>
      <c r="AC82" s="383">
        <f t="shared" si="212"/>
        <v>0</v>
      </c>
      <c r="AD82" s="3">
        <f t="shared" si="221"/>
        <v>0</v>
      </c>
      <c r="AE82" s="3">
        <f t="shared" si="221"/>
        <v>0</v>
      </c>
      <c r="AF82" s="3">
        <f t="shared" si="221"/>
        <v>0</v>
      </c>
      <c r="AG82" s="3">
        <f t="shared" si="221"/>
        <v>0</v>
      </c>
      <c r="AH82" s="3">
        <f t="shared" si="221"/>
        <v>0</v>
      </c>
      <c r="AI82" s="3">
        <f t="shared" si="221"/>
        <v>0</v>
      </c>
      <c r="AJ82" s="3">
        <f t="shared" si="221"/>
        <v>0</v>
      </c>
      <c r="AK82" s="3">
        <f t="shared" si="221"/>
        <v>0</v>
      </c>
      <c r="AL82" s="3">
        <f t="shared" si="221"/>
        <v>0</v>
      </c>
      <c r="AM82" s="3">
        <f t="shared" si="221"/>
        <v>0</v>
      </c>
      <c r="AN82" s="3">
        <f t="shared" si="221"/>
        <v>0</v>
      </c>
      <c r="AO82" s="3">
        <f t="shared" si="221"/>
        <v>0</v>
      </c>
      <c r="AP82" s="383">
        <f t="shared" si="214"/>
        <v>0</v>
      </c>
      <c r="AQ82" s="3">
        <f t="shared" si="222"/>
        <v>0</v>
      </c>
      <c r="AR82" s="3">
        <f t="shared" si="222"/>
        <v>0</v>
      </c>
      <c r="AS82" s="3">
        <f t="shared" si="222"/>
        <v>0</v>
      </c>
      <c r="AT82" s="3">
        <f t="shared" si="222"/>
        <v>0</v>
      </c>
      <c r="AU82" s="3">
        <f t="shared" si="222"/>
        <v>0</v>
      </c>
      <c r="AV82" s="3">
        <f t="shared" si="222"/>
        <v>0</v>
      </c>
      <c r="AW82" s="3">
        <f t="shared" si="222"/>
        <v>0</v>
      </c>
      <c r="AX82" s="3">
        <f t="shared" si="222"/>
        <v>0</v>
      </c>
      <c r="AY82" s="3">
        <f t="shared" si="222"/>
        <v>0</v>
      </c>
      <c r="AZ82" s="3">
        <f t="shared" si="222"/>
        <v>0</v>
      </c>
      <c r="BA82" s="3">
        <f t="shared" si="222"/>
        <v>0</v>
      </c>
      <c r="BB82" s="3">
        <f t="shared" si="222"/>
        <v>0</v>
      </c>
      <c r="BC82" s="383">
        <f t="shared" si="216"/>
        <v>0</v>
      </c>
      <c r="BD82" s="3">
        <f t="shared" si="223"/>
        <v>0</v>
      </c>
      <c r="BE82" s="3">
        <f t="shared" si="223"/>
        <v>0</v>
      </c>
      <c r="BF82" s="3">
        <f t="shared" si="223"/>
        <v>0</v>
      </c>
      <c r="BG82" s="3">
        <f t="shared" si="223"/>
        <v>0</v>
      </c>
      <c r="BH82" s="3">
        <f t="shared" si="223"/>
        <v>0</v>
      </c>
      <c r="BI82" s="3">
        <f t="shared" si="223"/>
        <v>0</v>
      </c>
      <c r="BJ82" s="3">
        <f t="shared" si="223"/>
        <v>0</v>
      </c>
      <c r="BK82" s="3">
        <f t="shared" si="223"/>
        <v>0</v>
      </c>
      <c r="BL82" s="3">
        <f t="shared" si="223"/>
        <v>0</v>
      </c>
      <c r="BM82" s="3">
        <f t="shared" si="223"/>
        <v>0</v>
      </c>
      <c r="BN82" s="3">
        <f t="shared" si="223"/>
        <v>0</v>
      </c>
      <c r="BO82" s="3">
        <f t="shared" si="223"/>
        <v>0</v>
      </c>
      <c r="BP82" s="383">
        <f t="shared" si="218"/>
        <v>0</v>
      </c>
      <c r="CF82" s="297" t="s">
        <v>869</v>
      </c>
      <c r="CG82" s="12" t="s">
        <v>967</v>
      </c>
    </row>
    <row r="83" spans="1:85" s="63" customFormat="1">
      <c r="A83" s="298" t="s">
        <v>516</v>
      </c>
      <c r="B83" s="12" t="s">
        <v>809</v>
      </c>
      <c r="C83" s="299"/>
      <c r="D83" s="3">
        <f t="shared" si="219"/>
        <v>0</v>
      </c>
      <c r="E83" s="3">
        <f t="shared" si="219"/>
        <v>0</v>
      </c>
      <c r="F83" s="3">
        <f t="shared" si="219"/>
        <v>0</v>
      </c>
      <c r="G83" s="3">
        <f t="shared" si="219"/>
        <v>0</v>
      </c>
      <c r="H83" s="3">
        <f t="shared" si="219"/>
        <v>0</v>
      </c>
      <c r="I83" s="3">
        <f t="shared" si="219"/>
        <v>0</v>
      </c>
      <c r="J83" s="3">
        <f t="shared" si="219"/>
        <v>-1.3059226223733138</v>
      </c>
      <c r="K83" s="3">
        <f t="shared" si="219"/>
        <v>-3.9683828018677558</v>
      </c>
      <c r="L83" s="3">
        <f t="shared" si="219"/>
        <v>-6.5134005034468228</v>
      </c>
      <c r="M83" s="3">
        <f t="shared" si="219"/>
        <v>-9.5891304349459769</v>
      </c>
      <c r="N83" s="3">
        <f t="shared" si="219"/>
        <v>-12.136370351380091</v>
      </c>
      <c r="O83" s="3">
        <f t="shared" si="219"/>
        <v>-15.518304552898794</v>
      </c>
      <c r="P83" s="397">
        <f t="shared" si="210"/>
        <v>-49.031511266912759</v>
      </c>
      <c r="Q83" s="3">
        <f t="shared" si="220"/>
        <v>-19.15098509130403</v>
      </c>
      <c r="R83" s="3">
        <f t="shared" si="220"/>
        <v>-23.386337173712857</v>
      </c>
      <c r="S83" s="3">
        <f t="shared" si="220"/>
        <v>-32.96175594121064</v>
      </c>
      <c r="T83" s="3">
        <f t="shared" si="220"/>
        <v>-39.049115537641462</v>
      </c>
      <c r="U83" s="3">
        <f t="shared" si="220"/>
        <v>-48.049144468969715</v>
      </c>
      <c r="V83" s="3">
        <f t="shared" si="220"/>
        <v>-54.238724069921872</v>
      </c>
      <c r="W83" s="3">
        <f t="shared" si="220"/>
        <v>-64.332750178138809</v>
      </c>
      <c r="X83" s="3">
        <f t="shared" si="220"/>
        <v>-72.8963967497032</v>
      </c>
      <c r="Y83" s="3">
        <f t="shared" si="220"/>
        <v>-79.090018656657975</v>
      </c>
      <c r="Z83" s="3">
        <f t="shared" si="220"/>
        <v>-90.811059566059029</v>
      </c>
      <c r="AA83" s="3">
        <f t="shared" si="220"/>
        <v>-96.908415283660588</v>
      </c>
      <c r="AB83" s="3">
        <f t="shared" si="220"/>
        <v>-109.47552797308727</v>
      </c>
      <c r="AC83" s="397">
        <f t="shared" si="212"/>
        <v>-730.35023069006752</v>
      </c>
      <c r="AD83" s="3">
        <f t="shared" si="221"/>
        <v>-110.00840102339966</v>
      </c>
      <c r="AE83" s="3">
        <f t="shared" si="221"/>
        <v>-106.88915719692821</v>
      </c>
      <c r="AF83" s="3">
        <f t="shared" si="221"/>
        <v>-127.06090979930882</v>
      </c>
      <c r="AG83" s="3">
        <f t="shared" si="221"/>
        <v>-131.76057604626993</v>
      </c>
      <c r="AH83" s="3">
        <f t="shared" si="221"/>
        <v>-145.60241360045001</v>
      </c>
      <c r="AI83" s="3">
        <f t="shared" si="221"/>
        <v>-150.38304526800201</v>
      </c>
      <c r="AJ83" s="3">
        <f t="shared" si="221"/>
        <v>-165.51793538967718</v>
      </c>
      <c r="AK83" s="3">
        <f t="shared" si="221"/>
        <v>-175.95364618026966</v>
      </c>
      <c r="AL83" s="3">
        <f t="shared" si="221"/>
        <v>-180.66539321418608</v>
      </c>
      <c r="AM83" s="3">
        <f t="shared" si="221"/>
        <v>-197.70413781126135</v>
      </c>
      <c r="AN83" s="3">
        <f t="shared" si="221"/>
        <v>-202.24605663628185</v>
      </c>
      <c r="AO83" s="3">
        <f t="shared" si="221"/>
        <v>-220.20658929574685</v>
      </c>
      <c r="AP83" s="397">
        <f t="shared" si="214"/>
        <v>-1913.9982614617813</v>
      </c>
      <c r="AQ83" s="3">
        <f t="shared" si="222"/>
        <v>-211.32337604951044</v>
      </c>
      <c r="AR83" s="3">
        <f t="shared" si="222"/>
        <v>-196.39466684841884</v>
      </c>
      <c r="AS83" s="3">
        <f t="shared" si="222"/>
        <v>-223.90205680550943</v>
      </c>
      <c r="AT83" s="3">
        <f t="shared" si="222"/>
        <v>-223.26334678475104</v>
      </c>
      <c r="AU83" s="3">
        <f t="shared" si="222"/>
        <v>-237.83367409544726</v>
      </c>
      <c r="AV83" s="3">
        <f t="shared" si="222"/>
        <v>-237.36096779589462</v>
      </c>
      <c r="AW83" s="3">
        <f t="shared" si="222"/>
        <v>-253.00954308818723</v>
      </c>
      <c r="AX83" s="3">
        <f t="shared" si="222"/>
        <v>-261.02925253439281</v>
      </c>
      <c r="AY83" s="3">
        <f t="shared" si="222"/>
        <v>-260.63027572318174</v>
      </c>
      <c r="AZ83" s="3">
        <f t="shared" si="222"/>
        <v>-277.86136828823629</v>
      </c>
      <c r="BA83" s="3">
        <f t="shared" si="222"/>
        <v>-277.39854793810457</v>
      </c>
      <c r="BB83" s="3">
        <f t="shared" si="222"/>
        <v>-295.32693330230649</v>
      </c>
      <c r="BC83" s="397">
        <f t="shared" si="216"/>
        <v>-2955.3340092539406</v>
      </c>
      <c r="BD83" s="3">
        <f t="shared" si="223"/>
        <v>-276.34518375108331</v>
      </c>
      <c r="BE83" s="3">
        <f t="shared" si="223"/>
        <v>-252.93434358064431</v>
      </c>
      <c r="BF83" s="3">
        <f t="shared" si="223"/>
        <v>-284.09601586464964</v>
      </c>
      <c r="BG83" s="3">
        <f t="shared" si="223"/>
        <v>-279.20943436695882</v>
      </c>
      <c r="BH83" s="3">
        <f t="shared" si="223"/>
        <v>-293.28199204454205</v>
      </c>
      <c r="BI83" s="3">
        <f t="shared" si="223"/>
        <v>-288.75379423517819</v>
      </c>
      <c r="BJ83" s="3">
        <f t="shared" si="223"/>
        <v>-303.7932426471906</v>
      </c>
      <c r="BK83" s="3">
        <f t="shared" si="223"/>
        <v>-309.51089632070079</v>
      </c>
      <c r="BL83" s="3">
        <f t="shared" si="223"/>
        <v>-305.33975650064735</v>
      </c>
      <c r="BM83" s="3">
        <f t="shared" si="223"/>
        <v>-321.79962390072149</v>
      </c>
      <c r="BN83" s="3">
        <f t="shared" si="223"/>
        <v>-317.75064759153753</v>
      </c>
      <c r="BO83" s="3">
        <f t="shared" si="223"/>
        <v>-334.78804336891216</v>
      </c>
      <c r="BP83" s="397">
        <f t="shared" si="218"/>
        <v>-3567.6029741727662</v>
      </c>
      <c r="CF83" s="298" t="s">
        <v>868</v>
      </c>
      <c r="CG83" s="12" t="s">
        <v>967</v>
      </c>
    </row>
    <row r="84" spans="1:85" s="3" customFormat="1">
      <c r="A84" s="296" t="s">
        <v>517</v>
      </c>
      <c r="B84" s="12" t="s">
        <v>809</v>
      </c>
      <c r="C84" s="5"/>
      <c r="D84" s="3">
        <f t="shared" si="219"/>
        <v>0</v>
      </c>
      <c r="E84" s="3">
        <f t="shared" si="219"/>
        <v>0</v>
      </c>
      <c r="F84" s="3">
        <f t="shared" si="219"/>
        <v>0</v>
      </c>
      <c r="G84" s="3">
        <f t="shared" si="219"/>
        <v>0</v>
      </c>
      <c r="H84" s="3">
        <f t="shared" si="219"/>
        <v>0</v>
      </c>
      <c r="I84" s="3">
        <f t="shared" si="219"/>
        <v>0</v>
      </c>
      <c r="J84" s="3">
        <f t="shared" si="219"/>
        <v>-2.4486049169499636E-2</v>
      </c>
      <c r="K84" s="3">
        <f t="shared" si="219"/>
        <v>-7.4407177535020436E-2</v>
      </c>
      <c r="L84" s="3">
        <f t="shared" si="219"/>
        <v>-0.12212625943962792</v>
      </c>
      <c r="M84" s="3">
        <f t="shared" si="219"/>
        <v>-0.17979619565523708</v>
      </c>
      <c r="N84" s="3">
        <f t="shared" si="219"/>
        <v>-0.22755694408837671</v>
      </c>
      <c r="O84" s="3">
        <f t="shared" si="219"/>
        <v>-0.29096821036685239</v>
      </c>
      <c r="P84" s="397">
        <f t="shared" si="210"/>
        <v>-0.91934083625461416</v>
      </c>
      <c r="Q84" s="3">
        <f t="shared" si="220"/>
        <v>-0.38472961120923271</v>
      </c>
      <c r="R84" s="3">
        <f t="shared" si="220"/>
        <v>-0.46981480929333869</v>
      </c>
      <c r="S84" s="3">
        <f t="shared" si="220"/>
        <v>-0.66217813274753523</v>
      </c>
      <c r="T84" s="3">
        <f t="shared" si="220"/>
        <v>-0.78446883892583308</v>
      </c>
      <c r="U84" s="3">
        <f t="shared" si="220"/>
        <v>-0.96527299156412383</v>
      </c>
      <c r="V84" s="3">
        <f t="shared" si="220"/>
        <v>-1.0896172246189666</v>
      </c>
      <c r="W84" s="3">
        <f t="shared" si="220"/>
        <v>-1.2923989991143958</v>
      </c>
      <c r="X84" s="3">
        <f t="shared" si="220"/>
        <v>-1.4644365418467162</v>
      </c>
      <c r="Y84" s="3">
        <f t="shared" si="220"/>
        <v>-1.58886198194179</v>
      </c>
      <c r="Z84" s="3">
        <f t="shared" si="220"/>
        <v>-1.8243293216395791</v>
      </c>
      <c r="AA84" s="3">
        <f t="shared" si="220"/>
        <v>-1.9468208427521101</v>
      </c>
      <c r="AB84" s="3">
        <f t="shared" si="220"/>
        <v>-2.1992851601736283</v>
      </c>
      <c r="AC84" s="397">
        <f t="shared" si="212"/>
        <v>-14.672214455827252</v>
      </c>
      <c r="AD84" s="3">
        <f t="shared" si="221"/>
        <v>-2.3689709755639958</v>
      </c>
      <c r="AE84" s="3">
        <f t="shared" si="221"/>
        <v>-2.2910937139565943</v>
      </c>
      <c r="AF84" s="3">
        <f t="shared" si="221"/>
        <v>-2.7107345540116974</v>
      </c>
      <c r="AG84" s="3">
        <f t="shared" si="221"/>
        <v>-2.7978006932901871</v>
      </c>
      <c r="AH84" s="3">
        <f t="shared" si="221"/>
        <v>-3.0771343419165627</v>
      </c>
      <c r="AI84" s="3">
        <f t="shared" si="221"/>
        <v>-3.1631049184976403</v>
      </c>
      <c r="AJ84" s="3">
        <f t="shared" si="221"/>
        <v>-3.4648686394674031</v>
      </c>
      <c r="AK84" s="3">
        <f t="shared" si="221"/>
        <v>-3.6657009620889531</v>
      </c>
      <c r="AL84" s="3">
        <f t="shared" si="221"/>
        <v>-3.7457668665200865</v>
      </c>
      <c r="AM84" s="3">
        <f t="shared" si="221"/>
        <v>-4.0792320101281918</v>
      </c>
      <c r="AN84" s="3">
        <f t="shared" si="221"/>
        <v>-4.1526884625839156</v>
      </c>
      <c r="AO84" s="3">
        <f t="shared" si="221"/>
        <v>-4.4994134832063697</v>
      </c>
      <c r="AP84" s="397">
        <f t="shared" si="214"/>
        <v>-40.016509621231592</v>
      </c>
      <c r="AQ84" s="3">
        <f t="shared" si="222"/>
        <v>-4.654800926437785</v>
      </c>
      <c r="AR84" s="3">
        <f t="shared" si="222"/>
        <v>-4.3046574113911253</v>
      </c>
      <c r="AS84" s="3">
        <f t="shared" si="222"/>
        <v>-4.8832805357972449</v>
      </c>
      <c r="AT84" s="3">
        <f t="shared" si="222"/>
        <v>-4.845124713210744</v>
      </c>
      <c r="AU84" s="3">
        <f t="shared" si="222"/>
        <v>-5.1355144471564698</v>
      </c>
      <c r="AV84" s="3">
        <f t="shared" si="222"/>
        <v>-5.0995520424899254</v>
      </c>
      <c r="AW84" s="3">
        <f t="shared" si="222"/>
        <v>-5.4082986098494921</v>
      </c>
      <c r="AX84" s="3">
        <f t="shared" si="222"/>
        <v>-5.5514033742123496</v>
      </c>
      <c r="AY84" s="3">
        <f t="shared" si="222"/>
        <v>-5.5146379954449278</v>
      </c>
      <c r="AZ84" s="3">
        <f t="shared" si="222"/>
        <v>-5.8490782821091436</v>
      </c>
      <c r="BA84" s="3">
        <f t="shared" si="222"/>
        <v>-5.8092360842072717</v>
      </c>
      <c r="BB84" s="3">
        <f t="shared" si="222"/>
        <v>-6.1526444437980565</v>
      </c>
      <c r="BC84" s="397">
        <f t="shared" si="216"/>
        <v>-63.208228866104534</v>
      </c>
      <c r="BD84" s="3">
        <f t="shared" si="223"/>
        <v>-6.2478610436146909</v>
      </c>
      <c r="BE84" s="3">
        <f t="shared" si="223"/>
        <v>-5.6886275189775608</v>
      </c>
      <c r="BF84" s="3">
        <f t="shared" si="223"/>
        <v>-6.3558412640173749</v>
      </c>
      <c r="BG84" s="3">
        <f t="shared" si="223"/>
        <v>-6.2134675261586478</v>
      </c>
      <c r="BH84" s="3">
        <f t="shared" si="223"/>
        <v>-6.491919094735958</v>
      </c>
      <c r="BI84" s="3">
        <f t="shared" si="223"/>
        <v>-6.3575054128483863</v>
      </c>
      <c r="BJ84" s="3">
        <f t="shared" si="223"/>
        <v>-6.6526692577805715</v>
      </c>
      <c r="BK84" s="3">
        <f t="shared" si="223"/>
        <v>-6.7412411130455689</v>
      </c>
      <c r="BL84" s="3">
        <f t="shared" si="223"/>
        <v>-6.6142489866972642</v>
      </c>
      <c r="BM84" s="3">
        <f t="shared" si="223"/>
        <v>-6.9327097005127056</v>
      </c>
      <c r="BN84" s="3">
        <f t="shared" si="223"/>
        <v>-6.8078678046955892</v>
      </c>
      <c r="BO84" s="3">
        <f t="shared" si="223"/>
        <v>-7.1332679695080756</v>
      </c>
      <c r="BP84" s="397">
        <f t="shared" si="218"/>
        <v>-78.237226692592401</v>
      </c>
      <c r="BQ84" s="43" t="s">
        <v>614</v>
      </c>
      <c r="CF84" s="296" t="s">
        <v>873</v>
      </c>
      <c r="CG84" s="12" t="s">
        <v>967</v>
      </c>
    </row>
    <row r="85" spans="1:85" s="63" customFormat="1">
      <c r="A85" s="298" t="s">
        <v>518</v>
      </c>
      <c r="B85" s="12" t="s">
        <v>809</v>
      </c>
      <c r="C85" s="299"/>
      <c r="D85" s="3">
        <f t="shared" si="219"/>
        <v>0</v>
      </c>
      <c r="E85" s="3">
        <f t="shared" si="219"/>
        <v>0</v>
      </c>
      <c r="F85" s="3">
        <f t="shared" si="219"/>
        <v>0</v>
      </c>
      <c r="G85" s="3">
        <f t="shared" si="219"/>
        <v>0</v>
      </c>
      <c r="H85" s="3">
        <f t="shared" si="219"/>
        <v>0</v>
      </c>
      <c r="I85" s="3">
        <f t="shared" si="219"/>
        <v>0</v>
      </c>
      <c r="J85" s="3">
        <f t="shared" si="219"/>
        <v>-1.3304086715428134</v>
      </c>
      <c r="K85" s="3">
        <f t="shared" si="219"/>
        <v>-4.0427899794027766</v>
      </c>
      <c r="L85" s="3">
        <f t="shared" si="219"/>
        <v>-6.6355267628864505</v>
      </c>
      <c r="M85" s="3">
        <f t="shared" si="219"/>
        <v>-9.7689266306012144</v>
      </c>
      <c r="N85" s="3">
        <f t="shared" si="219"/>
        <v>-12.363927295468468</v>
      </c>
      <c r="O85" s="3">
        <f t="shared" si="219"/>
        <v>-15.809272763265648</v>
      </c>
      <c r="P85" s="397">
        <f t="shared" si="210"/>
        <v>-49.950852103167371</v>
      </c>
      <c r="Q85" s="3">
        <f t="shared" si="220"/>
        <v>-19.535714702513264</v>
      </c>
      <c r="R85" s="3">
        <f t="shared" si="220"/>
        <v>-23.856151983006196</v>
      </c>
      <c r="S85" s="3">
        <f t="shared" si="220"/>
        <v>-33.623934073958175</v>
      </c>
      <c r="T85" s="3">
        <f t="shared" si="220"/>
        <v>-39.833584376567295</v>
      </c>
      <c r="U85" s="3">
        <f t="shared" si="220"/>
        <v>-49.014417460533835</v>
      </c>
      <c r="V85" s="3">
        <f t="shared" si="220"/>
        <v>-55.328341294540841</v>
      </c>
      <c r="W85" s="3">
        <f t="shared" si="220"/>
        <v>-65.625149177253206</v>
      </c>
      <c r="X85" s="3">
        <f t="shared" si="220"/>
        <v>-74.360833291549923</v>
      </c>
      <c r="Y85" s="3">
        <f t="shared" si="220"/>
        <v>-80.678880638599765</v>
      </c>
      <c r="Z85" s="3">
        <f t="shared" si="220"/>
        <v>-92.63538888769861</v>
      </c>
      <c r="AA85" s="3">
        <f t="shared" si="220"/>
        <v>-98.855236126412692</v>
      </c>
      <c r="AB85" s="3">
        <f t="shared" si="220"/>
        <v>-111.6748131332609</v>
      </c>
      <c r="AC85" s="397">
        <f t="shared" si="212"/>
        <v>-745.02244514589461</v>
      </c>
      <c r="AD85" s="3">
        <f t="shared" si="221"/>
        <v>-112.37737199896365</v>
      </c>
      <c r="AE85" s="3">
        <f t="shared" si="221"/>
        <v>-109.18025091088481</v>
      </c>
      <c r="AF85" s="3">
        <f t="shared" si="221"/>
        <v>-129.77164435332051</v>
      </c>
      <c r="AG85" s="3">
        <f t="shared" si="221"/>
        <v>-134.55837673956012</v>
      </c>
      <c r="AH85" s="3">
        <f t="shared" si="221"/>
        <v>-148.67954794236658</v>
      </c>
      <c r="AI85" s="3">
        <f t="shared" si="221"/>
        <v>-153.54615018649966</v>
      </c>
      <c r="AJ85" s="3">
        <f t="shared" si="221"/>
        <v>-168.98280402914457</v>
      </c>
      <c r="AK85" s="3">
        <f t="shared" si="221"/>
        <v>-179.61934714235861</v>
      </c>
      <c r="AL85" s="3">
        <f t="shared" si="221"/>
        <v>-184.41116008070617</v>
      </c>
      <c r="AM85" s="3">
        <f t="shared" si="221"/>
        <v>-201.78336982138953</v>
      </c>
      <c r="AN85" s="3">
        <f t="shared" si="221"/>
        <v>-206.39874509886576</v>
      </c>
      <c r="AO85" s="3">
        <f t="shared" si="221"/>
        <v>-224.70600277895323</v>
      </c>
      <c r="AP85" s="397">
        <f t="shared" si="214"/>
        <v>-1954.0147710830129</v>
      </c>
      <c r="AQ85" s="3">
        <f t="shared" si="222"/>
        <v>-215.97817697594823</v>
      </c>
      <c r="AR85" s="3">
        <f t="shared" si="222"/>
        <v>-200.69932425980997</v>
      </c>
      <c r="AS85" s="3">
        <f t="shared" si="222"/>
        <v>-228.78533734130667</v>
      </c>
      <c r="AT85" s="3">
        <f t="shared" si="222"/>
        <v>-228.10847149796177</v>
      </c>
      <c r="AU85" s="3">
        <f t="shared" si="222"/>
        <v>-242.96918854260375</v>
      </c>
      <c r="AV85" s="3">
        <f t="shared" si="222"/>
        <v>-242.46051983838456</v>
      </c>
      <c r="AW85" s="3">
        <f t="shared" si="222"/>
        <v>-258.41784169803674</v>
      </c>
      <c r="AX85" s="3">
        <f t="shared" si="222"/>
        <v>-266.58065590860514</v>
      </c>
      <c r="AY85" s="3">
        <f t="shared" si="222"/>
        <v>-266.14491371862664</v>
      </c>
      <c r="AZ85" s="3">
        <f t="shared" si="222"/>
        <v>-283.71044657034543</v>
      </c>
      <c r="BA85" s="3">
        <f t="shared" si="222"/>
        <v>-283.20778402231184</v>
      </c>
      <c r="BB85" s="3">
        <f t="shared" si="222"/>
        <v>-301.47957774610455</v>
      </c>
      <c r="BC85" s="397">
        <f t="shared" si="216"/>
        <v>-3018.5422381200451</v>
      </c>
      <c r="BD85" s="3">
        <f t="shared" si="223"/>
        <v>-282.59304479469802</v>
      </c>
      <c r="BE85" s="3">
        <f t="shared" si="223"/>
        <v>-258.62297109962191</v>
      </c>
      <c r="BF85" s="3">
        <f t="shared" si="223"/>
        <v>-290.45185712866703</v>
      </c>
      <c r="BG85" s="3">
        <f t="shared" si="223"/>
        <v>-285.42290189311746</v>
      </c>
      <c r="BH85" s="3">
        <f t="shared" si="223"/>
        <v>-299.77391113927803</v>
      </c>
      <c r="BI85" s="3">
        <f t="shared" si="223"/>
        <v>-295.1112996480266</v>
      </c>
      <c r="BJ85" s="3">
        <f t="shared" si="223"/>
        <v>-310.44591190497118</v>
      </c>
      <c r="BK85" s="3">
        <f t="shared" si="223"/>
        <v>-316.25213743374638</v>
      </c>
      <c r="BL85" s="3">
        <f t="shared" si="223"/>
        <v>-311.9540054873446</v>
      </c>
      <c r="BM85" s="3">
        <f t="shared" si="223"/>
        <v>-328.73233360123419</v>
      </c>
      <c r="BN85" s="3">
        <f t="shared" si="223"/>
        <v>-324.55851539623313</v>
      </c>
      <c r="BO85" s="3">
        <f t="shared" si="223"/>
        <v>-341.92131133842025</v>
      </c>
      <c r="BP85" s="397">
        <f t="shared" si="218"/>
        <v>-3645.8402008653593</v>
      </c>
      <c r="CF85" s="298" t="s">
        <v>872</v>
      </c>
      <c r="CG85" s="12" t="s">
        <v>967</v>
      </c>
    </row>
    <row r="86" spans="1:85" s="3" customFormat="1">
      <c r="A86" s="296" t="s">
        <v>471</v>
      </c>
      <c r="B86" s="12" t="s">
        <v>809</v>
      </c>
      <c r="C86" s="5"/>
      <c r="D86" s="3">
        <f t="shared" si="219"/>
        <v>0</v>
      </c>
      <c r="E86" s="3">
        <f t="shared" si="219"/>
        <v>0</v>
      </c>
      <c r="F86" s="3">
        <f t="shared" si="219"/>
        <v>0</v>
      </c>
      <c r="G86" s="3">
        <f t="shared" si="219"/>
        <v>0</v>
      </c>
      <c r="H86" s="3">
        <f t="shared" si="219"/>
        <v>0</v>
      </c>
      <c r="I86" s="3">
        <f t="shared" si="219"/>
        <v>0</v>
      </c>
      <c r="J86" s="3">
        <f t="shared" si="219"/>
        <v>0</v>
      </c>
      <c r="K86" s="3">
        <f t="shared" si="219"/>
        <v>0</v>
      </c>
      <c r="L86" s="3">
        <f t="shared" si="219"/>
        <v>0</v>
      </c>
      <c r="M86" s="3">
        <f t="shared" si="219"/>
        <v>0</v>
      </c>
      <c r="N86" s="3">
        <f t="shared" si="219"/>
        <v>0</v>
      </c>
      <c r="O86" s="3">
        <f t="shared" si="219"/>
        <v>0</v>
      </c>
      <c r="P86" s="397">
        <f t="shared" si="210"/>
        <v>0</v>
      </c>
      <c r="Q86" s="3">
        <f t="shared" si="220"/>
        <v>0</v>
      </c>
      <c r="R86" s="3">
        <f t="shared" si="220"/>
        <v>0</v>
      </c>
      <c r="S86" s="3">
        <f t="shared" si="220"/>
        <v>0</v>
      </c>
      <c r="T86" s="3">
        <f t="shared" si="220"/>
        <v>0</v>
      </c>
      <c r="U86" s="3">
        <f t="shared" si="220"/>
        <v>0</v>
      </c>
      <c r="V86" s="3">
        <f t="shared" si="220"/>
        <v>0</v>
      </c>
      <c r="W86" s="3">
        <f t="shared" si="220"/>
        <v>0</v>
      </c>
      <c r="X86" s="3">
        <f t="shared" si="220"/>
        <v>0</v>
      </c>
      <c r="Y86" s="3">
        <f t="shared" si="220"/>
        <v>0</v>
      </c>
      <c r="Z86" s="3">
        <f t="shared" si="220"/>
        <v>0</v>
      </c>
      <c r="AA86" s="3">
        <f t="shared" si="220"/>
        <v>0</v>
      </c>
      <c r="AB86" s="3">
        <f t="shared" si="220"/>
        <v>0</v>
      </c>
      <c r="AC86" s="397">
        <f t="shared" si="212"/>
        <v>0</v>
      </c>
      <c r="AD86" s="3">
        <f t="shared" si="221"/>
        <v>0</v>
      </c>
      <c r="AE86" s="3">
        <f t="shared" si="221"/>
        <v>0</v>
      </c>
      <c r="AF86" s="3">
        <f t="shared" si="221"/>
        <v>0</v>
      </c>
      <c r="AG86" s="3">
        <f t="shared" si="221"/>
        <v>0</v>
      </c>
      <c r="AH86" s="3">
        <f t="shared" si="221"/>
        <v>0</v>
      </c>
      <c r="AI86" s="3">
        <f t="shared" si="221"/>
        <v>0</v>
      </c>
      <c r="AJ86" s="3">
        <f t="shared" si="221"/>
        <v>0</v>
      </c>
      <c r="AK86" s="3">
        <f t="shared" si="221"/>
        <v>0</v>
      </c>
      <c r="AL86" s="3">
        <f t="shared" si="221"/>
        <v>0</v>
      </c>
      <c r="AM86" s="3">
        <f t="shared" si="221"/>
        <v>0</v>
      </c>
      <c r="AN86" s="3">
        <f t="shared" si="221"/>
        <v>0</v>
      </c>
      <c r="AO86" s="3">
        <f t="shared" si="221"/>
        <v>0</v>
      </c>
      <c r="AP86" s="397">
        <f t="shared" si="214"/>
        <v>0</v>
      </c>
      <c r="AQ86" s="3">
        <f t="shared" si="222"/>
        <v>0</v>
      </c>
      <c r="AR86" s="3">
        <f t="shared" si="222"/>
        <v>0</v>
      </c>
      <c r="AS86" s="3">
        <f t="shared" si="222"/>
        <v>0</v>
      </c>
      <c r="AT86" s="3">
        <f t="shared" si="222"/>
        <v>0</v>
      </c>
      <c r="AU86" s="3">
        <f t="shared" si="222"/>
        <v>0</v>
      </c>
      <c r="AV86" s="3">
        <f t="shared" si="222"/>
        <v>0</v>
      </c>
      <c r="AW86" s="3">
        <f t="shared" si="222"/>
        <v>0</v>
      </c>
      <c r="AX86" s="3">
        <f t="shared" si="222"/>
        <v>0</v>
      </c>
      <c r="AY86" s="3">
        <f t="shared" si="222"/>
        <v>0</v>
      </c>
      <c r="AZ86" s="3">
        <f t="shared" si="222"/>
        <v>0</v>
      </c>
      <c r="BA86" s="3">
        <f t="shared" si="222"/>
        <v>0</v>
      </c>
      <c r="BB86" s="3">
        <f t="shared" si="222"/>
        <v>0</v>
      </c>
      <c r="BC86" s="397">
        <f t="shared" si="216"/>
        <v>0</v>
      </c>
      <c r="BD86" s="3">
        <f t="shared" si="223"/>
        <v>0</v>
      </c>
      <c r="BE86" s="3">
        <f t="shared" si="223"/>
        <v>0</v>
      </c>
      <c r="BF86" s="3">
        <f t="shared" si="223"/>
        <v>0</v>
      </c>
      <c r="BG86" s="3">
        <f t="shared" si="223"/>
        <v>0</v>
      </c>
      <c r="BH86" s="3">
        <f t="shared" si="223"/>
        <v>0</v>
      </c>
      <c r="BI86" s="3">
        <f t="shared" si="223"/>
        <v>0</v>
      </c>
      <c r="BJ86" s="3">
        <f t="shared" si="223"/>
        <v>0</v>
      </c>
      <c r="BK86" s="3">
        <f t="shared" si="223"/>
        <v>0</v>
      </c>
      <c r="BL86" s="3">
        <f t="shared" si="223"/>
        <v>0</v>
      </c>
      <c r="BM86" s="3">
        <f t="shared" si="223"/>
        <v>0</v>
      </c>
      <c r="BN86" s="3">
        <f t="shared" si="223"/>
        <v>0</v>
      </c>
      <c r="BO86" s="3">
        <f t="shared" si="223"/>
        <v>0</v>
      </c>
      <c r="BP86" s="397">
        <f t="shared" si="218"/>
        <v>0</v>
      </c>
      <c r="CF86" s="296" t="s">
        <v>863</v>
      </c>
      <c r="CG86" s="12" t="s">
        <v>967</v>
      </c>
    </row>
    <row r="87" spans="1:85" s="5" customFormat="1" outlineLevel="1">
      <c r="A87" s="297" t="s">
        <v>519</v>
      </c>
      <c r="B87" s="12" t="s">
        <v>809</v>
      </c>
      <c r="D87" s="3">
        <f t="shared" si="219"/>
        <v>0</v>
      </c>
      <c r="E87" s="3">
        <f t="shared" si="219"/>
        <v>0</v>
      </c>
      <c r="F87" s="3">
        <f t="shared" si="219"/>
        <v>0</v>
      </c>
      <c r="G87" s="3">
        <f t="shared" si="219"/>
        <v>0</v>
      </c>
      <c r="H87" s="3">
        <f t="shared" si="219"/>
        <v>0</v>
      </c>
      <c r="I87" s="3">
        <f t="shared" si="219"/>
        <v>0</v>
      </c>
      <c r="J87" s="3">
        <f t="shared" si="219"/>
        <v>0</v>
      </c>
      <c r="K87" s="3">
        <f t="shared" si="219"/>
        <v>0</v>
      </c>
      <c r="L87" s="3">
        <f t="shared" si="219"/>
        <v>0</v>
      </c>
      <c r="M87" s="3">
        <f t="shared" si="219"/>
        <v>0</v>
      </c>
      <c r="N87" s="3">
        <f t="shared" si="219"/>
        <v>0</v>
      </c>
      <c r="O87" s="3">
        <f t="shared" si="219"/>
        <v>0</v>
      </c>
      <c r="P87" s="383">
        <f t="shared" si="210"/>
        <v>0</v>
      </c>
      <c r="Q87" s="3">
        <f t="shared" si="220"/>
        <v>0</v>
      </c>
      <c r="R87" s="3">
        <f t="shared" si="220"/>
        <v>0</v>
      </c>
      <c r="S87" s="3">
        <f t="shared" si="220"/>
        <v>0</v>
      </c>
      <c r="T87" s="3">
        <f t="shared" si="220"/>
        <v>0</v>
      </c>
      <c r="U87" s="3">
        <f t="shared" si="220"/>
        <v>0</v>
      </c>
      <c r="V87" s="3">
        <f t="shared" si="220"/>
        <v>0</v>
      </c>
      <c r="W87" s="3">
        <f t="shared" si="220"/>
        <v>0</v>
      </c>
      <c r="X87" s="3">
        <f t="shared" si="220"/>
        <v>0</v>
      </c>
      <c r="Y87" s="3">
        <f t="shared" si="220"/>
        <v>0</v>
      </c>
      <c r="Z87" s="3">
        <f t="shared" si="220"/>
        <v>0</v>
      </c>
      <c r="AA87" s="3">
        <f t="shared" si="220"/>
        <v>0</v>
      </c>
      <c r="AB87" s="3">
        <f t="shared" si="220"/>
        <v>0</v>
      </c>
      <c r="AC87" s="383">
        <f t="shared" si="212"/>
        <v>0</v>
      </c>
      <c r="AD87" s="3">
        <f t="shared" si="221"/>
        <v>0</v>
      </c>
      <c r="AE87" s="3">
        <f t="shared" si="221"/>
        <v>0</v>
      </c>
      <c r="AF87" s="3">
        <f t="shared" si="221"/>
        <v>0</v>
      </c>
      <c r="AG87" s="3">
        <f t="shared" si="221"/>
        <v>0</v>
      </c>
      <c r="AH87" s="3">
        <f t="shared" si="221"/>
        <v>0</v>
      </c>
      <c r="AI87" s="3">
        <f t="shared" si="221"/>
        <v>0</v>
      </c>
      <c r="AJ87" s="3">
        <f t="shared" si="221"/>
        <v>0</v>
      </c>
      <c r="AK87" s="3">
        <f t="shared" si="221"/>
        <v>0</v>
      </c>
      <c r="AL87" s="3">
        <f t="shared" si="221"/>
        <v>0</v>
      </c>
      <c r="AM87" s="3">
        <f t="shared" si="221"/>
        <v>0</v>
      </c>
      <c r="AN87" s="3">
        <f t="shared" si="221"/>
        <v>0</v>
      </c>
      <c r="AO87" s="3">
        <f t="shared" si="221"/>
        <v>0</v>
      </c>
      <c r="AP87" s="383">
        <f t="shared" si="214"/>
        <v>0</v>
      </c>
      <c r="AQ87" s="3">
        <f t="shared" si="222"/>
        <v>0</v>
      </c>
      <c r="AR87" s="3">
        <f t="shared" si="222"/>
        <v>0</v>
      </c>
      <c r="AS87" s="3">
        <f t="shared" si="222"/>
        <v>0</v>
      </c>
      <c r="AT87" s="3">
        <f t="shared" si="222"/>
        <v>0</v>
      </c>
      <c r="AU87" s="3">
        <f t="shared" si="222"/>
        <v>0</v>
      </c>
      <c r="AV87" s="3">
        <f t="shared" si="222"/>
        <v>0</v>
      </c>
      <c r="AW87" s="3">
        <f t="shared" si="222"/>
        <v>0</v>
      </c>
      <c r="AX87" s="3">
        <f t="shared" si="222"/>
        <v>0</v>
      </c>
      <c r="AY87" s="3">
        <f t="shared" si="222"/>
        <v>0</v>
      </c>
      <c r="AZ87" s="3">
        <f t="shared" si="222"/>
        <v>0</v>
      </c>
      <c r="BA87" s="3">
        <f t="shared" si="222"/>
        <v>0</v>
      </c>
      <c r="BB87" s="3">
        <f t="shared" si="222"/>
        <v>0</v>
      </c>
      <c r="BC87" s="383">
        <f t="shared" si="216"/>
        <v>0</v>
      </c>
      <c r="BD87" s="3">
        <f t="shared" si="223"/>
        <v>0</v>
      </c>
      <c r="BE87" s="3">
        <f t="shared" si="223"/>
        <v>0</v>
      </c>
      <c r="BF87" s="3">
        <f t="shared" si="223"/>
        <v>0</v>
      </c>
      <c r="BG87" s="3">
        <f t="shared" si="223"/>
        <v>0</v>
      </c>
      <c r="BH87" s="3">
        <f t="shared" si="223"/>
        <v>0</v>
      </c>
      <c r="BI87" s="3">
        <f t="shared" si="223"/>
        <v>0</v>
      </c>
      <c r="BJ87" s="3">
        <f t="shared" si="223"/>
        <v>0</v>
      </c>
      <c r="BK87" s="3">
        <f t="shared" si="223"/>
        <v>0</v>
      </c>
      <c r="BL87" s="3">
        <f t="shared" si="223"/>
        <v>0</v>
      </c>
      <c r="BM87" s="3">
        <f t="shared" si="223"/>
        <v>0</v>
      </c>
      <c r="BN87" s="3">
        <f t="shared" si="223"/>
        <v>0</v>
      </c>
      <c r="BO87" s="3">
        <f t="shared" si="223"/>
        <v>0</v>
      </c>
      <c r="BP87" s="383">
        <f t="shared" si="218"/>
        <v>0</v>
      </c>
      <c r="CF87" s="297" t="s">
        <v>1031</v>
      </c>
      <c r="CG87" s="12" t="s">
        <v>967</v>
      </c>
    </row>
    <row r="88" spans="1:85" s="5" customFormat="1" outlineLevel="1">
      <c r="A88" s="297" t="s">
        <v>520</v>
      </c>
      <c r="B88" s="12" t="s">
        <v>809</v>
      </c>
      <c r="D88" s="3">
        <f t="shared" si="219"/>
        <v>0</v>
      </c>
      <c r="E88" s="3">
        <f t="shared" si="219"/>
        <v>0</v>
      </c>
      <c r="F88" s="3">
        <f t="shared" si="219"/>
        <v>0</v>
      </c>
      <c r="G88" s="3">
        <f t="shared" si="219"/>
        <v>0</v>
      </c>
      <c r="H88" s="3">
        <f t="shared" si="219"/>
        <v>0</v>
      </c>
      <c r="I88" s="3">
        <f t="shared" si="219"/>
        <v>0</v>
      </c>
      <c r="J88" s="3">
        <f t="shared" si="219"/>
        <v>0</v>
      </c>
      <c r="K88" s="3">
        <f t="shared" si="219"/>
        <v>0</v>
      </c>
      <c r="L88" s="3">
        <f t="shared" si="219"/>
        <v>0</v>
      </c>
      <c r="M88" s="3">
        <f t="shared" si="219"/>
        <v>0</v>
      </c>
      <c r="N88" s="3">
        <f t="shared" si="219"/>
        <v>0</v>
      </c>
      <c r="O88" s="3">
        <f t="shared" si="219"/>
        <v>0</v>
      </c>
      <c r="P88" s="383">
        <f t="shared" si="210"/>
        <v>0</v>
      </c>
      <c r="Q88" s="3">
        <f t="shared" si="220"/>
        <v>0</v>
      </c>
      <c r="R88" s="3">
        <f t="shared" si="220"/>
        <v>0</v>
      </c>
      <c r="S88" s="3">
        <f t="shared" si="220"/>
        <v>0</v>
      </c>
      <c r="T88" s="3">
        <f t="shared" si="220"/>
        <v>0</v>
      </c>
      <c r="U88" s="3">
        <f t="shared" si="220"/>
        <v>0</v>
      </c>
      <c r="V88" s="3">
        <f t="shared" si="220"/>
        <v>0</v>
      </c>
      <c r="W88" s="3">
        <f t="shared" si="220"/>
        <v>0</v>
      </c>
      <c r="X88" s="3">
        <f t="shared" si="220"/>
        <v>0</v>
      </c>
      <c r="Y88" s="3">
        <f t="shared" si="220"/>
        <v>0</v>
      </c>
      <c r="Z88" s="3">
        <f t="shared" si="220"/>
        <v>0</v>
      </c>
      <c r="AA88" s="3">
        <f t="shared" si="220"/>
        <v>0</v>
      </c>
      <c r="AB88" s="3">
        <f t="shared" si="220"/>
        <v>0</v>
      </c>
      <c r="AC88" s="383">
        <f t="shared" si="212"/>
        <v>0</v>
      </c>
      <c r="AD88" s="3">
        <f t="shared" si="221"/>
        <v>0</v>
      </c>
      <c r="AE88" s="3">
        <f t="shared" si="221"/>
        <v>0</v>
      </c>
      <c r="AF88" s="3">
        <f t="shared" si="221"/>
        <v>0</v>
      </c>
      <c r="AG88" s="3">
        <f t="shared" si="221"/>
        <v>0</v>
      </c>
      <c r="AH88" s="3">
        <f t="shared" si="221"/>
        <v>0</v>
      </c>
      <c r="AI88" s="3">
        <f t="shared" si="221"/>
        <v>0</v>
      </c>
      <c r="AJ88" s="3">
        <f t="shared" si="221"/>
        <v>0</v>
      </c>
      <c r="AK88" s="3">
        <f t="shared" si="221"/>
        <v>0</v>
      </c>
      <c r="AL88" s="3">
        <f t="shared" si="221"/>
        <v>0</v>
      </c>
      <c r="AM88" s="3">
        <f t="shared" si="221"/>
        <v>0</v>
      </c>
      <c r="AN88" s="3">
        <f t="shared" si="221"/>
        <v>0</v>
      </c>
      <c r="AO88" s="3">
        <f t="shared" si="221"/>
        <v>0</v>
      </c>
      <c r="AP88" s="383">
        <f t="shared" si="214"/>
        <v>0</v>
      </c>
      <c r="AQ88" s="3">
        <f t="shared" si="222"/>
        <v>0</v>
      </c>
      <c r="AR88" s="3">
        <f t="shared" si="222"/>
        <v>0</v>
      </c>
      <c r="AS88" s="3">
        <f t="shared" si="222"/>
        <v>0</v>
      </c>
      <c r="AT88" s="3">
        <f t="shared" si="222"/>
        <v>0</v>
      </c>
      <c r="AU88" s="3">
        <f t="shared" si="222"/>
        <v>0</v>
      </c>
      <c r="AV88" s="3">
        <f t="shared" si="222"/>
        <v>0</v>
      </c>
      <c r="AW88" s="3">
        <f t="shared" si="222"/>
        <v>0</v>
      </c>
      <c r="AX88" s="3">
        <f t="shared" si="222"/>
        <v>0</v>
      </c>
      <c r="AY88" s="3">
        <f t="shared" si="222"/>
        <v>0</v>
      </c>
      <c r="AZ88" s="3">
        <f t="shared" si="222"/>
        <v>0</v>
      </c>
      <c r="BA88" s="3">
        <f t="shared" si="222"/>
        <v>0</v>
      </c>
      <c r="BB88" s="3">
        <f t="shared" si="222"/>
        <v>0</v>
      </c>
      <c r="BC88" s="383">
        <f t="shared" si="216"/>
        <v>0</v>
      </c>
      <c r="BD88" s="3">
        <f t="shared" si="223"/>
        <v>0</v>
      </c>
      <c r="BE88" s="3">
        <f t="shared" si="223"/>
        <v>0</v>
      </c>
      <c r="BF88" s="3">
        <f t="shared" si="223"/>
        <v>0</v>
      </c>
      <c r="BG88" s="3">
        <f t="shared" si="223"/>
        <v>0</v>
      </c>
      <c r="BH88" s="3">
        <f t="shared" si="223"/>
        <v>0</v>
      </c>
      <c r="BI88" s="3">
        <f t="shared" si="223"/>
        <v>0</v>
      </c>
      <c r="BJ88" s="3">
        <f t="shared" si="223"/>
        <v>0</v>
      </c>
      <c r="BK88" s="3">
        <f t="shared" si="223"/>
        <v>0</v>
      </c>
      <c r="BL88" s="3">
        <f t="shared" si="223"/>
        <v>0</v>
      </c>
      <c r="BM88" s="3">
        <f t="shared" si="223"/>
        <v>0</v>
      </c>
      <c r="BN88" s="3">
        <f t="shared" si="223"/>
        <v>0</v>
      </c>
      <c r="BO88" s="3">
        <f t="shared" si="223"/>
        <v>0</v>
      </c>
      <c r="BP88" s="383">
        <f t="shared" si="218"/>
        <v>0</v>
      </c>
      <c r="CF88" s="297" t="s">
        <v>1033</v>
      </c>
      <c r="CG88" s="12" t="s">
        <v>967</v>
      </c>
    </row>
    <row r="89" spans="1:85" s="5" customFormat="1" outlineLevel="1">
      <c r="A89" s="297" t="s">
        <v>521</v>
      </c>
      <c r="B89" s="12" t="s">
        <v>809</v>
      </c>
      <c r="D89" s="3">
        <f t="shared" si="219"/>
        <v>0</v>
      </c>
      <c r="E89" s="3">
        <f t="shared" si="219"/>
        <v>0</v>
      </c>
      <c r="F89" s="3">
        <f t="shared" si="219"/>
        <v>0</v>
      </c>
      <c r="G89" s="3">
        <f t="shared" si="219"/>
        <v>0</v>
      </c>
      <c r="H89" s="3">
        <f t="shared" si="219"/>
        <v>0</v>
      </c>
      <c r="I89" s="3">
        <f t="shared" si="219"/>
        <v>0</v>
      </c>
      <c r="J89" s="3">
        <f t="shared" si="219"/>
        <v>0</v>
      </c>
      <c r="K89" s="3">
        <f t="shared" si="219"/>
        <v>0</v>
      </c>
      <c r="L89" s="3">
        <f t="shared" si="219"/>
        <v>0</v>
      </c>
      <c r="M89" s="3">
        <f t="shared" si="219"/>
        <v>0</v>
      </c>
      <c r="N89" s="3">
        <f t="shared" si="219"/>
        <v>0</v>
      </c>
      <c r="O89" s="3">
        <f t="shared" si="219"/>
        <v>0</v>
      </c>
      <c r="P89" s="383">
        <f t="shared" si="210"/>
        <v>0</v>
      </c>
      <c r="Q89" s="3">
        <f t="shared" si="220"/>
        <v>0</v>
      </c>
      <c r="R89" s="3">
        <f t="shared" si="220"/>
        <v>0</v>
      </c>
      <c r="S89" s="3">
        <f t="shared" si="220"/>
        <v>0</v>
      </c>
      <c r="T89" s="3">
        <f t="shared" si="220"/>
        <v>0</v>
      </c>
      <c r="U89" s="3">
        <f t="shared" si="220"/>
        <v>0</v>
      </c>
      <c r="V89" s="3">
        <f t="shared" si="220"/>
        <v>0</v>
      </c>
      <c r="W89" s="3">
        <f t="shared" si="220"/>
        <v>0</v>
      </c>
      <c r="X89" s="3">
        <f t="shared" si="220"/>
        <v>0</v>
      </c>
      <c r="Y89" s="3">
        <f t="shared" si="220"/>
        <v>0</v>
      </c>
      <c r="Z89" s="3">
        <f t="shared" si="220"/>
        <v>0</v>
      </c>
      <c r="AA89" s="3">
        <f t="shared" si="220"/>
        <v>0</v>
      </c>
      <c r="AB89" s="3">
        <f t="shared" si="220"/>
        <v>0</v>
      </c>
      <c r="AC89" s="383">
        <f t="shared" si="212"/>
        <v>0</v>
      </c>
      <c r="AD89" s="3">
        <f t="shared" si="221"/>
        <v>0</v>
      </c>
      <c r="AE89" s="3">
        <f t="shared" si="221"/>
        <v>0</v>
      </c>
      <c r="AF89" s="3">
        <f t="shared" si="221"/>
        <v>0</v>
      </c>
      <c r="AG89" s="3">
        <f t="shared" si="221"/>
        <v>0</v>
      </c>
      <c r="AH89" s="3">
        <f t="shared" si="221"/>
        <v>0</v>
      </c>
      <c r="AI89" s="3">
        <f t="shared" si="221"/>
        <v>0</v>
      </c>
      <c r="AJ89" s="3">
        <f t="shared" si="221"/>
        <v>0</v>
      </c>
      <c r="AK89" s="3">
        <f t="shared" si="221"/>
        <v>0</v>
      </c>
      <c r="AL89" s="3">
        <f t="shared" si="221"/>
        <v>0</v>
      </c>
      <c r="AM89" s="3">
        <f t="shared" si="221"/>
        <v>0</v>
      </c>
      <c r="AN89" s="3">
        <f t="shared" si="221"/>
        <v>0</v>
      </c>
      <c r="AO89" s="3">
        <f t="shared" si="221"/>
        <v>0</v>
      </c>
      <c r="AP89" s="383">
        <f t="shared" si="214"/>
        <v>0</v>
      </c>
      <c r="AQ89" s="3">
        <f t="shared" si="222"/>
        <v>0</v>
      </c>
      <c r="AR89" s="3">
        <f t="shared" si="222"/>
        <v>0</v>
      </c>
      <c r="AS89" s="3">
        <f t="shared" si="222"/>
        <v>0</v>
      </c>
      <c r="AT89" s="3">
        <f t="shared" si="222"/>
        <v>0</v>
      </c>
      <c r="AU89" s="3">
        <f t="shared" si="222"/>
        <v>0</v>
      </c>
      <c r="AV89" s="3">
        <f t="shared" si="222"/>
        <v>0</v>
      </c>
      <c r="AW89" s="3">
        <f t="shared" si="222"/>
        <v>0</v>
      </c>
      <c r="AX89" s="3">
        <f t="shared" si="222"/>
        <v>0</v>
      </c>
      <c r="AY89" s="3">
        <f t="shared" si="222"/>
        <v>0</v>
      </c>
      <c r="AZ89" s="3">
        <f t="shared" si="222"/>
        <v>0</v>
      </c>
      <c r="BA89" s="3">
        <f t="shared" si="222"/>
        <v>0</v>
      </c>
      <c r="BB89" s="3">
        <f t="shared" si="222"/>
        <v>0</v>
      </c>
      <c r="BC89" s="383">
        <f t="shared" si="216"/>
        <v>0</v>
      </c>
      <c r="BD89" s="3">
        <f t="shared" si="223"/>
        <v>0</v>
      </c>
      <c r="BE89" s="3">
        <f t="shared" si="223"/>
        <v>0</v>
      </c>
      <c r="BF89" s="3">
        <f t="shared" si="223"/>
        <v>0</v>
      </c>
      <c r="BG89" s="3">
        <f t="shared" si="223"/>
        <v>0</v>
      </c>
      <c r="BH89" s="3">
        <f t="shared" si="223"/>
        <v>0</v>
      </c>
      <c r="BI89" s="3">
        <f t="shared" si="223"/>
        <v>0</v>
      </c>
      <c r="BJ89" s="3">
        <f t="shared" si="223"/>
        <v>0</v>
      </c>
      <c r="BK89" s="3">
        <f t="shared" si="223"/>
        <v>0</v>
      </c>
      <c r="BL89" s="3">
        <f t="shared" si="223"/>
        <v>0</v>
      </c>
      <c r="BM89" s="3">
        <f t="shared" si="223"/>
        <v>0</v>
      </c>
      <c r="BN89" s="3">
        <f t="shared" si="223"/>
        <v>0</v>
      </c>
      <c r="BO89" s="3">
        <f t="shared" si="223"/>
        <v>0</v>
      </c>
      <c r="BP89" s="383">
        <f t="shared" si="218"/>
        <v>0</v>
      </c>
      <c r="CF89" s="297" t="s">
        <v>1032</v>
      </c>
      <c r="CG89" s="12" t="s">
        <v>967</v>
      </c>
    </row>
    <row r="90" spans="1:85" s="3" customFormat="1">
      <c r="A90" s="296" t="s">
        <v>472</v>
      </c>
      <c r="B90" s="12" t="s">
        <v>809</v>
      </c>
      <c r="C90" s="5"/>
      <c r="D90" s="3">
        <f t="shared" si="219"/>
        <v>0</v>
      </c>
      <c r="E90" s="3">
        <f t="shared" si="219"/>
        <v>0</v>
      </c>
      <c r="F90" s="3">
        <f t="shared" si="219"/>
        <v>0</v>
      </c>
      <c r="G90" s="3">
        <f t="shared" si="219"/>
        <v>0</v>
      </c>
      <c r="H90" s="3">
        <f t="shared" si="219"/>
        <v>0</v>
      </c>
      <c r="I90" s="3">
        <f t="shared" si="219"/>
        <v>0</v>
      </c>
      <c r="J90" s="3">
        <f t="shared" si="219"/>
        <v>0</v>
      </c>
      <c r="K90" s="3">
        <f t="shared" si="219"/>
        <v>0</v>
      </c>
      <c r="L90" s="3">
        <f t="shared" si="219"/>
        <v>0</v>
      </c>
      <c r="M90" s="3">
        <f t="shared" si="219"/>
        <v>0</v>
      </c>
      <c r="N90" s="3">
        <f t="shared" si="219"/>
        <v>0</v>
      </c>
      <c r="O90" s="3">
        <f t="shared" si="219"/>
        <v>0</v>
      </c>
      <c r="P90" s="397">
        <f t="shared" si="210"/>
        <v>0</v>
      </c>
      <c r="Q90" s="3">
        <f t="shared" si="220"/>
        <v>0</v>
      </c>
      <c r="R90" s="3">
        <f t="shared" si="220"/>
        <v>0</v>
      </c>
      <c r="S90" s="3">
        <f t="shared" si="220"/>
        <v>0</v>
      </c>
      <c r="T90" s="3">
        <f t="shared" si="220"/>
        <v>0</v>
      </c>
      <c r="U90" s="3">
        <f t="shared" si="220"/>
        <v>0</v>
      </c>
      <c r="V90" s="3">
        <f t="shared" si="220"/>
        <v>0</v>
      </c>
      <c r="W90" s="3">
        <f t="shared" si="220"/>
        <v>0</v>
      </c>
      <c r="X90" s="3">
        <f t="shared" si="220"/>
        <v>0</v>
      </c>
      <c r="Y90" s="3">
        <f t="shared" si="220"/>
        <v>0</v>
      </c>
      <c r="Z90" s="3">
        <f t="shared" si="220"/>
        <v>0</v>
      </c>
      <c r="AA90" s="3">
        <f t="shared" si="220"/>
        <v>0</v>
      </c>
      <c r="AB90" s="3">
        <f t="shared" si="220"/>
        <v>0</v>
      </c>
      <c r="AC90" s="397">
        <f t="shared" si="212"/>
        <v>0</v>
      </c>
      <c r="AD90" s="3">
        <f t="shared" si="221"/>
        <v>0</v>
      </c>
      <c r="AE90" s="3">
        <f t="shared" si="221"/>
        <v>0</v>
      </c>
      <c r="AF90" s="3">
        <f t="shared" si="221"/>
        <v>0</v>
      </c>
      <c r="AG90" s="3">
        <f t="shared" si="221"/>
        <v>0</v>
      </c>
      <c r="AH90" s="3">
        <f t="shared" si="221"/>
        <v>0</v>
      </c>
      <c r="AI90" s="3">
        <f t="shared" si="221"/>
        <v>0</v>
      </c>
      <c r="AJ90" s="3">
        <f t="shared" si="221"/>
        <v>0</v>
      </c>
      <c r="AK90" s="3">
        <f t="shared" si="221"/>
        <v>0</v>
      </c>
      <c r="AL90" s="3">
        <f t="shared" si="221"/>
        <v>0</v>
      </c>
      <c r="AM90" s="3">
        <f t="shared" si="221"/>
        <v>0</v>
      </c>
      <c r="AN90" s="3">
        <f t="shared" si="221"/>
        <v>0</v>
      </c>
      <c r="AO90" s="3">
        <f t="shared" si="221"/>
        <v>0</v>
      </c>
      <c r="AP90" s="397">
        <f t="shared" si="214"/>
        <v>0</v>
      </c>
      <c r="AQ90" s="3">
        <f t="shared" si="222"/>
        <v>0</v>
      </c>
      <c r="AR90" s="3">
        <f t="shared" si="222"/>
        <v>0</v>
      </c>
      <c r="AS90" s="3">
        <f t="shared" si="222"/>
        <v>0</v>
      </c>
      <c r="AT90" s="3">
        <f t="shared" si="222"/>
        <v>0</v>
      </c>
      <c r="AU90" s="3">
        <f t="shared" si="222"/>
        <v>0</v>
      </c>
      <c r="AV90" s="3">
        <f t="shared" si="222"/>
        <v>0</v>
      </c>
      <c r="AW90" s="3">
        <f t="shared" si="222"/>
        <v>0</v>
      </c>
      <c r="AX90" s="3">
        <f t="shared" si="222"/>
        <v>0</v>
      </c>
      <c r="AY90" s="3">
        <f t="shared" si="222"/>
        <v>0</v>
      </c>
      <c r="AZ90" s="3">
        <f t="shared" si="222"/>
        <v>0</v>
      </c>
      <c r="BA90" s="3">
        <f t="shared" si="222"/>
        <v>0</v>
      </c>
      <c r="BB90" s="3">
        <f t="shared" si="222"/>
        <v>0</v>
      </c>
      <c r="BC90" s="397">
        <f t="shared" si="216"/>
        <v>0</v>
      </c>
      <c r="BD90" s="3">
        <f t="shared" si="223"/>
        <v>0</v>
      </c>
      <c r="BE90" s="3">
        <f t="shared" si="223"/>
        <v>0</v>
      </c>
      <c r="BF90" s="3">
        <f t="shared" si="223"/>
        <v>0</v>
      </c>
      <c r="BG90" s="3">
        <f t="shared" si="223"/>
        <v>0</v>
      </c>
      <c r="BH90" s="3">
        <f t="shared" si="223"/>
        <v>0</v>
      </c>
      <c r="BI90" s="3">
        <f t="shared" si="223"/>
        <v>0</v>
      </c>
      <c r="BJ90" s="3">
        <f t="shared" si="223"/>
        <v>0</v>
      </c>
      <c r="BK90" s="3">
        <f t="shared" si="223"/>
        <v>0</v>
      </c>
      <c r="BL90" s="3">
        <f t="shared" si="223"/>
        <v>0</v>
      </c>
      <c r="BM90" s="3">
        <f t="shared" si="223"/>
        <v>0</v>
      </c>
      <c r="BN90" s="3">
        <f t="shared" si="223"/>
        <v>0</v>
      </c>
      <c r="BO90" s="3">
        <f t="shared" si="223"/>
        <v>0</v>
      </c>
      <c r="BP90" s="397">
        <f t="shared" si="218"/>
        <v>0</v>
      </c>
      <c r="CF90" s="296" t="s">
        <v>864</v>
      </c>
      <c r="CG90" s="12" t="s">
        <v>967</v>
      </c>
    </row>
    <row r="91" spans="1:85" s="3" customFormat="1" outlineLevel="1">
      <c r="A91" s="297" t="s">
        <v>522</v>
      </c>
      <c r="B91" s="12" t="s">
        <v>809</v>
      </c>
      <c r="C91" s="5"/>
      <c r="D91" s="3">
        <f t="shared" si="219"/>
        <v>0</v>
      </c>
      <c r="E91" s="3">
        <f t="shared" si="219"/>
        <v>0</v>
      </c>
      <c r="F91" s="3">
        <f t="shared" si="219"/>
        <v>0</v>
      </c>
      <c r="G91" s="3">
        <f t="shared" si="219"/>
        <v>0</v>
      </c>
      <c r="H91" s="3">
        <f t="shared" si="219"/>
        <v>0</v>
      </c>
      <c r="I91" s="3">
        <f t="shared" si="219"/>
        <v>0</v>
      </c>
      <c r="J91" s="3">
        <f t="shared" si="219"/>
        <v>0</v>
      </c>
      <c r="K91" s="3">
        <f t="shared" si="219"/>
        <v>0</v>
      </c>
      <c r="L91" s="3">
        <f t="shared" si="219"/>
        <v>0</v>
      </c>
      <c r="M91" s="3">
        <f t="shared" si="219"/>
        <v>0</v>
      </c>
      <c r="N91" s="3">
        <f t="shared" si="219"/>
        <v>0</v>
      </c>
      <c r="O91" s="3">
        <f t="shared" si="219"/>
        <v>0</v>
      </c>
      <c r="P91" s="397"/>
      <c r="Q91" s="3">
        <f t="shared" si="220"/>
        <v>0</v>
      </c>
      <c r="R91" s="3">
        <f t="shared" si="220"/>
        <v>0</v>
      </c>
      <c r="S91" s="3">
        <f t="shared" si="220"/>
        <v>0</v>
      </c>
      <c r="T91" s="3">
        <f t="shared" si="220"/>
        <v>0</v>
      </c>
      <c r="U91" s="3">
        <f t="shared" si="220"/>
        <v>0</v>
      </c>
      <c r="V91" s="3">
        <f t="shared" si="220"/>
        <v>0</v>
      </c>
      <c r="W91" s="3">
        <f t="shared" si="220"/>
        <v>0</v>
      </c>
      <c r="X91" s="3">
        <f t="shared" si="220"/>
        <v>0</v>
      </c>
      <c r="Y91" s="3">
        <f t="shared" si="220"/>
        <v>0</v>
      </c>
      <c r="Z91" s="3">
        <f t="shared" si="220"/>
        <v>0</v>
      </c>
      <c r="AA91" s="3">
        <f t="shared" si="220"/>
        <v>0</v>
      </c>
      <c r="AB91" s="3">
        <f t="shared" si="220"/>
        <v>0</v>
      </c>
      <c r="AC91" s="397"/>
      <c r="AD91" s="3">
        <f t="shared" si="221"/>
        <v>0</v>
      </c>
      <c r="AE91" s="3">
        <f t="shared" si="221"/>
        <v>0</v>
      </c>
      <c r="AF91" s="3">
        <f t="shared" si="221"/>
        <v>0</v>
      </c>
      <c r="AG91" s="3">
        <f t="shared" si="221"/>
        <v>0</v>
      </c>
      <c r="AH91" s="3">
        <f t="shared" si="221"/>
        <v>0</v>
      </c>
      <c r="AI91" s="3">
        <f t="shared" si="221"/>
        <v>0</v>
      </c>
      <c r="AJ91" s="3">
        <f t="shared" si="221"/>
        <v>0</v>
      </c>
      <c r="AK91" s="3">
        <f t="shared" si="221"/>
        <v>0</v>
      </c>
      <c r="AL91" s="3">
        <f t="shared" si="221"/>
        <v>0</v>
      </c>
      <c r="AM91" s="3">
        <f t="shared" si="221"/>
        <v>0</v>
      </c>
      <c r="AN91" s="3">
        <f t="shared" si="221"/>
        <v>0</v>
      </c>
      <c r="AO91" s="3">
        <f t="shared" si="221"/>
        <v>0</v>
      </c>
      <c r="AP91" s="397"/>
      <c r="AQ91" s="3">
        <f t="shared" si="222"/>
        <v>0</v>
      </c>
      <c r="AR91" s="3">
        <f t="shared" si="222"/>
        <v>0</v>
      </c>
      <c r="AS91" s="3">
        <f t="shared" si="222"/>
        <v>0</v>
      </c>
      <c r="AT91" s="3">
        <f t="shared" si="222"/>
        <v>0</v>
      </c>
      <c r="AU91" s="3">
        <f t="shared" si="222"/>
        <v>0</v>
      </c>
      <c r="AV91" s="3">
        <f t="shared" si="222"/>
        <v>0</v>
      </c>
      <c r="AW91" s="3">
        <f t="shared" si="222"/>
        <v>0</v>
      </c>
      <c r="AX91" s="3">
        <f t="shared" si="222"/>
        <v>0</v>
      </c>
      <c r="AY91" s="3">
        <f t="shared" si="222"/>
        <v>0</v>
      </c>
      <c r="AZ91" s="3">
        <f t="shared" si="222"/>
        <v>0</v>
      </c>
      <c r="BA91" s="3">
        <f t="shared" si="222"/>
        <v>0</v>
      </c>
      <c r="BB91" s="3">
        <f t="shared" si="222"/>
        <v>0</v>
      </c>
      <c r="BC91" s="397"/>
      <c r="BD91" s="3">
        <f t="shared" si="223"/>
        <v>0</v>
      </c>
      <c r="BE91" s="3">
        <f t="shared" si="223"/>
        <v>0</v>
      </c>
      <c r="BF91" s="3">
        <f t="shared" si="223"/>
        <v>0</v>
      </c>
      <c r="BG91" s="3">
        <f t="shared" si="223"/>
        <v>0</v>
      </c>
      <c r="BH91" s="3">
        <f t="shared" si="223"/>
        <v>0</v>
      </c>
      <c r="BI91" s="3">
        <f t="shared" si="223"/>
        <v>0</v>
      </c>
      <c r="BJ91" s="3">
        <f t="shared" si="223"/>
        <v>0</v>
      </c>
      <c r="BK91" s="3">
        <f t="shared" si="223"/>
        <v>0</v>
      </c>
      <c r="BL91" s="3">
        <f t="shared" si="223"/>
        <v>0</v>
      </c>
      <c r="BM91" s="3">
        <f t="shared" si="223"/>
        <v>0</v>
      </c>
      <c r="BN91" s="3">
        <f t="shared" si="223"/>
        <v>0</v>
      </c>
      <c r="BO91" s="3">
        <f t="shared" si="223"/>
        <v>0</v>
      </c>
      <c r="BP91" s="397"/>
      <c r="CF91" s="297" t="s">
        <v>1034</v>
      </c>
      <c r="CG91" s="12" t="s">
        <v>967</v>
      </c>
    </row>
    <row r="92" spans="1:85" s="3" customFormat="1" outlineLevel="1">
      <c r="A92" s="297" t="s">
        <v>523</v>
      </c>
      <c r="B92" s="12" t="s">
        <v>809</v>
      </c>
      <c r="C92" s="5"/>
      <c r="D92" s="3">
        <f t="shared" si="219"/>
        <v>0</v>
      </c>
      <c r="E92" s="3">
        <f t="shared" si="219"/>
        <v>0</v>
      </c>
      <c r="F92" s="3">
        <f t="shared" si="219"/>
        <v>0</v>
      </c>
      <c r="G92" s="3">
        <f t="shared" si="219"/>
        <v>0</v>
      </c>
      <c r="H92" s="3">
        <f t="shared" si="219"/>
        <v>0</v>
      </c>
      <c r="I92" s="3">
        <f t="shared" si="219"/>
        <v>0</v>
      </c>
      <c r="J92" s="3">
        <f t="shared" si="219"/>
        <v>0</v>
      </c>
      <c r="K92" s="3">
        <f t="shared" si="219"/>
        <v>0</v>
      </c>
      <c r="L92" s="3">
        <f t="shared" si="219"/>
        <v>0</v>
      </c>
      <c r="M92" s="3">
        <f t="shared" si="219"/>
        <v>0</v>
      </c>
      <c r="N92" s="3">
        <f t="shared" si="219"/>
        <v>0</v>
      </c>
      <c r="O92" s="3">
        <f t="shared" si="219"/>
        <v>0</v>
      </c>
      <c r="P92" s="397"/>
      <c r="Q92" s="3">
        <f t="shared" si="220"/>
        <v>0</v>
      </c>
      <c r="R92" s="3">
        <f t="shared" si="220"/>
        <v>0</v>
      </c>
      <c r="S92" s="3">
        <f t="shared" si="220"/>
        <v>0</v>
      </c>
      <c r="T92" s="3">
        <f t="shared" si="220"/>
        <v>0</v>
      </c>
      <c r="U92" s="3">
        <f t="shared" si="220"/>
        <v>0</v>
      </c>
      <c r="V92" s="3">
        <f t="shared" si="220"/>
        <v>0</v>
      </c>
      <c r="W92" s="3">
        <f t="shared" si="220"/>
        <v>0</v>
      </c>
      <c r="X92" s="3">
        <f t="shared" si="220"/>
        <v>0</v>
      </c>
      <c r="Y92" s="3">
        <f t="shared" si="220"/>
        <v>0</v>
      </c>
      <c r="Z92" s="3">
        <f t="shared" si="220"/>
        <v>0</v>
      </c>
      <c r="AA92" s="3">
        <f t="shared" si="220"/>
        <v>0</v>
      </c>
      <c r="AB92" s="3">
        <f t="shared" si="220"/>
        <v>0</v>
      </c>
      <c r="AC92" s="397"/>
      <c r="AD92" s="3">
        <f t="shared" si="221"/>
        <v>0</v>
      </c>
      <c r="AE92" s="3">
        <f t="shared" si="221"/>
        <v>0</v>
      </c>
      <c r="AF92" s="3">
        <f t="shared" si="221"/>
        <v>0</v>
      </c>
      <c r="AG92" s="3">
        <f t="shared" si="221"/>
        <v>0</v>
      </c>
      <c r="AH92" s="3">
        <f t="shared" si="221"/>
        <v>0</v>
      </c>
      <c r="AI92" s="3">
        <f t="shared" si="221"/>
        <v>0</v>
      </c>
      <c r="AJ92" s="3">
        <f t="shared" si="221"/>
        <v>0</v>
      </c>
      <c r="AK92" s="3">
        <f t="shared" si="221"/>
        <v>0</v>
      </c>
      <c r="AL92" s="3">
        <f t="shared" si="221"/>
        <v>0</v>
      </c>
      <c r="AM92" s="3">
        <f t="shared" si="221"/>
        <v>0</v>
      </c>
      <c r="AN92" s="3">
        <f t="shared" si="221"/>
        <v>0</v>
      </c>
      <c r="AO92" s="3">
        <f t="shared" si="221"/>
        <v>0</v>
      </c>
      <c r="AP92" s="397"/>
      <c r="AQ92" s="3">
        <f t="shared" si="222"/>
        <v>0</v>
      </c>
      <c r="AR92" s="3">
        <f t="shared" si="222"/>
        <v>0</v>
      </c>
      <c r="AS92" s="3">
        <f t="shared" si="222"/>
        <v>0</v>
      </c>
      <c r="AT92" s="3">
        <f t="shared" si="222"/>
        <v>0</v>
      </c>
      <c r="AU92" s="3">
        <f t="shared" si="222"/>
        <v>0</v>
      </c>
      <c r="AV92" s="3">
        <f t="shared" si="222"/>
        <v>0</v>
      </c>
      <c r="AW92" s="3">
        <f t="shared" si="222"/>
        <v>0</v>
      </c>
      <c r="AX92" s="3">
        <f t="shared" si="222"/>
        <v>0</v>
      </c>
      <c r="AY92" s="3">
        <f t="shared" si="222"/>
        <v>0</v>
      </c>
      <c r="AZ92" s="3">
        <f t="shared" si="222"/>
        <v>0</v>
      </c>
      <c r="BA92" s="3">
        <f t="shared" si="222"/>
        <v>0</v>
      </c>
      <c r="BB92" s="3">
        <f t="shared" si="222"/>
        <v>0</v>
      </c>
      <c r="BC92" s="397"/>
      <c r="BD92" s="3">
        <f t="shared" si="223"/>
        <v>0</v>
      </c>
      <c r="BE92" s="3">
        <f t="shared" si="223"/>
        <v>0</v>
      </c>
      <c r="BF92" s="3">
        <f t="shared" si="223"/>
        <v>0</v>
      </c>
      <c r="BG92" s="3">
        <f t="shared" si="223"/>
        <v>0</v>
      </c>
      <c r="BH92" s="3">
        <f t="shared" si="223"/>
        <v>0</v>
      </c>
      <c r="BI92" s="3">
        <f t="shared" si="223"/>
        <v>0</v>
      </c>
      <c r="BJ92" s="3">
        <f t="shared" si="223"/>
        <v>0</v>
      </c>
      <c r="BK92" s="3">
        <f t="shared" si="223"/>
        <v>0</v>
      </c>
      <c r="BL92" s="3">
        <f t="shared" si="223"/>
        <v>0</v>
      </c>
      <c r="BM92" s="3">
        <f t="shared" si="223"/>
        <v>0</v>
      </c>
      <c r="BN92" s="3">
        <f t="shared" si="223"/>
        <v>0</v>
      </c>
      <c r="BO92" s="3">
        <f t="shared" si="223"/>
        <v>0</v>
      </c>
      <c r="BP92" s="397"/>
      <c r="CF92" s="297" t="s">
        <v>1035</v>
      </c>
      <c r="CG92" s="12" t="s">
        <v>967</v>
      </c>
    </row>
    <row r="93" spans="1:85" s="3" customFormat="1" outlineLevel="1">
      <c r="A93" s="297" t="s">
        <v>524</v>
      </c>
      <c r="B93" s="12" t="s">
        <v>809</v>
      </c>
      <c r="C93" s="5"/>
      <c r="D93" s="3">
        <f t="shared" si="219"/>
        <v>0</v>
      </c>
      <c r="E93" s="3">
        <f t="shared" si="219"/>
        <v>0</v>
      </c>
      <c r="F93" s="3">
        <f t="shared" si="219"/>
        <v>0</v>
      </c>
      <c r="G93" s="3">
        <f t="shared" si="219"/>
        <v>0</v>
      </c>
      <c r="H93" s="3">
        <f t="shared" si="219"/>
        <v>0</v>
      </c>
      <c r="I93" s="3">
        <f t="shared" si="219"/>
        <v>0</v>
      </c>
      <c r="J93" s="3">
        <f t="shared" si="219"/>
        <v>0</v>
      </c>
      <c r="K93" s="3">
        <f t="shared" si="219"/>
        <v>0</v>
      </c>
      <c r="L93" s="3">
        <f t="shared" si="219"/>
        <v>0</v>
      </c>
      <c r="M93" s="3">
        <f t="shared" si="219"/>
        <v>0</v>
      </c>
      <c r="N93" s="3">
        <f t="shared" si="219"/>
        <v>0</v>
      </c>
      <c r="O93" s="3">
        <f t="shared" si="219"/>
        <v>0</v>
      </c>
      <c r="P93" s="397"/>
      <c r="Q93" s="3">
        <f t="shared" ref="Q93:AB108" si="224">Q54/500*1000</f>
        <v>0</v>
      </c>
      <c r="R93" s="3">
        <f t="shared" si="224"/>
        <v>0</v>
      </c>
      <c r="S93" s="3">
        <f t="shared" si="224"/>
        <v>0</v>
      </c>
      <c r="T93" s="3">
        <f t="shared" si="224"/>
        <v>0</v>
      </c>
      <c r="U93" s="3">
        <f t="shared" si="224"/>
        <v>0</v>
      </c>
      <c r="V93" s="3">
        <f t="shared" si="224"/>
        <v>0</v>
      </c>
      <c r="W93" s="3">
        <f t="shared" si="224"/>
        <v>0</v>
      </c>
      <c r="X93" s="3">
        <f t="shared" si="224"/>
        <v>0</v>
      </c>
      <c r="Y93" s="3">
        <f t="shared" si="224"/>
        <v>0</v>
      </c>
      <c r="Z93" s="3">
        <f t="shared" si="224"/>
        <v>0</v>
      </c>
      <c r="AA93" s="3">
        <f t="shared" si="224"/>
        <v>0</v>
      </c>
      <c r="AB93" s="3">
        <f t="shared" si="224"/>
        <v>0</v>
      </c>
      <c r="AC93" s="397"/>
      <c r="AD93" s="3">
        <f t="shared" ref="AD93:AO108" si="225">AD54/500*1000</f>
        <v>0</v>
      </c>
      <c r="AE93" s="3">
        <f t="shared" si="225"/>
        <v>0</v>
      </c>
      <c r="AF93" s="3">
        <f t="shared" si="225"/>
        <v>0</v>
      </c>
      <c r="AG93" s="3">
        <f t="shared" si="225"/>
        <v>0</v>
      </c>
      <c r="AH93" s="3">
        <f t="shared" si="225"/>
        <v>0</v>
      </c>
      <c r="AI93" s="3">
        <f t="shared" si="225"/>
        <v>0</v>
      </c>
      <c r="AJ93" s="3">
        <f t="shared" si="225"/>
        <v>0</v>
      </c>
      <c r="AK93" s="3">
        <f t="shared" si="225"/>
        <v>0</v>
      </c>
      <c r="AL93" s="3">
        <f t="shared" si="225"/>
        <v>0</v>
      </c>
      <c r="AM93" s="3">
        <f t="shared" si="225"/>
        <v>0</v>
      </c>
      <c r="AN93" s="3">
        <f t="shared" si="225"/>
        <v>0</v>
      </c>
      <c r="AO93" s="3">
        <f t="shared" si="225"/>
        <v>0</v>
      </c>
      <c r="AP93" s="397"/>
      <c r="AQ93" s="3">
        <f t="shared" ref="AQ93:BB108" si="226">AQ54/500*1000</f>
        <v>0</v>
      </c>
      <c r="AR93" s="3">
        <f t="shared" si="226"/>
        <v>0</v>
      </c>
      <c r="AS93" s="3">
        <f t="shared" si="226"/>
        <v>0</v>
      </c>
      <c r="AT93" s="3">
        <f t="shared" si="226"/>
        <v>0</v>
      </c>
      <c r="AU93" s="3">
        <f t="shared" si="226"/>
        <v>0</v>
      </c>
      <c r="AV93" s="3">
        <f t="shared" si="226"/>
        <v>0</v>
      </c>
      <c r="AW93" s="3">
        <f t="shared" si="226"/>
        <v>0</v>
      </c>
      <c r="AX93" s="3">
        <f t="shared" si="226"/>
        <v>0</v>
      </c>
      <c r="AY93" s="3">
        <f t="shared" si="226"/>
        <v>0</v>
      </c>
      <c r="AZ93" s="3">
        <f t="shared" si="226"/>
        <v>0</v>
      </c>
      <c r="BA93" s="3">
        <f t="shared" si="226"/>
        <v>0</v>
      </c>
      <c r="BB93" s="3">
        <f t="shared" si="226"/>
        <v>0</v>
      </c>
      <c r="BC93" s="397"/>
      <c r="BD93" s="3">
        <f t="shared" ref="BD93:BO108" si="227">BD54/500*1000</f>
        <v>0</v>
      </c>
      <c r="BE93" s="3">
        <f t="shared" si="227"/>
        <v>0</v>
      </c>
      <c r="BF93" s="3">
        <f t="shared" si="227"/>
        <v>0</v>
      </c>
      <c r="BG93" s="3">
        <f t="shared" si="227"/>
        <v>0</v>
      </c>
      <c r="BH93" s="3">
        <f t="shared" si="227"/>
        <v>0</v>
      </c>
      <c r="BI93" s="3">
        <f t="shared" si="227"/>
        <v>0</v>
      </c>
      <c r="BJ93" s="3">
        <f t="shared" si="227"/>
        <v>0</v>
      </c>
      <c r="BK93" s="3">
        <f t="shared" si="227"/>
        <v>0</v>
      </c>
      <c r="BL93" s="3">
        <f t="shared" si="227"/>
        <v>0</v>
      </c>
      <c r="BM93" s="3">
        <f t="shared" si="227"/>
        <v>0</v>
      </c>
      <c r="BN93" s="3">
        <f t="shared" si="227"/>
        <v>0</v>
      </c>
      <c r="BO93" s="3">
        <f t="shared" si="227"/>
        <v>0</v>
      </c>
      <c r="BP93" s="397"/>
      <c r="CF93" s="297" t="s">
        <v>1036</v>
      </c>
      <c r="CG93" s="12" t="s">
        <v>967</v>
      </c>
    </row>
    <row r="94" spans="1:85" s="3" customFormat="1">
      <c r="A94" s="296" t="s">
        <v>525</v>
      </c>
      <c r="B94" s="12" t="s">
        <v>809</v>
      </c>
      <c r="C94" s="5"/>
      <c r="D94" s="3">
        <f t="shared" si="219"/>
        <v>0</v>
      </c>
      <c r="E94" s="3">
        <f t="shared" si="219"/>
        <v>0</v>
      </c>
      <c r="F94" s="3">
        <f t="shared" si="219"/>
        <v>0</v>
      </c>
      <c r="G94" s="3">
        <f t="shared" si="219"/>
        <v>0</v>
      </c>
      <c r="H94" s="3">
        <f t="shared" si="219"/>
        <v>0</v>
      </c>
      <c r="I94" s="3">
        <f t="shared" si="219"/>
        <v>0</v>
      </c>
      <c r="J94" s="3">
        <f t="shared" si="219"/>
        <v>0</v>
      </c>
      <c r="K94" s="3">
        <f t="shared" si="219"/>
        <v>0</v>
      </c>
      <c r="L94" s="3">
        <f t="shared" si="219"/>
        <v>0</v>
      </c>
      <c r="M94" s="3">
        <f t="shared" si="219"/>
        <v>0</v>
      </c>
      <c r="N94" s="3">
        <f t="shared" si="219"/>
        <v>0</v>
      </c>
      <c r="O94" s="3">
        <f t="shared" si="219"/>
        <v>0</v>
      </c>
      <c r="P94" s="397">
        <f t="shared" ref="P94:P99" si="228">SUM(D94:O94)</f>
        <v>0</v>
      </c>
      <c r="Q94" s="3">
        <f t="shared" si="224"/>
        <v>0</v>
      </c>
      <c r="R94" s="3">
        <f t="shared" si="224"/>
        <v>0</v>
      </c>
      <c r="S94" s="3">
        <f t="shared" si="224"/>
        <v>0</v>
      </c>
      <c r="T94" s="3">
        <f t="shared" si="224"/>
        <v>0</v>
      </c>
      <c r="U94" s="3">
        <f t="shared" si="224"/>
        <v>0</v>
      </c>
      <c r="V94" s="3">
        <f t="shared" si="224"/>
        <v>0</v>
      </c>
      <c r="W94" s="3">
        <f t="shared" si="224"/>
        <v>0</v>
      </c>
      <c r="X94" s="3">
        <f t="shared" si="224"/>
        <v>0</v>
      </c>
      <c r="Y94" s="3">
        <f t="shared" si="224"/>
        <v>0</v>
      </c>
      <c r="Z94" s="3">
        <f t="shared" si="224"/>
        <v>0</v>
      </c>
      <c r="AA94" s="3">
        <f t="shared" si="224"/>
        <v>0</v>
      </c>
      <c r="AB94" s="3">
        <f t="shared" si="224"/>
        <v>0</v>
      </c>
      <c r="AC94" s="397">
        <f t="shared" ref="AC94:AC99" si="229">SUM(Q94:AB94)</f>
        <v>0</v>
      </c>
      <c r="AD94" s="3">
        <f t="shared" si="225"/>
        <v>0</v>
      </c>
      <c r="AE94" s="3">
        <f t="shared" si="225"/>
        <v>0</v>
      </c>
      <c r="AF94" s="3">
        <f t="shared" si="225"/>
        <v>0</v>
      </c>
      <c r="AG94" s="3">
        <f t="shared" si="225"/>
        <v>0</v>
      </c>
      <c r="AH94" s="3">
        <f t="shared" si="225"/>
        <v>0</v>
      </c>
      <c r="AI94" s="3">
        <f t="shared" si="225"/>
        <v>0</v>
      </c>
      <c r="AJ94" s="3">
        <f t="shared" si="225"/>
        <v>0</v>
      </c>
      <c r="AK94" s="3">
        <f t="shared" si="225"/>
        <v>0</v>
      </c>
      <c r="AL94" s="3">
        <f t="shared" si="225"/>
        <v>0</v>
      </c>
      <c r="AM94" s="3">
        <f t="shared" si="225"/>
        <v>0</v>
      </c>
      <c r="AN94" s="3">
        <f t="shared" si="225"/>
        <v>0</v>
      </c>
      <c r="AO94" s="3">
        <f t="shared" si="225"/>
        <v>0</v>
      </c>
      <c r="AP94" s="397">
        <f t="shared" ref="AP94:AP99" si="230">SUM(AD94:AO94)</f>
        <v>0</v>
      </c>
      <c r="AQ94" s="3">
        <f t="shared" si="226"/>
        <v>0</v>
      </c>
      <c r="AR94" s="3">
        <f t="shared" si="226"/>
        <v>0</v>
      </c>
      <c r="AS94" s="3">
        <f t="shared" si="226"/>
        <v>0</v>
      </c>
      <c r="AT94" s="3">
        <f t="shared" si="226"/>
        <v>0</v>
      </c>
      <c r="AU94" s="3">
        <f t="shared" si="226"/>
        <v>0</v>
      </c>
      <c r="AV94" s="3">
        <f t="shared" si="226"/>
        <v>0</v>
      </c>
      <c r="AW94" s="3">
        <f t="shared" si="226"/>
        <v>0</v>
      </c>
      <c r="AX94" s="3">
        <f t="shared" si="226"/>
        <v>0</v>
      </c>
      <c r="AY94" s="3">
        <f t="shared" si="226"/>
        <v>0</v>
      </c>
      <c r="AZ94" s="3">
        <f t="shared" si="226"/>
        <v>0</v>
      </c>
      <c r="BA94" s="3">
        <f t="shared" si="226"/>
        <v>0</v>
      </c>
      <c r="BB94" s="3">
        <f t="shared" si="226"/>
        <v>0</v>
      </c>
      <c r="BC94" s="397">
        <f t="shared" ref="BC94:BC99" si="231">SUM(AQ94:BB94)</f>
        <v>0</v>
      </c>
      <c r="BD94" s="3">
        <f t="shared" si="227"/>
        <v>0</v>
      </c>
      <c r="BE94" s="3">
        <f t="shared" si="227"/>
        <v>0</v>
      </c>
      <c r="BF94" s="3">
        <f t="shared" si="227"/>
        <v>0</v>
      </c>
      <c r="BG94" s="3">
        <f t="shared" si="227"/>
        <v>0</v>
      </c>
      <c r="BH94" s="3">
        <f t="shared" si="227"/>
        <v>0</v>
      </c>
      <c r="BI94" s="3">
        <f t="shared" si="227"/>
        <v>0</v>
      </c>
      <c r="BJ94" s="3">
        <f t="shared" si="227"/>
        <v>0</v>
      </c>
      <c r="BK94" s="3">
        <f t="shared" si="227"/>
        <v>0</v>
      </c>
      <c r="BL94" s="3">
        <f t="shared" si="227"/>
        <v>0</v>
      </c>
      <c r="BM94" s="3">
        <f t="shared" si="227"/>
        <v>0</v>
      </c>
      <c r="BN94" s="3">
        <f t="shared" si="227"/>
        <v>0</v>
      </c>
      <c r="BO94" s="3">
        <f t="shared" si="227"/>
        <v>0</v>
      </c>
      <c r="BP94" s="397">
        <f t="shared" ref="BP94:BP99" si="232">SUM(BD94:BO94)</f>
        <v>0</v>
      </c>
      <c r="CF94" s="296" t="s">
        <v>865</v>
      </c>
      <c r="CG94" s="12" t="s">
        <v>967</v>
      </c>
    </row>
    <row r="95" spans="1:85" s="3" customFormat="1">
      <c r="A95" s="300" t="s">
        <v>526</v>
      </c>
      <c r="B95" s="12" t="s">
        <v>809</v>
      </c>
      <c r="C95" s="5"/>
      <c r="D95" s="3">
        <f t="shared" si="219"/>
        <v>0</v>
      </c>
      <c r="E95" s="3">
        <f t="shared" si="219"/>
        <v>0</v>
      </c>
      <c r="F95" s="3">
        <f t="shared" si="219"/>
        <v>0</v>
      </c>
      <c r="G95" s="3">
        <f t="shared" si="219"/>
        <v>0</v>
      </c>
      <c r="H95" s="3">
        <f t="shared" si="219"/>
        <v>0</v>
      </c>
      <c r="I95" s="3">
        <f t="shared" si="219"/>
        <v>0</v>
      </c>
      <c r="J95" s="3">
        <f t="shared" si="219"/>
        <v>0</v>
      </c>
      <c r="K95" s="3">
        <f t="shared" si="219"/>
        <v>0</v>
      </c>
      <c r="L95" s="3">
        <f t="shared" si="219"/>
        <v>0</v>
      </c>
      <c r="M95" s="3">
        <f t="shared" si="219"/>
        <v>0</v>
      </c>
      <c r="N95" s="3">
        <f t="shared" si="219"/>
        <v>0</v>
      </c>
      <c r="O95" s="3">
        <f t="shared" si="219"/>
        <v>0</v>
      </c>
      <c r="P95" s="397">
        <f t="shared" si="228"/>
        <v>0</v>
      </c>
      <c r="Q95" s="3">
        <f t="shared" si="224"/>
        <v>0</v>
      </c>
      <c r="R95" s="3">
        <f t="shared" si="224"/>
        <v>0</v>
      </c>
      <c r="S95" s="3">
        <f t="shared" si="224"/>
        <v>0</v>
      </c>
      <c r="T95" s="3">
        <f t="shared" si="224"/>
        <v>0</v>
      </c>
      <c r="U95" s="3">
        <f t="shared" si="224"/>
        <v>0</v>
      </c>
      <c r="V95" s="3">
        <f t="shared" si="224"/>
        <v>0</v>
      </c>
      <c r="W95" s="3">
        <f t="shared" si="224"/>
        <v>0</v>
      </c>
      <c r="X95" s="3">
        <f t="shared" si="224"/>
        <v>0</v>
      </c>
      <c r="Y95" s="3">
        <f t="shared" si="224"/>
        <v>0</v>
      </c>
      <c r="Z95" s="3">
        <f t="shared" si="224"/>
        <v>0</v>
      </c>
      <c r="AA95" s="3">
        <f t="shared" si="224"/>
        <v>0</v>
      </c>
      <c r="AB95" s="3">
        <f t="shared" si="224"/>
        <v>0</v>
      </c>
      <c r="AC95" s="397">
        <f t="shared" si="229"/>
        <v>0</v>
      </c>
      <c r="AD95" s="3">
        <f t="shared" si="225"/>
        <v>0</v>
      </c>
      <c r="AE95" s="3">
        <f t="shared" si="225"/>
        <v>0</v>
      </c>
      <c r="AF95" s="3">
        <f t="shared" si="225"/>
        <v>0</v>
      </c>
      <c r="AG95" s="3">
        <f t="shared" si="225"/>
        <v>0</v>
      </c>
      <c r="AH95" s="3">
        <f t="shared" si="225"/>
        <v>0</v>
      </c>
      <c r="AI95" s="3">
        <f t="shared" si="225"/>
        <v>0</v>
      </c>
      <c r="AJ95" s="3">
        <f t="shared" si="225"/>
        <v>0</v>
      </c>
      <c r="AK95" s="3">
        <f t="shared" si="225"/>
        <v>0</v>
      </c>
      <c r="AL95" s="3">
        <f t="shared" si="225"/>
        <v>0</v>
      </c>
      <c r="AM95" s="3">
        <f t="shared" si="225"/>
        <v>0</v>
      </c>
      <c r="AN95" s="3">
        <f t="shared" si="225"/>
        <v>0</v>
      </c>
      <c r="AO95" s="3">
        <f t="shared" si="225"/>
        <v>0</v>
      </c>
      <c r="AP95" s="397">
        <f t="shared" si="230"/>
        <v>0</v>
      </c>
      <c r="AQ95" s="3">
        <f t="shared" si="226"/>
        <v>0</v>
      </c>
      <c r="AR95" s="3">
        <f t="shared" si="226"/>
        <v>0</v>
      </c>
      <c r="AS95" s="3">
        <f t="shared" si="226"/>
        <v>0</v>
      </c>
      <c r="AT95" s="3">
        <f t="shared" si="226"/>
        <v>0</v>
      </c>
      <c r="AU95" s="3">
        <f t="shared" si="226"/>
        <v>0</v>
      </c>
      <c r="AV95" s="3">
        <f t="shared" si="226"/>
        <v>0</v>
      </c>
      <c r="AW95" s="3">
        <f t="shared" si="226"/>
        <v>0</v>
      </c>
      <c r="AX95" s="3">
        <f t="shared" si="226"/>
        <v>0</v>
      </c>
      <c r="AY95" s="3">
        <f t="shared" si="226"/>
        <v>0</v>
      </c>
      <c r="AZ95" s="3">
        <f t="shared" si="226"/>
        <v>0</v>
      </c>
      <c r="BA95" s="3">
        <f t="shared" si="226"/>
        <v>0</v>
      </c>
      <c r="BB95" s="3">
        <f t="shared" si="226"/>
        <v>0</v>
      </c>
      <c r="BC95" s="397">
        <f t="shared" si="231"/>
        <v>0</v>
      </c>
      <c r="BD95" s="3">
        <f t="shared" si="227"/>
        <v>0</v>
      </c>
      <c r="BE95" s="3">
        <f t="shared" si="227"/>
        <v>0</v>
      </c>
      <c r="BF95" s="3">
        <f t="shared" si="227"/>
        <v>0</v>
      </c>
      <c r="BG95" s="3">
        <f t="shared" si="227"/>
        <v>0</v>
      </c>
      <c r="BH95" s="3">
        <f t="shared" si="227"/>
        <v>0</v>
      </c>
      <c r="BI95" s="3">
        <f t="shared" si="227"/>
        <v>0</v>
      </c>
      <c r="BJ95" s="3">
        <f t="shared" si="227"/>
        <v>0</v>
      </c>
      <c r="BK95" s="3">
        <f t="shared" si="227"/>
        <v>0</v>
      </c>
      <c r="BL95" s="3">
        <f t="shared" si="227"/>
        <v>0</v>
      </c>
      <c r="BM95" s="3">
        <f t="shared" si="227"/>
        <v>0</v>
      </c>
      <c r="BN95" s="3">
        <f t="shared" si="227"/>
        <v>0</v>
      </c>
      <c r="BO95" s="3">
        <f t="shared" si="227"/>
        <v>0</v>
      </c>
      <c r="BP95" s="397">
        <f t="shared" si="232"/>
        <v>0</v>
      </c>
      <c r="CF95" s="300" t="s">
        <v>866</v>
      </c>
      <c r="CG95" s="12" t="s">
        <v>967</v>
      </c>
    </row>
    <row r="96" spans="1:85" s="63" customFormat="1">
      <c r="A96" s="298" t="s">
        <v>527</v>
      </c>
      <c r="B96" s="12" t="s">
        <v>809</v>
      </c>
      <c r="C96" s="299"/>
      <c r="D96" s="3">
        <f t="shared" si="219"/>
        <v>0</v>
      </c>
      <c r="E96" s="3">
        <f t="shared" si="219"/>
        <v>0</v>
      </c>
      <c r="F96" s="3">
        <f t="shared" si="219"/>
        <v>0</v>
      </c>
      <c r="G96" s="3">
        <f t="shared" si="219"/>
        <v>0</v>
      </c>
      <c r="H96" s="3">
        <f t="shared" si="219"/>
        <v>0</v>
      </c>
      <c r="I96" s="3">
        <f t="shared" si="219"/>
        <v>0</v>
      </c>
      <c r="J96" s="3">
        <f t="shared" si="219"/>
        <v>-1.3304086715428134</v>
      </c>
      <c r="K96" s="3">
        <f t="shared" si="219"/>
        <v>-4.0427899794027766</v>
      </c>
      <c r="L96" s="3">
        <f t="shared" si="219"/>
        <v>-6.6355267628864505</v>
      </c>
      <c r="M96" s="3">
        <f t="shared" si="219"/>
        <v>-9.7689266306012144</v>
      </c>
      <c r="N96" s="3">
        <f t="shared" si="219"/>
        <v>-12.363927295468468</v>
      </c>
      <c r="O96" s="3">
        <f t="shared" si="219"/>
        <v>-15.809272763265648</v>
      </c>
      <c r="P96" s="397">
        <f t="shared" si="228"/>
        <v>-49.950852103167371</v>
      </c>
      <c r="Q96" s="3">
        <f t="shared" si="224"/>
        <v>-19.535714702513264</v>
      </c>
      <c r="R96" s="3">
        <f t="shared" si="224"/>
        <v>-23.856151983006196</v>
      </c>
      <c r="S96" s="3">
        <f t="shared" si="224"/>
        <v>-33.623934073958175</v>
      </c>
      <c r="T96" s="3">
        <f t="shared" si="224"/>
        <v>-39.833584376567295</v>
      </c>
      <c r="U96" s="3">
        <f t="shared" si="224"/>
        <v>-49.014417460533835</v>
      </c>
      <c r="V96" s="3">
        <f t="shared" si="224"/>
        <v>-55.328341294540841</v>
      </c>
      <c r="W96" s="3">
        <f t="shared" si="224"/>
        <v>-65.625149177253206</v>
      </c>
      <c r="X96" s="3">
        <f t="shared" si="224"/>
        <v>-74.360833291549923</v>
      </c>
      <c r="Y96" s="3">
        <f t="shared" si="224"/>
        <v>-80.678880638599765</v>
      </c>
      <c r="Z96" s="3">
        <f t="shared" si="224"/>
        <v>-92.63538888769861</v>
      </c>
      <c r="AA96" s="3">
        <f t="shared" si="224"/>
        <v>-98.855236126412692</v>
      </c>
      <c r="AB96" s="3">
        <f t="shared" si="224"/>
        <v>-111.6748131332609</v>
      </c>
      <c r="AC96" s="397">
        <f t="shared" si="229"/>
        <v>-745.02244514589461</v>
      </c>
      <c r="AD96" s="3">
        <f t="shared" si="225"/>
        <v>-112.37737199896365</v>
      </c>
      <c r="AE96" s="3">
        <f t="shared" si="225"/>
        <v>-109.18025091088481</v>
      </c>
      <c r="AF96" s="3">
        <f t="shared" si="225"/>
        <v>-129.77164435332051</v>
      </c>
      <c r="AG96" s="3">
        <f t="shared" si="225"/>
        <v>-134.55837673956012</v>
      </c>
      <c r="AH96" s="3">
        <f t="shared" si="225"/>
        <v>-148.67954794236658</v>
      </c>
      <c r="AI96" s="3">
        <f t="shared" si="225"/>
        <v>-153.54615018649966</v>
      </c>
      <c r="AJ96" s="3">
        <f t="shared" si="225"/>
        <v>-168.98280402914457</v>
      </c>
      <c r="AK96" s="3">
        <f t="shared" si="225"/>
        <v>-179.61934714235861</v>
      </c>
      <c r="AL96" s="3">
        <f t="shared" si="225"/>
        <v>-184.41116008070617</v>
      </c>
      <c r="AM96" s="3">
        <f t="shared" si="225"/>
        <v>-201.78336982138953</v>
      </c>
      <c r="AN96" s="3">
        <f t="shared" si="225"/>
        <v>-206.39874509886576</v>
      </c>
      <c r="AO96" s="3">
        <f t="shared" si="225"/>
        <v>-224.70600277895323</v>
      </c>
      <c r="AP96" s="397">
        <f t="shared" si="230"/>
        <v>-1954.0147710830129</v>
      </c>
      <c r="AQ96" s="3">
        <f t="shared" si="226"/>
        <v>-215.97817697594823</v>
      </c>
      <c r="AR96" s="3">
        <f t="shared" si="226"/>
        <v>-200.69932425980997</v>
      </c>
      <c r="AS96" s="3">
        <f t="shared" si="226"/>
        <v>-228.78533734130667</v>
      </c>
      <c r="AT96" s="3">
        <f t="shared" si="226"/>
        <v>-228.10847149796177</v>
      </c>
      <c r="AU96" s="3">
        <f t="shared" si="226"/>
        <v>-242.96918854260375</v>
      </c>
      <c r="AV96" s="3">
        <f t="shared" si="226"/>
        <v>-242.46051983838456</v>
      </c>
      <c r="AW96" s="3">
        <f t="shared" si="226"/>
        <v>-258.41784169803674</v>
      </c>
      <c r="AX96" s="3">
        <f t="shared" si="226"/>
        <v>-266.58065590860514</v>
      </c>
      <c r="AY96" s="3">
        <f t="shared" si="226"/>
        <v>-266.14491371862664</v>
      </c>
      <c r="AZ96" s="3">
        <f t="shared" si="226"/>
        <v>-283.71044657034543</v>
      </c>
      <c r="BA96" s="3">
        <f t="shared" si="226"/>
        <v>-283.20778402231184</v>
      </c>
      <c r="BB96" s="3">
        <f t="shared" si="226"/>
        <v>-301.47957774610455</v>
      </c>
      <c r="BC96" s="397">
        <f t="shared" si="231"/>
        <v>-3018.5422381200451</v>
      </c>
      <c r="BD96" s="3">
        <f t="shared" si="227"/>
        <v>-282.59304479469802</v>
      </c>
      <c r="BE96" s="3">
        <f t="shared" si="227"/>
        <v>-258.62297109962191</v>
      </c>
      <c r="BF96" s="3">
        <f t="shared" si="227"/>
        <v>-290.45185712866703</v>
      </c>
      <c r="BG96" s="3">
        <f t="shared" si="227"/>
        <v>-285.42290189311746</v>
      </c>
      <c r="BH96" s="3">
        <f t="shared" si="227"/>
        <v>-299.77391113927803</v>
      </c>
      <c r="BI96" s="3">
        <f t="shared" si="227"/>
        <v>-295.1112996480266</v>
      </c>
      <c r="BJ96" s="3">
        <f t="shared" si="227"/>
        <v>-310.44591190497118</v>
      </c>
      <c r="BK96" s="3">
        <f t="shared" si="227"/>
        <v>-316.25213743374638</v>
      </c>
      <c r="BL96" s="3">
        <f t="shared" si="227"/>
        <v>-311.9540054873446</v>
      </c>
      <c r="BM96" s="3">
        <f t="shared" si="227"/>
        <v>-328.73233360123419</v>
      </c>
      <c r="BN96" s="3">
        <f t="shared" si="227"/>
        <v>-324.55851539623313</v>
      </c>
      <c r="BO96" s="3">
        <f t="shared" si="227"/>
        <v>-341.92131133842025</v>
      </c>
      <c r="BP96" s="397">
        <f t="shared" si="232"/>
        <v>-3645.8402008653593</v>
      </c>
      <c r="CF96" s="298" t="s">
        <v>860</v>
      </c>
      <c r="CG96" s="12" t="s">
        <v>967</v>
      </c>
    </row>
    <row r="97" spans="1:85" s="3" customFormat="1">
      <c r="A97" s="296" t="s">
        <v>528</v>
      </c>
      <c r="B97" s="12" t="s">
        <v>809</v>
      </c>
      <c r="C97" s="5"/>
      <c r="D97" s="3">
        <f t="shared" si="219"/>
        <v>0</v>
      </c>
      <c r="E97" s="3">
        <f t="shared" ref="E97:O111" si="233">E58/500*1000</f>
        <v>0</v>
      </c>
      <c r="F97" s="3">
        <f t="shared" si="233"/>
        <v>0</v>
      </c>
      <c r="G97" s="3">
        <f t="shared" si="233"/>
        <v>0</v>
      </c>
      <c r="H97" s="3">
        <f t="shared" si="233"/>
        <v>0</v>
      </c>
      <c r="I97" s="3">
        <f t="shared" si="233"/>
        <v>0</v>
      </c>
      <c r="J97" s="3">
        <f t="shared" si="233"/>
        <v>0</v>
      </c>
      <c r="K97" s="3">
        <f t="shared" si="233"/>
        <v>0</v>
      </c>
      <c r="L97" s="3">
        <f t="shared" si="233"/>
        <v>0</v>
      </c>
      <c r="M97" s="3">
        <f t="shared" si="233"/>
        <v>0</v>
      </c>
      <c r="N97" s="3">
        <f t="shared" si="233"/>
        <v>0</v>
      </c>
      <c r="O97" s="3">
        <f t="shared" si="233"/>
        <v>0</v>
      </c>
      <c r="P97" s="397">
        <f t="shared" si="228"/>
        <v>0</v>
      </c>
      <c r="Q97" s="3">
        <f t="shared" si="224"/>
        <v>0</v>
      </c>
      <c r="R97" s="3">
        <f t="shared" si="224"/>
        <v>0</v>
      </c>
      <c r="S97" s="3">
        <f t="shared" si="224"/>
        <v>0</v>
      </c>
      <c r="T97" s="3">
        <f t="shared" si="224"/>
        <v>0</v>
      </c>
      <c r="U97" s="3">
        <f t="shared" si="224"/>
        <v>0</v>
      </c>
      <c r="V97" s="3">
        <f t="shared" si="224"/>
        <v>0</v>
      </c>
      <c r="W97" s="3">
        <f t="shared" si="224"/>
        <v>0</v>
      </c>
      <c r="X97" s="3">
        <f t="shared" si="224"/>
        <v>0</v>
      </c>
      <c r="Y97" s="3">
        <f t="shared" si="224"/>
        <v>0</v>
      </c>
      <c r="Z97" s="3">
        <f t="shared" si="224"/>
        <v>0</v>
      </c>
      <c r="AA97" s="3">
        <f t="shared" si="224"/>
        <v>0</v>
      </c>
      <c r="AB97" s="3">
        <f t="shared" si="224"/>
        <v>0</v>
      </c>
      <c r="AC97" s="397">
        <f t="shared" si="229"/>
        <v>0</v>
      </c>
      <c r="AD97" s="3">
        <f t="shared" si="225"/>
        <v>0</v>
      </c>
      <c r="AE97" s="3">
        <f t="shared" si="225"/>
        <v>0</v>
      </c>
      <c r="AF97" s="3">
        <f t="shared" si="225"/>
        <v>0</v>
      </c>
      <c r="AG97" s="3">
        <f t="shared" si="225"/>
        <v>0</v>
      </c>
      <c r="AH97" s="3">
        <f t="shared" si="225"/>
        <v>0</v>
      </c>
      <c r="AI97" s="3">
        <f t="shared" si="225"/>
        <v>0</v>
      </c>
      <c r="AJ97" s="3">
        <f t="shared" si="225"/>
        <v>0</v>
      </c>
      <c r="AK97" s="3">
        <f t="shared" si="225"/>
        <v>0</v>
      </c>
      <c r="AL97" s="3">
        <f t="shared" si="225"/>
        <v>0</v>
      </c>
      <c r="AM97" s="3">
        <f t="shared" si="225"/>
        <v>0</v>
      </c>
      <c r="AN97" s="3">
        <f t="shared" si="225"/>
        <v>0</v>
      </c>
      <c r="AO97" s="3">
        <f t="shared" si="225"/>
        <v>0</v>
      </c>
      <c r="AP97" s="397">
        <f t="shared" si="230"/>
        <v>0</v>
      </c>
      <c r="AQ97" s="3">
        <f t="shared" si="226"/>
        <v>0</v>
      </c>
      <c r="AR97" s="3">
        <f t="shared" si="226"/>
        <v>0</v>
      </c>
      <c r="AS97" s="3">
        <f t="shared" si="226"/>
        <v>0</v>
      </c>
      <c r="AT97" s="3">
        <f t="shared" si="226"/>
        <v>0</v>
      </c>
      <c r="AU97" s="3">
        <f t="shared" si="226"/>
        <v>0</v>
      </c>
      <c r="AV97" s="3">
        <f t="shared" si="226"/>
        <v>0</v>
      </c>
      <c r="AW97" s="3">
        <f t="shared" si="226"/>
        <v>0</v>
      </c>
      <c r="AX97" s="3">
        <f t="shared" si="226"/>
        <v>0</v>
      </c>
      <c r="AY97" s="3">
        <f t="shared" si="226"/>
        <v>0</v>
      </c>
      <c r="AZ97" s="3">
        <f t="shared" si="226"/>
        <v>0</v>
      </c>
      <c r="BA97" s="3">
        <f t="shared" si="226"/>
        <v>0</v>
      </c>
      <c r="BB97" s="3">
        <f t="shared" si="226"/>
        <v>0</v>
      </c>
      <c r="BC97" s="397">
        <f t="shared" si="231"/>
        <v>0</v>
      </c>
      <c r="BD97" s="3">
        <f t="shared" si="227"/>
        <v>0</v>
      </c>
      <c r="BE97" s="3">
        <f t="shared" si="227"/>
        <v>0</v>
      </c>
      <c r="BF97" s="3">
        <f t="shared" si="227"/>
        <v>0</v>
      </c>
      <c r="BG97" s="3">
        <f t="shared" si="227"/>
        <v>0</v>
      </c>
      <c r="BH97" s="3">
        <f t="shared" si="227"/>
        <v>0</v>
      </c>
      <c r="BI97" s="3">
        <f t="shared" si="227"/>
        <v>0</v>
      </c>
      <c r="BJ97" s="3">
        <f t="shared" si="227"/>
        <v>0</v>
      </c>
      <c r="BK97" s="3">
        <f t="shared" si="227"/>
        <v>0</v>
      </c>
      <c r="BL97" s="3">
        <f t="shared" si="227"/>
        <v>0</v>
      </c>
      <c r="BM97" s="3">
        <f t="shared" si="227"/>
        <v>0</v>
      </c>
      <c r="BN97" s="3">
        <f t="shared" si="227"/>
        <v>0</v>
      </c>
      <c r="BO97" s="3">
        <f t="shared" si="227"/>
        <v>0</v>
      </c>
      <c r="BP97" s="397">
        <f t="shared" si="232"/>
        <v>0</v>
      </c>
      <c r="CF97" s="296" t="s">
        <v>1037</v>
      </c>
      <c r="CG97" s="12" t="s">
        <v>967</v>
      </c>
    </row>
    <row r="98" spans="1:85" s="3" customFormat="1">
      <c r="A98" s="296" t="s">
        <v>529</v>
      </c>
      <c r="B98" s="12" t="s">
        <v>809</v>
      </c>
      <c r="C98" s="5"/>
      <c r="D98" s="3">
        <f t="shared" si="219"/>
        <v>0</v>
      </c>
      <c r="E98" s="3">
        <f t="shared" si="233"/>
        <v>0</v>
      </c>
      <c r="F98" s="3">
        <f t="shared" si="233"/>
        <v>0</v>
      </c>
      <c r="G98" s="3">
        <f t="shared" si="233"/>
        <v>0</v>
      </c>
      <c r="H98" s="3">
        <f t="shared" si="233"/>
        <v>0</v>
      </c>
      <c r="I98" s="3">
        <f t="shared" si="233"/>
        <v>0</v>
      </c>
      <c r="J98" s="3">
        <f t="shared" si="233"/>
        <v>0</v>
      </c>
      <c r="K98" s="3">
        <f t="shared" si="233"/>
        <v>0</v>
      </c>
      <c r="L98" s="3">
        <f t="shared" si="233"/>
        <v>0</v>
      </c>
      <c r="M98" s="3">
        <f t="shared" si="233"/>
        <v>0</v>
      </c>
      <c r="N98" s="3">
        <f t="shared" si="233"/>
        <v>0</v>
      </c>
      <c r="O98" s="3">
        <f t="shared" si="233"/>
        <v>0</v>
      </c>
      <c r="P98" s="397">
        <f t="shared" si="228"/>
        <v>0</v>
      </c>
      <c r="Q98" s="3">
        <f t="shared" si="224"/>
        <v>0</v>
      </c>
      <c r="R98" s="3">
        <f t="shared" si="224"/>
        <v>0</v>
      </c>
      <c r="S98" s="3">
        <f t="shared" si="224"/>
        <v>0</v>
      </c>
      <c r="T98" s="3">
        <f t="shared" si="224"/>
        <v>0</v>
      </c>
      <c r="U98" s="3">
        <f t="shared" si="224"/>
        <v>0</v>
      </c>
      <c r="V98" s="3">
        <f t="shared" si="224"/>
        <v>0</v>
      </c>
      <c r="W98" s="3">
        <f t="shared" si="224"/>
        <v>0</v>
      </c>
      <c r="X98" s="3">
        <f t="shared" si="224"/>
        <v>0</v>
      </c>
      <c r="Y98" s="3">
        <f t="shared" si="224"/>
        <v>0</v>
      </c>
      <c r="Z98" s="3">
        <f t="shared" si="224"/>
        <v>0</v>
      </c>
      <c r="AA98" s="3">
        <f t="shared" si="224"/>
        <v>0</v>
      </c>
      <c r="AB98" s="3">
        <f t="shared" si="224"/>
        <v>0</v>
      </c>
      <c r="AC98" s="397">
        <f t="shared" si="229"/>
        <v>0</v>
      </c>
      <c r="AD98" s="3">
        <f t="shared" si="225"/>
        <v>0</v>
      </c>
      <c r="AE98" s="3">
        <f t="shared" si="225"/>
        <v>0</v>
      </c>
      <c r="AF98" s="3">
        <f t="shared" si="225"/>
        <v>0</v>
      </c>
      <c r="AG98" s="3">
        <f t="shared" si="225"/>
        <v>0</v>
      </c>
      <c r="AH98" s="3">
        <f t="shared" si="225"/>
        <v>0</v>
      </c>
      <c r="AI98" s="3">
        <f t="shared" si="225"/>
        <v>0</v>
      </c>
      <c r="AJ98" s="3">
        <f t="shared" si="225"/>
        <v>0</v>
      </c>
      <c r="AK98" s="3">
        <f t="shared" si="225"/>
        <v>0</v>
      </c>
      <c r="AL98" s="3">
        <f t="shared" si="225"/>
        <v>0</v>
      </c>
      <c r="AM98" s="3">
        <f t="shared" si="225"/>
        <v>0</v>
      </c>
      <c r="AN98" s="3">
        <f t="shared" si="225"/>
        <v>0</v>
      </c>
      <c r="AO98" s="3">
        <f t="shared" si="225"/>
        <v>0</v>
      </c>
      <c r="AP98" s="397">
        <f t="shared" si="230"/>
        <v>0</v>
      </c>
      <c r="AQ98" s="3">
        <f t="shared" si="226"/>
        <v>0</v>
      </c>
      <c r="AR98" s="3">
        <f t="shared" si="226"/>
        <v>0</v>
      </c>
      <c r="AS98" s="3">
        <f t="shared" si="226"/>
        <v>0</v>
      </c>
      <c r="AT98" s="3">
        <f t="shared" si="226"/>
        <v>0</v>
      </c>
      <c r="AU98" s="3">
        <f t="shared" si="226"/>
        <v>0</v>
      </c>
      <c r="AV98" s="3">
        <f t="shared" si="226"/>
        <v>0</v>
      </c>
      <c r="AW98" s="3">
        <f t="shared" si="226"/>
        <v>0</v>
      </c>
      <c r="AX98" s="3">
        <f t="shared" si="226"/>
        <v>0</v>
      </c>
      <c r="AY98" s="3">
        <f t="shared" si="226"/>
        <v>0</v>
      </c>
      <c r="AZ98" s="3">
        <f t="shared" si="226"/>
        <v>0</v>
      </c>
      <c r="BA98" s="3">
        <f t="shared" si="226"/>
        <v>0</v>
      </c>
      <c r="BB98" s="3">
        <f t="shared" si="226"/>
        <v>0</v>
      </c>
      <c r="BC98" s="397">
        <f t="shared" si="231"/>
        <v>0</v>
      </c>
      <c r="BD98" s="3">
        <f t="shared" si="227"/>
        <v>0</v>
      </c>
      <c r="BE98" s="3">
        <f t="shared" si="227"/>
        <v>0</v>
      </c>
      <c r="BF98" s="3">
        <f t="shared" si="227"/>
        <v>0</v>
      </c>
      <c r="BG98" s="3">
        <f t="shared" si="227"/>
        <v>0</v>
      </c>
      <c r="BH98" s="3">
        <f t="shared" si="227"/>
        <v>0</v>
      </c>
      <c r="BI98" s="3">
        <f t="shared" si="227"/>
        <v>0</v>
      </c>
      <c r="BJ98" s="3">
        <f t="shared" si="227"/>
        <v>0</v>
      </c>
      <c r="BK98" s="3">
        <f t="shared" si="227"/>
        <v>0</v>
      </c>
      <c r="BL98" s="3">
        <f t="shared" si="227"/>
        <v>0</v>
      </c>
      <c r="BM98" s="3">
        <f t="shared" si="227"/>
        <v>0</v>
      </c>
      <c r="BN98" s="3">
        <f t="shared" si="227"/>
        <v>0</v>
      </c>
      <c r="BO98" s="3">
        <f t="shared" si="227"/>
        <v>0</v>
      </c>
      <c r="BP98" s="397">
        <f t="shared" si="232"/>
        <v>0</v>
      </c>
      <c r="CF98" s="296" t="s">
        <v>1038</v>
      </c>
      <c r="CG98" s="12" t="s">
        <v>967</v>
      </c>
    </row>
    <row r="99" spans="1:85" s="5" customFormat="1" outlineLevel="1">
      <c r="A99" s="297" t="s">
        <v>530</v>
      </c>
      <c r="B99" s="12" t="s">
        <v>809</v>
      </c>
      <c r="D99" s="3">
        <f t="shared" si="219"/>
        <v>0</v>
      </c>
      <c r="E99" s="3">
        <f t="shared" si="233"/>
        <v>0</v>
      </c>
      <c r="F99" s="3">
        <f t="shared" si="233"/>
        <v>0</v>
      </c>
      <c r="G99" s="3">
        <f t="shared" si="233"/>
        <v>0</v>
      </c>
      <c r="H99" s="3">
        <f t="shared" si="233"/>
        <v>0</v>
      </c>
      <c r="I99" s="3">
        <f t="shared" si="233"/>
        <v>0</v>
      </c>
      <c r="J99" s="3">
        <f t="shared" si="233"/>
        <v>0</v>
      </c>
      <c r="K99" s="3">
        <f t="shared" si="233"/>
        <v>0</v>
      </c>
      <c r="L99" s="3">
        <f t="shared" si="233"/>
        <v>0</v>
      </c>
      <c r="M99" s="3">
        <f t="shared" si="233"/>
        <v>0</v>
      </c>
      <c r="N99" s="3">
        <f t="shared" si="233"/>
        <v>0</v>
      </c>
      <c r="O99" s="3">
        <f t="shared" si="233"/>
        <v>0</v>
      </c>
      <c r="P99" s="383">
        <f t="shared" si="228"/>
        <v>0</v>
      </c>
      <c r="Q99" s="3">
        <f t="shared" si="224"/>
        <v>0</v>
      </c>
      <c r="R99" s="3">
        <f t="shared" si="224"/>
        <v>0</v>
      </c>
      <c r="S99" s="3">
        <f t="shared" si="224"/>
        <v>0</v>
      </c>
      <c r="T99" s="3">
        <f t="shared" si="224"/>
        <v>0</v>
      </c>
      <c r="U99" s="3">
        <f t="shared" si="224"/>
        <v>0</v>
      </c>
      <c r="V99" s="3">
        <f t="shared" si="224"/>
        <v>0</v>
      </c>
      <c r="W99" s="3">
        <f t="shared" si="224"/>
        <v>0</v>
      </c>
      <c r="X99" s="3">
        <f t="shared" si="224"/>
        <v>0</v>
      </c>
      <c r="Y99" s="3">
        <f t="shared" si="224"/>
        <v>0</v>
      </c>
      <c r="Z99" s="3">
        <f t="shared" si="224"/>
        <v>0</v>
      </c>
      <c r="AA99" s="3">
        <f t="shared" si="224"/>
        <v>0</v>
      </c>
      <c r="AB99" s="3">
        <f t="shared" si="224"/>
        <v>0</v>
      </c>
      <c r="AC99" s="383">
        <f t="shared" si="229"/>
        <v>0</v>
      </c>
      <c r="AD99" s="3">
        <f t="shared" si="225"/>
        <v>0</v>
      </c>
      <c r="AE99" s="3">
        <f t="shared" si="225"/>
        <v>0</v>
      </c>
      <c r="AF99" s="3">
        <f t="shared" si="225"/>
        <v>0</v>
      </c>
      <c r="AG99" s="3">
        <f t="shared" si="225"/>
        <v>0</v>
      </c>
      <c r="AH99" s="3">
        <f t="shared" si="225"/>
        <v>0</v>
      </c>
      <c r="AI99" s="3">
        <f t="shared" si="225"/>
        <v>0</v>
      </c>
      <c r="AJ99" s="3">
        <f t="shared" si="225"/>
        <v>0</v>
      </c>
      <c r="AK99" s="3">
        <f t="shared" si="225"/>
        <v>0</v>
      </c>
      <c r="AL99" s="3">
        <f t="shared" si="225"/>
        <v>0</v>
      </c>
      <c r="AM99" s="3">
        <f t="shared" si="225"/>
        <v>0</v>
      </c>
      <c r="AN99" s="3">
        <f t="shared" si="225"/>
        <v>0</v>
      </c>
      <c r="AO99" s="3">
        <f t="shared" si="225"/>
        <v>0</v>
      </c>
      <c r="AP99" s="383">
        <f t="shared" si="230"/>
        <v>0</v>
      </c>
      <c r="AQ99" s="3">
        <f t="shared" si="226"/>
        <v>0</v>
      </c>
      <c r="AR99" s="3">
        <f t="shared" si="226"/>
        <v>0</v>
      </c>
      <c r="AS99" s="3">
        <f t="shared" si="226"/>
        <v>0</v>
      </c>
      <c r="AT99" s="3">
        <f t="shared" si="226"/>
        <v>0</v>
      </c>
      <c r="AU99" s="3">
        <f t="shared" si="226"/>
        <v>0</v>
      </c>
      <c r="AV99" s="3">
        <f t="shared" si="226"/>
        <v>0</v>
      </c>
      <c r="AW99" s="3">
        <f t="shared" si="226"/>
        <v>0</v>
      </c>
      <c r="AX99" s="3">
        <f t="shared" si="226"/>
        <v>0</v>
      </c>
      <c r="AY99" s="3">
        <f t="shared" si="226"/>
        <v>0</v>
      </c>
      <c r="AZ99" s="3">
        <f t="shared" si="226"/>
        <v>0</v>
      </c>
      <c r="BA99" s="3">
        <f t="shared" si="226"/>
        <v>0</v>
      </c>
      <c r="BB99" s="3">
        <f t="shared" si="226"/>
        <v>0</v>
      </c>
      <c r="BC99" s="383">
        <f t="shared" si="231"/>
        <v>0</v>
      </c>
      <c r="BD99" s="3">
        <f t="shared" si="227"/>
        <v>0</v>
      </c>
      <c r="BE99" s="3">
        <f t="shared" si="227"/>
        <v>0</v>
      </c>
      <c r="BF99" s="3">
        <f t="shared" si="227"/>
        <v>0</v>
      </c>
      <c r="BG99" s="3">
        <f t="shared" si="227"/>
        <v>0</v>
      </c>
      <c r="BH99" s="3">
        <f t="shared" si="227"/>
        <v>0</v>
      </c>
      <c r="BI99" s="3">
        <f t="shared" si="227"/>
        <v>0</v>
      </c>
      <c r="BJ99" s="3">
        <f t="shared" si="227"/>
        <v>0</v>
      </c>
      <c r="BK99" s="3">
        <f t="shared" si="227"/>
        <v>0</v>
      </c>
      <c r="BL99" s="3">
        <f t="shared" si="227"/>
        <v>0</v>
      </c>
      <c r="BM99" s="3">
        <f t="shared" si="227"/>
        <v>0</v>
      </c>
      <c r="BN99" s="3">
        <f t="shared" si="227"/>
        <v>0</v>
      </c>
      <c r="BO99" s="3">
        <f t="shared" si="227"/>
        <v>0</v>
      </c>
      <c r="BP99" s="383">
        <f t="shared" si="232"/>
        <v>0</v>
      </c>
      <c r="CF99" s="297" t="s">
        <v>989</v>
      </c>
      <c r="CG99" s="12" t="s">
        <v>967</v>
      </c>
    </row>
    <row r="100" spans="1:85" s="5" customFormat="1" outlineLevel="1">
      <c r="A100" s="297" t="s">
        <v>531</v>
      </c>
      <c r="B100" s="12" t="s">
        <v>809</v>
      </c>
      <c r="D100" s="3">
        <f t="shared" si="219"/>
        <v>0</v>
      </c>
      <c r="E100" s="3">
        <f t="shared" si="233"/>
        <v>0</v>
      </c>
      <c r="F100" s="3">
        <f t="shared" si="233"/>
        <v>0</v>
      </c>
      <c r="G100" s="3">
        <f t="shared" si="233"/>
        <v>0</v>
      </c>
      <c r="H100" s="3">
        <f t="shared" si="233"/>
        <v>0</v>
      </c>
      <c r="I100" s="3">
        <f t="shared" si="233"/>
        <v>0</v>
      </c>
      <c r="J100" s="3">
        <f t="shared" si="233"/>
        <v>0</v>
      </c>
      <c r="K100" s="3">
        <f t="shared" si="233"/>
        <v>0</v>
      </c>
      <c r="L100" s="3">
        <f t="shared" si="233"/>
        <v>0</v>
      </c>
      <c r="M100" s="3">
        <f t="shared" si="233"/>
        <v>0</v>
      </c>
      <c r="N100" s="3">
        <f t="shared" si="233"/>
        <v>0</v>
      </c>
      <c r="O100" s="3">
        <f t="shared" si="233"/>
        <v>0</v>
      </c>
      <c r="P100" s="383"/>
      <c r="Q100" s="3">
        <f t="shared" si="224"/>
        <v>0</v>
      </c>
      <c r="R100" s="3">
        <f t="shared" si="224"/>
        <v>0</v>
      </c>
      <c r="S100" s="3">
        <f t="shared" si="224"/>
        <v>0</v>
      </c>
      <c r="T100" s="3">
        <f t="shared" si="224"/>
        <v>0</v>
      </c>
      <c r="U100" s="3">
        <f t="shared" si="224"/>
        <v>0</v>
      </c>
      <c r="V100" s="3">
        <f t="shared" si="224"/>
        <v>0</v>
      </c>
      <c r="W100" s="3">
        <f t="shared" si="224"/>
        <v>0</v>
      </c>
      <c r="X100" s="3">
        <f t="shared" si="224"/>
        <v>0</v>
      </c>
      <c r="Y100" s="3">
        <f t="shared" si="224"/>
        <v>0</v>
      </c>
      <c r="Z100" s="3">
        <f t="shared" si="224"/>
        <v>0</v>
      </c>
      <c r="AA100" s="3">
        <f t="shared" si="224"/>
        <v>0</v>
      </c>
      <c r="AB100" s="3">
        <f t="shared" si="224"/>
        <v>0</v>
      </c>
      <c r="AC100" s="383"/>
      <c r="AD100" s="3">
        <f t="shared" si="225"/>
        <v>0</v>
      </c>
      <c r="AE100" s="3">
        <f t="shared" si="225"/>
        <v>0</v>
      </c>
      <c r="AF100" s="3">
        <f t="shared" si="225"/>
        <v>0</v>
      </c>
      <c r="AG100" s="3">
        <f t="shared" si="225"/>
        <v>0</v>
      </c>
      <c r="AH100" s="3">
        <f t="shared" si="225"/>
        <v>0</v>
      </c>
      <c r="AI100" s="3">
        <f t="shared" si="225"/>
        <v>0</v>
      </c>
      <c r="AJ100" s="3">
        <f t="shared" si="225"/>
        <v>0</v>
      </c>
      <c r="AK100" s="3">
        <f t="shared" si="225"/>
        <v>0</v>
      </c>
      <c r="AL100" s="3">
        <f t="shared" si="225"/>
        <v>0</v>
      </c>
      <c r="AM100" s="3">
        <f t="shared" si="225"/>
        <v>0</v>
      </c>
      <c r="AN100" s="3">
        <f t="shared" si="225"/>
        <v>0</v>
      </c>
      <c r="AO100" s="3">
        <f t="shared" si="225"/>
        <v>0</v>
      </c>
      <c r="AP100" s="383"/>
      <c r="AQ100" s="3">
        <f t="shared" si="226"/>
        <v>0</v>
      </c>
      <c r="AR100" s="3">
        <f t="shared" si="226"/>
        <v>0</v>
      </c>
      <c r="AS100" s="3">
        <f t="shared" si="226"/>
        <v>0</v>
      </c>
      <c r="AT100" s="3">
        <f t="shared" si="226"/>
        <v>0</v>
      </c>
      <c r="AU100" s="3">
        <f t="shared" si="226"/>
        <v>0</v>
      </c>
      <c r="AV100" s="3">
        <f t="shared" si="226"/>
        <v>0</v>
      </c>
      <c r="AW100" s="3">
        <f t="shared" si="226"/>
        <v>0</v>
      </c>
      <c r="AX100" s="3">
        <f t="shared" si="226"/>
        <v>0</v>
      </c>
      <c r="AY100" s="3">
        <f t="shared" si="226"/>
        <v>0</v>
      </c>
      <c r="AZ100" s="3">
        <f t="shared" si="226"/>
        <v>0</v>
      </c>
      <c r="BA100" s="3">
        <f t="shared" si="226"/>
        <v>0</v>
      </c>
      <c r="BB100" s="3">
        <f t="shared" si="226"/>
        <v>0</v>
      </c>
      <c r="BC100" s="383"/>
      <c r="BD100" s="3">
        <f t="shared" si="227"/>
        <v>0</v>
      </c>
      <c r="BE100" s="3">
        <f t="shared" si="227"/>
        <v>0</v>
      </c>
      <c r="BF100" s="3">
        <f t="shared" si="227"/>
        <v>0</v>
      </c>
      <c r="BG100" s="3">
        <f t="shared" si="227"/>
        <v>0</v>
      </c>
      <c r="BH100" s="3">
        <f t="shared" si="227"/>
        <v>0</v>
      </c>
      <c r="BI100" s="3">
        <f t="shared" si="227"/>
        <v>0</v>
      </c>
      <c r="BJ100" s="3">
        <f t="shared" si="227"/>
        <v>0</v>
      </c>
      <c r="BK100" s="3">
        <f t="shared" si="227"/>
        <v>0</v>
      </c>
      <c r="BL100" s="3">
        <f t="shared" si="227"/>
        <v>0</v>
      </c>
      <c r="BM100" s="3">
        <f t="shared" si="227"/>
        <v>0</v>
      </c>
      <c r="BN100" s="3">
        <f t="shared" si="227"/>
        <v>0</v>
      </c>
      <c r="BO100" s="3">
        <f t="shared" si="227"/>
        <v>0</v>
      </c>
      <c r="BP100" s="383"/>
      <c r="CF100" s="297" t="s">
        <v>990</v>
      </c>
      <c r="CG100" s="12" t="s">
        <v>967</v>
      </c>
    </row>
    <row r="101" spans="1:85" s="5" customFormat="1" outlineLevel="1">
      <c r="A101" s="297" t="s">
        <v>532</v>
      </c>
      <c r="B101" s="12" t="s">
        <v>809</v>
      </c>
      <c r="D101" s="3">
        <f t="shared" si="219"/>
        <v>0</v>
      </c>
      <c r="E101" s="3">
        <f t="shared" si="233"/>
        <v>0</v>
      </c>
      <c r="F101" s="3">
        <f t="shared" si="233"/>
        <v>0</v>
      </c>
      <c r="G101" s="3">
        <f t="shared" si="233"/>
        <v>0</v>
      </c>
      <c r="H101" s="3">
        <f t="shared" si="233"/>
        <v>0</v>
      </c>
      <c r="I101" s="3">
        <f t="shared" si="233"/>
        <v>0</v>
      </c>
      <c r="J101" s="3">
        <f t="shared" si="233"/>
        <v>0</v>
      </c>
      <c r="K101" s="3">
        <f t="shared" si="233"/>
        <v>0</v>
      </c>
      <c r="L101" s="3">
        <f t="shared" si="233"/>
        <v>0</v>
      </c>
      <c r="M101" s="3">
        <f t="shared" si="233"/>
        <v>0</v>
      </c>
      <c r="N101" s="3">
        <f t="shared" si="233"/>
        <v>0</v>
      </c>
      <c r="O101" s="3">
        <f t="shared" si="233"/>
        <v>0</v>
      </c>
      <c r="P101" s="383"/>
      <c r="Q101" s="3">
        <f t="shared" si="224"/>
        <v>0</v>
      </c>
      <c r="R101" s="3">
        <f t="shared" si="224"/>
        <v>0</v>
      </c>
      <c r="S101" s="3">
        <f t="shared" si="224"/>
        <v>0</v>
      </c>
      <c r="T101" s="3">
        <f t="shared" si="224"/>
        <v>0</v>
      </c>
      <c r="U101" s="3">
        <f t="shared" si="224"/>
        <v>0</v>
      </c>
      <c r="V101" s="3">
        <f t="shared" si="224"/>
        <v>0</v>
      </c>
      <c r="W101" s="3">
        <f t="shared" si="224"/>
        <v>0</v>
      </c>
      <c r="X101" s="3">
        <f t="shared" si="224"/>
        <v>0</v>
      </c>
      <c r="Y101" s="3">
        <f t="shared" si="224"/>
        <v>0</v>
      </c>
      <c r="Z101" s="3">
        <f t="shared" si="224"/>
        <v>0</v>
      </c>
      <c r="AA101" s="3">
        <f t="shared" si="224"/>
        <v>0</v>
      </c>
      <c r="AB101" s="3">
        <f t="shared" si="224"/>
        <v>0</v>
      </c>
      <c r="AC101" s="383"/>
      <c r="AD101" s="3">
        <f t="shared" si="225"/>
        <v>0</v>
      </c>
      <c r="AE101" s="3">
        <f t="shared" si="225"/>
        <v>0</v>
      </c>
      <c r="AF101" s="3">
        <f t="shared" si="225"/>
        <v>0</v>
      </c>
      <c r="AG101" s="3">
        <f t="shared" si="225"/>
        <v>0</v>
      </c>
      <c r="AH101" s="3">
        <f t="shared" si="225"/>
        <v>0</v>
      </c>
      <c r="AI101" s="3">
        <f t="shared" si="225"/>
        <v>0</v>
      </c>
      <c r="AJ101" s="3">
        <f t="shared" si="225"/>
        <v>0</v>
      </c>
      <c r="AK101" s="3">
        <f t="shared" si="225"/>
        <v>0</v>
      </c>
      <c r="AL101" s="3">
        <f t="shared" si="225"/>
        <v>0</v>
      </c>
      <c r="AM101" s="3">
        <f t="shared" si="225"/>
        <v>0</v>
      </c>
      <c r="AN101" s="3">
        <f t="shared" si="225"/>
        <v>0</v>
      </c>
      <c r="AO101" s="3">
        <f t="shared" si="225"/>
        <v>0</v>
      </c>
      <c r="AP101" s="383"/>
      <c r="AQ101" s="3">
        <f t="shared" si="226"/>
        <v>0</v>
      </c>
      <c r="AR101" s="3">
        <f t="shared" si="226"/>
        <v>0</v>
      </c>
      <c r="AS101" s="3">
        <f t="shared" si="226"/>
        <v>0</v>
      </c>
      <c r="AT101" s="3">
        <f t="shared" si="226"/>
        <v>0</v>
      </c>
      <c r="AU101" s="3">
        <f t="shared" si="226"/>
        <v>0</v>
      </c>
      <c r="AV101" s="3">
        <f t="shared" si="226"/>
        <v>0</v>
      </c>
      <c r="AW101" s="3">
        <f t="shared" si="226"/>
        <v>0</v>
      </c>
      <c r="AX101" s="3">
        <f t="shared" si="226"/>
        <v>0</v>
      </c>
      <c r="AY101" s="3">
        <f t="shared" si="226"/>
        <v>0</v>
      </c>
      <c r="AZ101" s="3">
        <f t="shared" si="226"/>
        <v>0</v>
      </c>
      <c r="BA101" s="3">
        <f t="shared" si="226"/>
        <v>0</v>
      </c>
      <c r="BB101" s="3">
        <f t="shared" si="226"/>
        <v>0</v>
      </c>
      <c r="BC101" s="383"/>
      <c r="BD101" s="3">
        <f t="shared" si="227"/>
        <v>0</v>
      </c>
      <c r="BE101" s="3">
        <f t="shared" si="227"/>
        <v>0</v>
      </c>
      <c r="BF101" s="3">
        <f t="shared" si="227"/>
        <v>0</v>
      </c>
      <c r="BG101" s="3">
        <f t="shared" si="227"/>
        <v>0</v>
      </c>
      <c r="BH101" s="3">
        <f t="shared" si="227"/>
        <v>0</v>
      </c>
      <c r="BI101" s="3">
        <f t="shared" si="227"/>
        <v>0</v>
      </c>
      <c r="BJ101" s="3">
        <f t="shared" si="227"/>
        <v>0</v>
      </c>
      <c r="BK101" s="3">
        <f t="shared" si="227"/>
        <v>0</v>
      </c>
      <c r="BL101" s="3">
        <f t="shared" si="227"/>
        <v>0</v>
      </c>
      <c r="BM101" s="3">
        <f t="shared" si="227"/>
        <v>0</v>
      </c>
      <c r="BN101" s="3">
        <f t="shared" si="227"/>
        <v>0</v>
      </c>
      <c r="BO101" s="3">
        <f t="shared" si="227"/>
        <v>0</v>
      </c>
      <c r="BP101" s="383"/>
      <c r="CF101" s="297" t="s">
        <v>992</v>
      </c>
      <c r="CG101" s="12" t="s">
        <v>967</v>
      </c>
    </row>
    <row r="102" spans="1:85" s="5" customFormat="1" outlineLevel="1">
      <c r="A102" s="297" t="s">
        <v>533</v>
      </c>
      <c r="B102" s="12" t="s">
        <v>809</v>
      </c>
      <c r="D102" s="3">
        <f t="shared" si="219"/>
        <v>0</v>
      </c>
      <c r="E102" s="3">
        <f t="shared" si="233"/>
        <v>0</v>
      </c>
      <c r="F102" s="3">
        <f t="shared" si="233"/>
        <v>0</v>
      </c>
      <c r="G102" s="3">
        <f t="shared" si="233"/>
        <v>0</v>
      </c>
      <c r="H102" s="3">
        <f t="shared" si="233"/>
        <v>0</v>
      </c>
      <c r="I102" s="3">
        <f t="shared" si="233"/>
        <v>0</v>
      </c>
      <c r="J102" s="3">
        <f t="shared" si="233"/>
        <v>0</v>
      </c>
      <c r="K102" s="3">
        <f t="shared" si="233"/>
        <v>0</v>
      </c>
      <c r="L102" s="3">
        <f t="shared" si="233"/>
        <v>0</v>
      </c>
      <c r="M102" s="3">
        <f t="shared" si="233"/>
        <v>0</v>
      </c>
      <c r="N102" s="3">
        <f t="shared" si="233"/>
        <v>0</v>
      </c>
      <c r="O102" s="3">
        <f t="shared" si="233"/>
        <v>0</v>
      </c>
      <c r="P102" s="383"/>
      <c r="Q102" s="3">
        <f t="shared" si="224"/>
        <v>0</v>
      </c>
      <c r="R102" s="3">
        <f t="shared" si="224"/>
        <v>0</v>
      </c>
      <c r="S102" s="3">
        <f t="shared" si="224"/>
        <v>0</v>
      </c>
      <c r="T102" s="3">
        <f t="shared" si="224"/>
        <v>0</v>
      </c>
      <c r="U102" s="3">
        <f t="shared" si="224"/>
        <v>0</v>
      </c>
      <c r="V102" s="3">
        <f t="shared" si="224"/>
        <v>0</v>
      </c>
      <c r="W102" s="3">
        <f t="shared" si="224"/>
        <v>0</v>
      </c>
      <c r="X102" s="3">
        <f t="shared" si="224"/>
        <v>0</v>
      </c>
      <c r="Y102" s="3">
        <f t="shared" si="224"/>
        <v>0</v>
      </c>
      <c r="Z102" s="3">
        <f t="shared" si="224"/>
        <v>0</v>
      </c>
      <c r="AA102" s="3">
        <f t="shared" si="224"/>
        <v>0</v>
      </c>
      <c r="AB102" s="3">
        <f t="shared" si="224"/>
        <v>0</v>
      </c>
      <c r="AC102" s="383"/>
      <c r="AD102" s="3">
        <f t="shared" si="225"/>
        <v>0</v>
      </c>
      <c r="AE102" s="3">
        <f t="shared" si="225"/>
        <v>0</v>
      </c>
      <c r="AF102" s="3">
        <f t="shared" si="225"/>
        <v>0</v>
      </c>
      <c r="AG102" s="3">
        <f t="shared" si="225"/>
        <v>0</v>
      </c>
      <c r="AH102" s="3">
        <f t="shared" si="225"/>
        <v>0</v>
      </c>
      <c r="AI102" s="3">
        <f t="shared" si="225"/>
        <v>0</v>
      </c>
      <c r="AJ102" s="3">
        <f t="shared" si="225"/>
        <v>0</v>
      </c>
      <c r="AK102" s="3">
        <f t="shared" si="225"/>
        <v>0</v>
      </c>
      <c r="AL102" s="3">
        <f t="shared" si="225"/>
        <v>0</v>
      </c>
      <c r="AM102" s="3">
        <f t="shared" si="225"/>
        <v>0</v>
      </c>
      <c r="AN102" s="3">
        <f t="shared" si="225"/>
        <v>0</v>
      </c>
      <c r="AO102" s="3">
        <f t="shared" si="225"/>
        <v>0</v>
      </c>
      <c r="AP102" s="383"/>
      <c r="AQ102" s="3">
        <f t="shared" si="226"/>
        <v>0</v>
      </c>
      <c r="AR102" s="3">
        <f t="shared" si="226"/>
        <v>0</v>
      </c>
      <c r="AS102" s="3">
        <f t="shared" si="226"/>
        <v>0</v>
      </c>
      <c r="AT102" s="3">
        <f t="shared" si="226"/>
        <v>0</v>
      </c>
      <c r="AU102" s="3">
        <f t="shared" si="226"/>
        <v>0</v>
      </c>
      <c r="AV102" s="3">
        <f t="shared" si="226"/>
        <v>0</v>
      </c>
      <c r="AW102" s="3">
        <f t="shared" si="226"/>
        <v>0</v>
      </c>
      <c r="AX102" s="3">
        <f t="shared" si="226"/>
        <v>0</v>
      </c>
      <c r="AY102" s="3">
        <f t="shared" si="226"/>
        <v>0</v>
      </c>
      <c r="AZ102" s="3">
        <f t="shared" si="226"/>
        <v>0</v>
      </c>
      <c r="BA102" s="3">
        <f t="shared" si="226"/>
        <v>0</v>
      </c>
      <c r="BB102" s="3">
        <f t="shared" si="226"/>
        <v>0</v>
      </c>
      <c r="BC102" s="383"/>
      <c r="BD102" s="3">
        <f t="shared" si="227"/>
        <v>0</v>
      </c>
      <c r="BE102" s="3">
        <f t="shared" si="227"/>
        <v>0</v>
      </c>
      <c r="BF102" s="3">
        <f t="shared" si="227"/>
        <v>0</v>
      </c>
      <c r="BG102" s="3">
        <f t="shared" si="227"/>
        <v>0</v>
      </c>
      <c r="BH102" s="3">
        <f t="shared" si="227"/>
        <v>0</v>
      </c>
      <c r="BI102" s="3">
        <f t="shared" si="227"/>
        <v>0</v>
      </c>
      <c r="BJ102" s="3">
        <f t="shared" si="227"/>
        <v>0</v>
      </c>
      <c r="BK102" s="3">
        <f t="shared" si="227"/>
        <v>0</v>
      </c>
      <c r="BL102" s="3">
        <f t="shared" si="227"/>
        <v>0</v>
      </c>
      <c r="BM102" s="3">
        <f t="shared" si="227"/>
        <v>0</v>
      </c>
      <c r="BN102" s="3">
        <f t="shared" si="227"/>
        <v>0</v>
      </c>
      <c r="BO102" s="3">
        <f t="shared" si="227"/>
        <v>0</v>
      </c>
      <c r="BP102" s="383"/>
      <c r="CF102" s="297" t="s">
        <v>991</v>
      </c>
      <c r="CG102" s="12" t="s">
        <v>967</v>
      </c>
    </row>
    <row r="103" spans="1:85" s="5" customFormat="1" outlineLevel="1">
      <c r="A103" s="297" t="s">
        <v>534</v>
      </c>
      <c r="B103" s="12" t="s">
        <v>809</v>
      </c>
      <c r="D103" s="3">
        <f t="shared" si="219"/>
        <v>0</v>
      </c>
      <c r="E103" s="3">
        <f t="shared" si="233"/>
        <v>0</v>
      </c>
      <c r="F103" s="3">
        <f t="shared" si="233"/>
        <v>0</v>
      </c>
      <c r="G103" s="3">
        <f t="shared" si="233"/>
        <v>0</v>
      </c>
      <c r="H103" s="3">
        <f t="shared" si="233"/>
        <v>0</v>
      </c>
      <c r="I103" s="3">
        <f t="shared" si="233"/>
        <v>0</v>
      </c>
      <c r="J103" s="3">
        <f t="shared" si="233"/>
        <v>0</v>
      </c>
      <c r="K103" s="3">
        <f t="shared" si="233"/>
        <v>0</v>
      </c>
      <c r="L103" s="3">
        <f t="shared" si="233"/>
        <v>0</v>
      </c>
      <c r="M103" s="3">
        <f t="shared" si="233"/>
        <v>0</v>
      </c>
      <c r="N103" s="3">
        <f t="shared" si="233"/>
        <v>0</v>
      </c>
      <c r="O103" s="3">
        <f t="shared" si="233"/>
        <v>0</v>
      </c>
      <c r="P103" s="383">
        <f t="shared" ref="P103:P111" si="234">SUM(D103:O103)</f>
        <v>0</v>
      </c>
      <c r="Q103" s="3">
        <f t="shared" si="224"/>
        <v>0</v>
      </c>
      <c r="R103" s="3">
        <f t="shared" si="224"/>
        <v>0</v>
      </c>
      <c r="S103" s="3">
        <f t="shared" si="224"/>
        <v>0</v>
      </c>
      <c r="T103" s="3">
        <f t="shared" si="224"/>
        <v>0</v>
      </c>
      <c r="U103" s="3">
        <f t="shared" si="224"/>
        <v>0</v>
      </c>
      <c r="V103" s="3">
        <f t="shared" si="224"/>
        <v>0</v>
      </c>
      <c r="W103" s="3">
        <f t="shared" si="224"/>
        <v>0</v>
      </c>
      <c r="X103" s="3">
        <f t="shared" si="224"/>
        <v>0</v>
      </c>
      <c r="Y103" s="3">
        <f t="shared" si="224"/>
        <v>0</v>
      </c>
      <c r="Z103" s="3">
        <f t="shared" si="224"/>
        <v>0</v>
      </c>
      <c r="AA103" s="3">
        <f t="shared" si="224"/>
        <v>0</v>
      </c>
      <c r="AB103" s="3">
        <f t="shared" si="224"/>
        <v>0</v>
      </c>
      <c r="AC103" s="383">
        <f t="shared" ref="AC103:AC111" si="235">SUM(Q103:AB103)</f>
        <v>0</v>
      </c>
      <c r="AD103" s="3">
        <f t="shared" si="225"/>
        <v>0</v>
      </c>
      <c r="AE103" s="3">
        <f t="shared" si="225"/>
        <v>0</v>
      </c>
      <c r="AF103" s="3">
        <f t="shared" si="225"/>
        <v>0</v>
      </c>
      <c r="AG103" s="3">
        <f t="shared" si="225"/>
        <v>0</v>
      </c>
      <c r="AH103" s="3">
        <f t="shared" si="225"/>
        <v>0</v>
      </c>
      <c r="AI103" s="3">
        <f t="shared" si="225"/>
        <v>0</v>
      </c>
      <c r="AJ103" s="3">
        <f t="shared" si="225"/>
        <v>0</v>
      </c>
      <c r="AK103" s="3">
        <f t="shared" si="225"/>
        <v>0</v>
      </c>
      <c r="AL103" s="3">
        <f t="shared" si="225"/>
        <v>0</v>
      </c>
      <c r="AM103" s="3">
        <f t="shared" si="225"/>
        <v>0</v>
      </c>
      <c r="AN103" s="3">
        <f t="shared" si="225"/>
        <v>0</v>
      </c>
      <c r="AO103" s="3">
        <f t="shared" si="225"/>
        <v>0</v>
      </c>
      <c r="AP103" s="383">
        <f t="shared" ref="AP103:AP111" si="236">SUM(AD103:AO103)</f>
        <v>0</v>
      </c>
      <c r="AQ103" s="3">
        <f t="shared" si="226"/>
        <v>0</v>
      </c>
      <c r="AR103" s="3">
        <f t="shared" si="226"/>
        <v>0</v>
      </c>
      <c r="AS103" s="3">
        <f t="shared" si="226"/>
        <v>0</v>
      </c>
      <c r="AT103" s="3">
        <f t="shared" si="226"/>
        <v>0</v>
      </c>
      <c r="AU103" s="3">
        <f t="shared" si="226"/>
        <v>0</v>
      </c>
      <c r="AV103" s="3">
        <f t="shared" si="226"/>
        <v>0</v>
      </c>
      <c r="AW103" s="3">
        <f t="shared" si="226"/>
        <v>0</v>
      </c>
      <c r="AX103" s="3">
        <f t="shared" si="226"/>
        <v>0</v>
      </c>
      <c r="AY103" s="3">
        <f t="shared" si="226"/>
        <v>0</v>
      </c>
      <c r="AZ103" s="3">
        <f t="shared" si="226"/>
        <v>0</v>
      </c>
      <c r="BA103" s="3">
        <f t="shared" si="226"/>
        <v>0</v>
      </c>
      <c r="BB103" s="3">
        <f t="shared" si="226"/>
        <v>0</v>
      </c>
      <c r="BC103" s="383">
        <f t="shared" ref="BC103:BC111" si="237">SUM(AQ103:BB103)</f>
        <v>0</v>
      </c>
      <c r="BD103" s="3">
        <f t="shared" si="227"/>
        <v>0</v>
      </c>
      <c r="BE103" s="3">
        <f t="shared" si="227"/>
        <v>0</v>
      </c>
      <c r="BF103" s="3">
        <f t="shared" si="227"/>
        <v>0</v>
      </c>
      <c r="BG103" s="3">
        <f t="shared" si="227"/>
        <v>0</v>
      </c>
      <c r="BH103" s="3">
        <f t="shared" si="227"/>
        <v>0</v>
      </c>
      <c r="BI103" s="3">
        <f t="shared" si="227"/>
        <v>0</v>
      </c>
      <c r="BJ103" s="3">
        <f t="shared" si="227"/>
        <v>0</v>
      </c>
      <c r="BK103" s="3">
        <f t="shared" si="227"/>
        <v>0</v>
      </c>
      <c r="BL103" s="3">
        <f t="shared" si="227"/>
        <v>0</v>
      </c>
      <c r="BM103" s="3">
        <f t="shared" si="227"/>
        <v>0</v>
      </c>
      <c r="BN103" s="3">
        <f t="shared" si="227"/>
        <v>0</v>
      </c>
      <c r="BO103" s="3">
        <f t="shared" si="227"/>
        <v>0</v>
      </c>
      <c r="BP103" s="383">
        <f t="shared" ref="BP103:BP111" si="238">SUM(BD103:BO103)</f>
        <v>0</v>
      </c>
      <c r="CF103" s="297" t="s">
        <v>997</v>
      </c>
      <c r="CG103" s="12" t="s">
        <v>967</v>
      </c>
    </row>
    <row r="104" spans="1:85" s="5" customFormat="1" outlineLevel="1">
      <c r="A104" s="297" t="s">
        <v>535</v>
      </c>
      <c r="B104" s="12" t="s">
        <v>809</v>
      </c>
      <c r="D104" s="3">
        <f t="shared" si="219"/>
        <v>0</v>
      </c>
      <c r="E104" s="3">
        <f t="shared" si="233"/>
        <v>0</v>
      </c>
      <c r="F104" s="3">
        <f t="shared" si="233"/>
        <v>0</v>
      </c>
      <c r="G104" s="3">
        <f t="shared" si="233"/>
        <v>0</v>
      </c>
      <c r="H104" s="3">
        <f t="shared" si="233"/>
        <v>0</v>
      </c>
      <c r="I104" s="3">
        <f t="shared" si="233"/>
        <v>0</v>
      </c>
      <c r="J104" s="3">
        <f t="shared" si="233"/>
        <v>0</v>
      </c>
      <c r="K104" s="3">
        <f t="shared" si="233"/>
        <v>0</v>
      </c>
      <c r="L104" s="3">
        <f t="shared" si="233"/>
        <v>0</v>
      </c>
      <c r="M104" s="3">
        <f t="shared" si="233"/>
        <v>0</v>
      </c>
      <c r="N104" s="3">
        <f t="shared" si="233"/>
        <v>0</v>
      </c>
      <c r="O104" s="3">
        <f t="shared" si="233"/>
        <v>0</v>
      </c>
      <c r="P104" s="383">
        <f t="shared" si="234"/>
        <v>0</v>
      </c>
      <c r="Q104" s="3">
        <f t="shared" si="224"/>
        <v>0</v>
      </c>
      <c r="R104" s="3">
        <f t="shared" si="224"/>
        <v>0</v>
      </c>
      <c r="S104" s="3">
        <f t="shared" si="224"/>
        <v>0</v>
      </c>
      <c r="T104" s="3">
        <f t="shared" si="224"/>
        <v>0</v>
      </c>
      <c r="U104" s="3">
        <f t="shared" si="224"/>
        <v>0</v>
      </c>
      <c r="V104" s="3">
        <f t="shared" si="224"/>
        <v>0</v>
      </c>
      <c r="W104" s="3">
        <f t="shared" si="224"/>
        <v>0</v>
      </c>
      <c r="X104" s="3">
        <f t="shared" si="224"/>
        <v>0</v>
      </c>
      <c r="Y104" s="3">
        <f t="shared" si="224"/>
        <v>0</v>
      </c>
      <c r="Z104" s="3">
        <f t="shared" si="224"/>
        <v>0</v>
      </c>
      <c r="AA104" s="3">
        <f t="shared" si="224"/>
        <v>0</v>
      </c>
      <c r="AB104" s="3">
        <f t="shared" si="224"/>
        <v>0</v>
      </c>
      <c r="AC104" s="383">
        <f t="shared" si="235"/>
        <v>0</v>
      </c>
      <c r="AD104" s="3">
        <f t="shared" si="225"/>
        <v>0</v>
      </c>
      <c r="AE104" s="3">
        <f t="shared" si="225"/>
        <v>0</v>
      </c>
      <c r="AF104" s="3">
        <f t="shared" si="225"/>
        <v>0</v>
      </c>
      <c r="AG104" s="3">
        <f t="shared" si="225"/>
        <v>0</v>
      </c>
      <c r="AH104" s="3">
        <f t="shared" si="225"/>
        <v>0</v>
      </c>
      <c r="AI104" s="3">
        <f t="shared" si="225"/>
        <v>0</v>
      </c>
      <c r="AJ104" s="3">
        <f t="shared" si="225"/>
        <v>0</v>
      </c>
      <c r="AK104" s="3">
        <f t="shared" si="225"/>
        <v>0</v>
      </c>
      <c r="AL104" s="3">
        <f t="shared" si="225"/>
        <v>0</v>
      </c>
      <c r="AM104" s="3">
        <f t="shared" si="225"/>
        <v>0</v>
      </c>
      <c r="AN104" s="3">
        <f t="shared" si="225"/>
        <v>0</v>
      </c>
      <c r="AO104" s="3">
        <f t="shared" si="225"/>
        <v>0</v>
      </c>
      <c r="AP104" s="383">
        <f t="shared" si="236"/>
        <v>0</v>
      </c>
      <c r="AQ104" s="3">
        <f t="shared" si="226"/>
        <v>0</v>
      </c>
      <c r="AR104" s="3">
        <f t="shared" si="226"/>
        <v>0</v>
      </c>
      <c r="AS104" s="3">
        <f t="shared" si="226"/>
        <v>0</v>
      </c>
      <c r="AT104" s="3">
        <f t="shared" si="226"/>
        <v>0</v>
      </c>
      <c r="AU104" s="3">
        <f t="shared" si="226"/>
        <v>0</v>
      </c>
      <c r="AV104" s="3">
        <f t="shared" si="226"/>
        <v>0</v>
      </c>
      <c r="AW104" s="3">
        <f t="shared" si="226"/>
        <v>0</v>
      </c>
      <c r="AX104" s="3">
        <f t="shared" si="226"/>
        <v>0</v>
      </c>
      <c r="AY104" s="3">
        <f t="shared" si="226"/>
        <v>0</v>
      </c>
      <c r="AZ104" s="3">
        <f t="shared" si="226"/>
        <v>0</v>
      </c>
      <c r="BA104" s="3">
        <f t="shared" si="226"/>
        <v>0</v>
      </c>
      <c r="BB104" s="3">
        <f t="shared" si="226"/>
        <v>0</v>
      </c>
      <c r="BC104" s="383">
        <f t="shared" si="237"/>
        <v>0</v>
      </c>
      <c r="BD104" s="3">
        <f t="shared" si="227"/>
        <v>0</v>
      </c>
      <c r="BE104" s="3">
        <f t="shared" si="227"/>
        <v>0</v>
      </c>
      <c r="BF104" s="3">
        <f t="shared" si="227"/>
        <v>0</v>
      </c>
      <c r="BG104" s="3">
        <f t="shared" si="227"/>
        <v>0</v>
      </c>
      <c r="BH104" s="3">
        <f t="shared" si="227"/>
        <v>0</v>
      </c>
      <c r="BI104" s="3">
        <f t="shared" si="227"/>
        <v>0</v>
      </c>
      <c r="BJ104" s="3">
        <f t="shared" si="227"/>
        <v>0</v>
      </c>
      <c r="BK104" s="3">
        <f t="shared" si="227"/>
        <v>0</v>
      </c>
      <c r="BL104" s="3">
        <f t="shared" si="227"/>
        <v>0</v>
      </c>
      <c r="BM104" s="3">
        <f t="shared" si="227"/>
        <v>0</v>
      </c>
      <c r="BN104" s="3">
        <f t="shared" si="227"/>
        <v>0</v>
      </c>
      <c r="BO104" s="3">
        <f t="shared" si="227"/>
        <v>0</v>
      </c>
      <c r="BP104" s="383">
        <f t="shared" si="238"/>
        <v>0</v>
      </c>
      <c r="CF104" s="297" t="s">
        <v>998</v>
      </c>
      <c r="CG104" s="12" t="s">
        <v>967</v>
      </c>
    </row>
    <row r="105" spans="1:85" s="5" customFormat="1" outlineLevel="1">
      <c r="A105" s="297" t="s">
        <v>536</v>
      </c>
      <c r="B105" s="12" t="s">
        <v>809</v>
      </c>
      <c r="D105" s="3">
        <f t="shared" si="219"/>
        <v>0</v>
      </c>
      <c r="E105" s="3">
        <f t="shared" si="233"/>
        <v>0</v>
      </c>
      <c r="F105" s="3">
        <f t="shared" si="233"/>
        <v>0</v>
      </c>
      <c r="G105" s="3">
        <f t="shared" si="233"/>
        <v>0</v>
      </c>
      <c r="H105" s="3">
        <f t="shared" si="233"/>
        <v>0</v>
      </c>
      <c r="I105" s="3">
        <f t="shared" si="233"/>
        <v>0</v>
      </c>
      <c r="J105" s="3">
        <f t="shared" si="233"/>
        <v>0</v>
      </c>
      <c r="K105" s="3">
        <f t="shared" si="233"/>
        <v>0</v>
      </c>
      <c r="L105" s="3">
        <f t="shared" si="233"/>
        <v>0</v>
      </c>
      <c r="M105" s="3">
        <f t="shared" si="233"/>
        <v>0</v>
      </c>
      <c r="N105" s="3">
        <f t="shared" si="233"/>
        <v>0</v>
      </c>
      <c r="O105" s="3">
        <f t="shared" si="233"/>
        <v>0</v>
      </c>
      <c r="P105" s="383">
        <f t="shared" si="234"/>
        <v>0</v>
      </c>
      <c r="Q105" s="3">
        <f t="shared" si="224"/>
        <v>0</v>
      </c>
      <c r="R105" s="3">
        <f t="shared" si="224"/>
        <v>0</v>
      </c>
      <c r="S105" s="3">
        <f t="shared" si="224"/>
        <v>0</v>
      </c>
      <c r="T105" s="3">
        <f t="shared" si="224"/>
        <v>0</v>
      </c>
      <c r="U105" s="3">
        <f t="shared" si="224"/>
        <v>0</v>
      </c>
      <c r="V105" s="3">
        <f t="shared" si="224"/>
        <v>0</v>
      </c>
      <c r="W105" s="3">
        <f t="shared" si="224"/>
        <v>0</v>
      </c>
      <c r="X105" s="3">
        <f t="shared" si="224"/>
        <v>0</v>
      </c>
      <c r="Y105" s="3">
        <f t="shared" si="224"/>
        <v>0</v>
      </c>
      <c r="Z105" s="3">
        <f t="shared" si="224"/>
        <v>0</v>
      </c>
      <c r="AA105" s="3">
        <f t="shared" si="224"/>
        <v>0</v>
      </c>
      <c r="AB105" s="3">
        <f t="shared" si="224"/>
        <v>0</v>
      </c>
      <c r="AC105" s="383">
        <f t="shared" si="235"/>
        <v>0</v>
      </c>
      <c r="AD105" s="3">
        <f t="shared" si="225"/>
        <v>0</v>
      </c>
      <c r="AE105" s="3">
        <f t="shared" si="225"/>
        <v>0</v>
      </c>
      <c r="AF105" s="3">
        <f t="shared" si="225"/>
        <v>0</v>
      </c>
      <c r="AG105" s="3">
        <f t="shared" si="225"/>
        <v>0</v>
      </c>
      <c r="AH105" s="3">
        <f t="shared" si="225"/>
        <v>0</v>
      </c>
      <c r="AI105" s="3">
        <f t="shared" si="225"/>
        <v>0</v>
      </c>
      <c r="AJ105" s="3">
        <f t="shared" si="225"/>
        <v>0</v>
      </c>
      <c r="AK105" s="3">
        <f t="shared" si="225"/>
        <v>0</v>
      </c>
      <c r="AL105" s="3">
        <f t="shared" si="225"/>
        <v>0</v>
      </c>
      <c r="AM105" s="3">
        <f t="shared" si="225"/>
        <v>0</v>
      </c>
      <c r="AN105" s="3">
        <f t="shared" si="225"/>
        <v>0</v>
      </c>
      <c r="AO105" s="3">
        <f t="shared" si="225"/>
        <v>0</v>
      </c>
      <c r="AP105" s="383">
        <f t="shared" si="236"/>
        <v>0</v>
      </c>
      <c r="AQ105" s="3">
        <f t="shared" si="226"/>
        <v>0</v>
      </c>
      <c r="AR105" s="3">
        <f t="shared" si="226"/>
        <v>0</v>
      </c>
      <c r="AS105" s="3">
        <f t="shared" si="226"/>
        <v>0</v>
      </c>
      <c r="AT105" s="3">
        <f t="shared" si="226"/>
        <v>0</v>
      </c>
      <c r="AU105" s="3">
        <f t="shared" si="226"/>
        <v>0</v>
      </c>
      <c r="AV105" s="3">
        <f t="shared" si="226"/>
        <v>0</v>
      </c>
      <c r="AW105" s="3">
        <f t="shared" si="226"/>
        <v>0</v>
      </c>
      <c r="AX105" s="3">
        <f t="shared" si="226"/>
        <v>0</v>
      </c>
      <c r="AY105" s="3">
        <f t="shared" si="226"/>
        <v>0</v>
      </c>
      <c r="AZ105" s="3">
        <f t="shared" si="226"/>
        <v>0</v>
      </c>
      <c r="BA105" s="3">
        <f t="shared" si="226"/>
        <v>0</v>
      </c>
      <c r="BB105" s="3">
        <f t="shared" si="226"/>
        <v>0</v>
      </c>
      <c r="BC105" s="383">
        <f t="shared" si="237"/>
        <v>0</v>
      </c>
      <c r="BD105" s="3">
        <f t="shared" si="227"/>
        <v>0</v>
      </c>
      <c r="BE105" s="3">
        <f t="shared" si="227"/>
        <v>0</v>
      </c>
      <c r="BF105" s="3">
        <f t="shared" si="227"/>
        <v>0</v>
      </c>
      <c r="BG105" s="3">
        <f t="shared" si="227"/>
        <v>0</v>
      </c>
      <c r="BH105" s="3">
        <f t="shared" si="227"/>
        <v>0</v>
      </c>
      <c r="BI105" s="3">
        <f t="shared" si="227"/>
        <v>0</v>
      </c>
      <c r="BJ105" s="3">
        <f t="shared" si="227"/>
        <v>0</v>
      </c>
      <c r="BK105" s="3">
        <f t="shared" si="227"/>
        <v>0</v>
      </c>
      <c r="BL105" s="3">
        <f t="shared" si="227"/>
        <v>0</v>
      </c>
      <c r="BM105" s="3">
        <f t="shared" si="227"/>
        <v>0</v>
      </c>
      <c r="BN105" s="3">
        <f t="shared" si="227"/>
        <v>0</v>
      </c>
      <c r="BO105" s="3">
        <f t="shared" si="227"/>
        <v>0</v>
      </c>
      <c r="BP105" s="383">
        <f t="shared" si="238"/>
        <v>0</v>
      </c>
      <c r="CF105" s="297" t="s">
        <v>996</v>
      </c>
      <c r="CG105" s="12" t="s">
        <v>967</v>
      </c>
    </row>
    <row r="106" spans="1:85" s="3" customFormat="1">
      <c r="A106" s="296" t="s">
        <v>537</v>
      </c>
      <c r="B106" s="12" t="s">
        <v>809</v>
      </c>
      <c r="C106" s="5"/>
      <c r="D106" s="3">
        <f t="shared" si="219"/>
        <v>0</v>
      </c>
      <c r="E106" s="3">
        <f t="shared" si="233"/>
        <v>0</v>
      </c>
      <c r="F106" s="3">
        <f t="shared" si="233"/>
        <v>0</v>
      </c>
      <c r="G106" s="3">
        <f t="shared" si="233"/>
        <v>0</v>
      </c>
      <c r="H106" s="3">
        <f t="shared" si="233"/>
        <v>0</v>
      </c>
      <c r="I106" s="3">
        <f t="shared" si="233"/>
        <v>0</v>
      </c>
      <c r="J106" s="3">
        <f t="shared" si="233"/>
        <v>0</v>
      </c>
      <c r="K106" s="3">
        <f t="shared" si="233"/>
        <v>0</v>
      </c>
      <c r="L106" s="3">
        <f t="shared" si="233"/>
        <v>0</v>
      </c>
      <c r="M106" s="3">
        <f t="shared" si="233"/>
        <v>0</v>
      </c>
      <c r="N106" s="3">
        <f t="shared" si="233"/>
        <v>0</v>
      </c>
      <c r="O106" s="3">
        <f t="shared" si="233"/>
        <v>0</v>
      </c>
      <c r="P106" s="397">
        <f t="shared" si="234"/>
        <v>0</v>
      </c>
      <c r="Q106" s="3">
        <f t="shared" si="224"/>
        <v>0</v>
      </c>
      <c r="R106" s="3">
        <f t="shared" si="224"/>
        <v>0</v>
      </c>
      <c r="S106" s="3">
        <f t="shared" si="224"/>
        <v>0</v>
      </c>
      <c r="T106" s="3">
        <f t="shared" si="224"/>
        <v>0</v>
      </c>
      <c r="U106" s="3">
        <f t="shared" si="224"/>
        <v>0</v>
      </c>
      <c r="V106" s="3">
        <f t="shared" si="224"/>
        <v>0</v>
      </c>
      <c r="W106" s="3">
        <f t="shared" si="224"/>
        <v>0</v>
      </c>
      <c r="X106" s="3">
        <f t="shared" si="224"/>
        <v>0</v>
      </c>
      <c r="Y106" s="3">
        <f t="shared" si="224"/>
        <v>0</v>
      </c>
      <c r="Z106" s="3">
        <f t="shared" si="224"/>
        <v>0</v>
      </c>
      <c r="AA106" s="3">
        <f t="shared" si="224"/>
        <v>0</v>
      </c>
      <c r="AB106" s="3">
        <f t="shared" si="224"/>
        <v>0</v>
      </c>
      <c r="AC106" s="397">
        <f t="shared" si="235"/>
        <v>0</v>
      </c>
      <c r="AD106" s="3">
        <f t="shared" si="225"/>
        <v>0</v>
      </c>
      <c r="AE106" s="3">
        <f t="shared" si="225"/>
        <v>0</v>
      </c>
      <c r="AF106" s="3">
        <f t="shared" si="225"/>
        <v>0</v>
      </c>
      <c r="AG106" s="3">
        <f t="shared" si="225"/>
        <v>0</v>
      </c>
      <c r="AH106" s="3">
        <f t="shared" si="225"/>
        <v>0</v>
      </c>
      <c r="AI106" s="3">
        <f t="shared" si="225"/>
        <v>0</v>
      </c>
      <c r="AJ106" s="3">
        <f t="shared" si="225"/>
        <v>0</v>
      </c>
      <c r="AK106" s="3">
        <f t="shared" si="225"/>
        <v>0</v>
      </c>
      <c r="AL106" s="3">
        <f t="shared" si="225"/>
        <v>0</v>
      </c>
      <c r="AM106" s="3">
        <f t="shared" si="225"/>
        <v>0</v>
      </c>
      <c r="AN106" s="3">
        <f t="shared" si="225"/>
        <v>0</v>
      </c>
      <c r="AO106" s="3">
        <f t="shared" si="225"/>
        <v>0</v>
      </c>
      <c r="AP106" s="397">
        <f t="shared" si="236"/>
        <v>0</v>
      </c>
      <c r="AQ106" s="3">
        <f t="shared" si="226"/>
        <v>0</v>
      </c>
      <c r="AR106" s="3">
        <f t="shared" si="226"/>
        <v>0</v>
      </c>
      <c r="AS106" s="3">
        <f t="shared" si="226"/>
        <v>0</v>
      </c>
      <c r="AT106" s="3">
        <f t="shared" si="226"/>
        <v>0</v>
      </c>
      <c r="AU106" s="3">
        <f t="shared" si="226"/>
        <v>0</v>
      </c>
      <c r="AV106" s="3">
        <f t="shared" si="226"/>
        <v>0</v>
      </c>
      <c r="AW106" s="3">
        <f t="shared" si="226"/>
        <v>0</v>
      </c>
      <c r="AX106" s="3">
        <f t="shared" si="226"/>
        <v>0</v>
      </c>
      <c r="AY106" s="3">
        <f t="shared" si="226"/>
        <v>0</v>
      </c>
      <c r="AZ106" s="3">
        <f t="shared" si="226"/>
        <v>0</v>
      </c>
      <c r="BA106" s="3">
        <f t="shared" si="226"/>
        <v>0</v>
      </c>
      <c r="BB106" s="3">
        <f t="shared" si="226"/>
        <v>0</v>
      </c>
      <c r="BC106" s="397">
        <f t="shared" si="237"/>
        <v>0</v>
      </c>
      <c r="BD106" s="3">
        <f t="shared" si="227"/>
        <v>0</v>
      </c>
      <c r="BE106" s="3">
        <f t="shared" si="227"/>
        <v>0</v>
      </c>
      <c r="BF106" s="3">
        <f t="shared" si="227"/>
        <v>0</v>
      </c>
      <c r="BG106" s="3">
        <f t="shared" si="227"/>
        <v>0</v>
      </c>
      <c r="BH106" s="3">
        <f t="shared" si="227"/>
        <v>0</v>
      </c>
      <c r="BI106" s="3">
        <f t="shared" si="227"/>
        <v>0</v>
      </c>
      <c r="BJ106" s="3">
        <f t="shared" si="227"/>
        <v>0</v>
      </c>
      <c r="BK106" s="3">
        <f t="shared" si="227"/>
        <v>0</v>
      </c>
      <c r="BL106" s="3">
        <f t="shared" si="227"/>
        <v>0</v>
      </c>
      <c r="BM106" s="3">
        <f t="shared" si="227"/>
        <v>0</v>
      </c>
      <c r="BN106" s="3">
        <f t="shared" si="227"/>
        <v>0</v>
      </c>
      <c r="BO106" s="3">
        <f t="shared" si="227"/>
        <v>0</v>
      </c>
      <c r="BP106" s="397">
        <f t="shared" si="238"/>
        <v>0</v>
      </c>
      <c r="CF106" s="296" t="s">
        <v>1040</v>
      </c>
      <c r="CG106" s="12" t="s">
        <v>967</v>
      </c>
    </row>
    <row r="107" spans="1:85" s="3" customFormat="1">
      <c r="A107" s="296" t="s">
        <v>538</v>
      </c>
      <c r="B107" s="12" t="s">
        <v>809</v>
      </c>
      <c r="C107" s="5"/>
      <c r="D107" s="3">
        <f t="shared" si="219"/>
        <v>0</v>
      </c>
      <c r="E107" s="3">
        <f t="shared" si="233"/>
        <v>0</v>
      </c>
      <c r="F107" s="3">
        <f t="shared" si="233"/>
        <v>0</v>
      </c>
      <c r="G107" s="3">
        <f t="shared" si="233"/>
        <v>0</v>
      </c>
      <c r="H107" s="3">
        <f t="shared" si="233"/>
        <v>0</v>
      </c>
      <c r="I107" s="3">
        <f t="shared" si="233"/>
        <v>0</v>
      </c>
      <c r="J107" s="3">
        <f t="shared" si="233"/>
        <v>0</v>
      </c>
      <c r="K107" s="3">
        <f t="shared" si="233"/>
        <v>0</v>
      </c>
      <c r="L107" s="3">
        <f t="shared" si="233"/>
        <v>0</v>
      </c>
      <c r="M107" s="3">
        <f t="shared" si="233"/>
        <v>0</v>
      </c>
      <c r="N107" s="3">
        <f t="shared" si="233"/>
        <v>0</v>
      </c>
      <c r="O107" s="3">
        <f t="shared" si="233"/>
        <v>0</v>
      </c>
      <c r="P107" s="397">
        <f t="shared" si="234"/>
        <v>0</v>
      </c>
      <c r="Q107" s="3">
        <f t="shared" si="224"/>
        <v>0</v>
      </c>
      <c r="R107" s="3">
        <f t="shared" si="224"/>
        <v>0</v>
      </c>
      <c r="S107" s="3">
        <f t="shared" si="224"/>
        <v>0</v>
      </c>
      <c r="T107" s="3">
        <f t="shared" si="224"/>
        <v>0</v>
      </c>
      <c r="U107" s="3">
        <f t="shared" si="224"/>
        <v>0</v>
      </c>
      <c r="V107" s="3">
        <f t="shared" si="224"/>
        <v>0</v>
      </c>
      <c r="W107" s="3">
        <f t="shared" si="224"/>
        <v>0</v>
      </c>
      <c r="X107" s="3">
        <f t="shared" si="224"/>
        <v>0</v>
      </c>
      <c r="Y107" s="3">
        <f t="shared" si="224"/>
        <v>0</v>
      </c>
      <c r="Z107" s="3">
        <f t="shared" si="224"/>
        <v>0</v>
      </c>
      <c r="AA107" s="3">
        <f t="shared" si="224"/>
        <v>0</v>
      </c>
      <c r="AB107" s="3">
        <f t="shared" si="224"/>
        <v>0</v>
      </c>
      <c r="AC107" s="397">
        <f t="shared" si="235"/>
        <v>0</v>
      </c>
      <c r="AD107" s="3">
        <f t="shared" si="225"/>
        <v>0</v>
      </c>
      <c r="AE107" s="3">
        <f t="shared" si="225"/>
        <v>0</v>
      </c>
      <c r="AF107" s="3">
        <f t="shared" si="225"/>
        <v>0</v>
      </c>
      <c r="AG107" s="3">
        <f t="shared" si="225"/>
        <v>0</v>
      </c>
      <c r="AH107" s="3">
        <f t="shared" si="225"/>
        <v>0</v>
      </c>
      <c r="AI107" s="3">
        <f t="shared" si="225"/>
        <v>0</v>
      </c>
      <c r="AJ107" s="3">
        <f t="shared" si="225"/>
        <v>0</v>
      </c>
      <c r="AK107" s="3">
        <f t="shared" si="225"/>
        <v>0</v>
      </c>
      <c r="AL107" s="3">
        <f t="shared" si="225"/>
        <v>0</v>
      </c>
      <c r="AM107" s="3">
        <f t="shared" si="225"/>
        <v>0</v>
      </c>
      <c r="AN107" s="3">
        <f t="shared" si="225"/>
        <v>0</v>
      </c>
      <c r="AO107" s="3">
        <f t="shared" si="225"/>
        <v>0</v>
      </c>
      <c r="AP107" s="397">
        <f t="shared" si="236"/>
        <v>0</v>
      </c>
      <c r="AQ107" s="3">
        <f t="shared" si="226"/>
        <v>0</v>
      </c>
      <c r="AR107" s="3">
        <f t="shared" si="226"/>
        <v>0</v>
      </c>
      <c r="AS107" s="3">
        <f t="shared" si="226"/>
        <v>0</v>
      </c>
      <c r="AT107" s="3">
        <f t="shared" si="226"/>
        <v>0</v>
      </c>
      <c r="AU107" s="3">
        <f t="shared" si="226"/>
        <v>0</v>
      </c>
      <c r="AV107" s="3">
        <f t="shared" si="226"/>
        <v>0</v>
      </c>
      <c r="AW107" s="3">
        <f t="shared" si="226"/>
        <v>0</v>
      </c>
      <c r="AX107" s="3">
        <f t="shared" si="226"/>
        <v>0</v>
      </c>
      <c r="AY107" s="3">
        <f t="shared" si="226"/>
        <v>0</v>
      </c>
      <c r="AZ107" s="3">
        <f t="shared" si="226"/>
        <v>0</v>
      </c>
      <c r="BA107" s="3">
        <f t="shared" si="226"/>
        <v>0</v>
      </c>
      <c r="BB107" s="3">
        <f t="shared" si="226"/>
        <v>0</v>
      </c>
      <c r="BC107" s="397">
        <f t="shared" si="237"/>
        <v>0</v>
      </c>
      <c r="BD107" s="3">
        <f t="shared" si="227"/>
        <v>0</v>
      </c>
      <c r="BE107" s="3">
        <f t="shared" si="227"/>
        <v>0</v>
      </c>
      <c r="BF107" s="3">
        <f t="shared" si="227"/>
        <v>0</v>
      </c>
      <c r="BG107" s="3">
        <f t="shared" si="227"/>
        <v>0</v>
      </c>
      <c r="BH107" s="3">
        <f t="shared" si="227"/>
        <v>0</v>
      </c>
      <c r="BI107" s="3">
        <f t="shared" si="227"/>
        <v>0</v>
      </c>
      <c r="BJ107" s="3">
        <f t="shared" si="227"/>
        <v>0</v>
      </c>
      <c r="BK107" s="3">
        <f t="shared" si="227"/>
        <v>0</v>
      </c>
      <c r="BL107" s="3">
        <f t="shared" si="227"/>
        <v>0</v>
      </c>
      <c r="BM107" s="3">
        <f t="shared" si="227"/>
        <v>0</v>
      </c>
      <c r="BN107" s="3">
        <f t="shared" si="227"/>
        <v>0</v>
      </c>
      <c r="BO107" s="3">
        <f t="shared" si="227"/>
        <v>0</v>
      </c>
      <c r="BP107" s="397">
        <f t="shared" si="238"/>
        <v>0</v>
      </c>
      <c r="CF107" s="296" t="s">
        <v>1039</v>
      </c>
      <c r="CG107" s="12" t="s">
        <v>967</v>
      </c>
    </row>
    <row r="108" spans="1:85" s="63" customFormat="1">
      <c r="A108" s="298" t="s">
        <v>475</v>
      </c>
      <c r="B108" s="12" t="s">
        <v>809</v>
      </c>
      <c r="C108" s="299"/>
      <c r="D108" s="3">
        <f t="shared" si="219"/>
        <v>0</v>
      </c>
      <c r="E108" s="3">
        <f t="shared" si="233"/>
        <v>0</v>
      </c>
      <c r="F108" s="3">
        <f t="shared" si="233"/>
        <v>0</v>
      </c>
      <c r="G108" s="3">
        <f t="shared" si="233"/>
        <v>0</v>
      </c>
      <c r="H108" s="3">
        <f t="shared" si="233"/>
        <v>0</v>
      </c>
      <c r="I108" s="3">
        <f t="shared" si="233"/>
        <v>0</v>
      </c>
      <c r="J108" s="3">
        <f t="shared" si="233"/>
        <v>0</v>
      </c>
      <c r="K108" s="3">
        <f t="shared" si="233"/>
        <v>0</v>
      </c>
      <c r="L108" s="3">
        <f t="shared" si="233"/>
        <v>0</v>
      </c>
      <c r="M108" s="3">
        <f t="shared" si="233"/>
        <v>0</v>
      </c>
      <c r="N108" s="3">
        <f t="shared" si="233"/>
        <v>0</v>
      </c>
      <c r="O108" s="3">
        <f t="shared" si="233"/>
        <v>0</v>
      </c>
      <c r="P108" s="397">
        <f t="shared" si="234"/>
        <v>0</v>
      </c>
      <c r="Q108" s="3">
        <f t="shared" si="224"/>
        <v>0</v>
      </c>
      <c r="R108" s="3">
        <f t="shared" si="224"/>
        <v>0</v>
      </c>
      <c r="S108" s="3">
        <f t="shared" si="224"/>
        <v>0</v>
      </c>
      <c r="T108" s="3">
        <f t="shared" si="224"/>
        <v>0</v>
      </c>
      <c r="U108" s="3">
        <f t="shared" si="224"/>
        <v>0</v>
      </c>
      <c r="V108" s="3">
        <f t="shared" si="224"/>
        <v>0</v>
      </c>
      <c r="W108" s="3">
        <f t="shared" si="224"/>
        <v>0</v>
      </c>
      <c r="X108" s="3">
        <f t="shared" si="224"/>
        <v>0</v>
      </c>
      <c r="Y108" s="3">
        <f t="shared" si="224"/>
        <v>0</v>
      </c>
      <c r="Z108" s="3">
        <f t="shared" si="224"/>
        <v>0</v>
      </c>
      <c r="AA108" s="3">
        <f t="shared" si="224"/>
        <v>0</v>
      </c>
      <c r="AB108" s="3">
        <f t="shared" si="224"/>
        <v>0</v>
      </c>
      <c r="AC108" s="397">
        <f t="shared" si="235"/>
        <v>0</v>
      </c>
      <c r="AD108" s="3">
        <f t="shared" si="225"/>
        <v>0</v>
      </c>
      <c r="AE108" s="3">
        <f t="shared" si="225"/>
        <v>0</v>
      </c>
      <c r="AF108" s="3">
        <f t="shared" si="225"/>
        <v>0</v>
      </c>
      <c r="AG108" s="3">
        <f t="shared" si="225"/>
        <v>0</v>
      </c>
      <c r="AH108" s="3">
        <f t="shared" si="225"/>
        <v>0</v>
      </c>
      <c r="AI108" s="3">
        <f t="shared" si="225"/>
        <v>0</v>
      </c>
      <c r="AJ108" s="3">
        <f t="shared" si="225"/>
        <v>0</v>
      </c>
      <c r="AK108" s="3">
        <f t="shared" si="225"/>
        <v>0</v>
      </c>
      <c r="AL108" s="3">
        <f t="shared" si="225"/>
        <v>0</v>
      </c>
      <c r="AM108" s="3">
        <f t="shared" si="225"/>
        <v>0</v>
      </c>
      <c r="AN108" s="3">
        <f t="shared" si="225"/>
        <v>0</v>
      </c>
      <c r="AO108" s="3">
        <f t="shared" si="225"/>
        <v>0</v>
      </c>
      <c r="AP108" s="397">
        <f t="shared" si="236"/>
        <v>0</v>
      </c>
      <c r="AQ108" s="3">
        <f t="shared" si="226"/>
        <v>0</v>
      </c>
      <c r="AR108" s="3">
        <f t="shared" si="226"/>
        <v>0</v>
      </c>
      <c r="AS108" s="3">
        <f t="shared" si="226"/>
        <v>0</v>
      </c>
      <c r="AT108" s="3">
        <f t="shared" si="226"/>
        <v>0</v>
      </c>
      <c r="AU108" s="3">
        <f t="shared" si="226"/>
        <v>0</v>
      </c>
      <c r="AV108" s="3">
        <f t="shared" si="226"/>
        <v>0</v>
      </c>
      <c r="AW108" s="3">
        <f t="shared" si="226"/>
        <v>0</v>
      </c>
      <c r="AX108" s="3">
        <f t="shared" si="226"/>
        <v>0</v>
      </c>
      <c r="AY108" s="3">
        <f t="shared" si="226"/>
        <v>0</v>
      </c>
      <c r="AZ108" s="3">
        <f t="shared" si="226"/>
        <v>0</v>
      </c>
      <c r="BA108" s="3">
        <f t="shared" si="226"/>
        <v>0</v>
      </c>
      <c r="BB108" s="3">
        <f t="shared" si="226"/>
        <v>0</v>
      </c>
      <c r="BC108" s="397">
        <f t="shared" si="237"/>
        <v>0</v>
      </c>
      <c r="BD108" s="3">
        <f t="shared" si="227"/>
        <v>0</v>
      </c>
      <c r="BE108" s="3">
        <f t="shared" si="227"/>
        <v>0</v>
      </c>
      <c r="BF108" s="3">
        <f t="shared" si="227"/>
        <v>0</v>
      </c>
      <c r="BG108" s="3">
        <f t="shared" si="227"/>
        <v>0</v>
      </c>
      <c r="BH108" s="3">
        <f t="shared" si="227"/>
        <v>0</v>
      </c>
      <c r="BI108" s="3">
        <f t="shared" si="227"/>
        <v>0</v>
      </c>
      <c r="BJ108" s="3">
        <f t="shared" si="227"/>
        <v>0</v>
      </c>
      <c r="BK108" s="3">
        <f t="shared" si="227"/>
        <v>0</v>
      </c>
      <c r="BL108" s="3">
        <f t="shared" si="227"/>
        <v>0</v>
      </c>
      <c r="BM108" s="3">
        <f t="shared" si="227"/>
        <v>0</v>
      </c>
      <c r="BN108" s="3">
        <f t="shared" si="227"/>
        <v>0</v>
      </c>
      <c r="BO108" s="3">
        <f t="shared" si="227"/>
        <v>0</v>
      </c>
      <c r="BP108" s="397">
        <f t="shared" si="238"/>
        <v>0</v>
      </c>
      <c r="CF108" s="298" t="s">
        <v>859</v>
      </c>
      <c r="CG108" s="12" t="s">
        <v>967</v>
      </c>
    </row>
    <row r="109" spans="1:85" s="301" customFormat="1" ht="15.6">
      <c r="A109" s="301" t="s">
        <v>539</v>
      </c>
      <c r="B109" s="12" t="s">
        <v>809</v>
      </c>
      <c r="C109" s="302"/>
      <c r="D109" s="3">
        <f t="shared" si="219"/>
        <v>0</v>
      </c>
      <c r="E109" s="3">
        <f t="shared" si="233"/>
        <v>0</v>
      </c>
      <c r="F109" s="3">
        <f t="shared" si="233"/>
        <v>0</v>
      </c>
      <c r="G109" s="3">
        <f t="shared" si="233"/>
        <v>0</v>
      </c>
      <c r="H109" s="3">
        <f t="shared" si="233"/>
        <v>0</v>
      </c>
      <c r="I109" s="3">
        <f t="shared" si="233"/>
        <v>0</v>
      </c>
      <c r="J109" s="3">
        <f t="shared" si="233"/>
        <v>-1.3304086715428134</v>
      </c>
      <c r="K109" s="3">
        <f t="shared" si="233"/>
        <v>-4.0427899794027766</v>
      </c>
      <c r="L109" s="3">
        <f t="shared" si="233"/>
        <v>-6.6355267628864505</v>
      </c>
      <c r="M109" s="3">
        <f t="shared" si="233"/>
        <v>-9.7689266306012144</v>
      </c>
      <c r="N109" s="3">
        <f t="shared" si="233"/>
        <v>-12.363927295468468</v>
      </c>
      <c r="O109" s="3">
        <f t="shared" si="233"/>
        <v>-15.809272763265648</v>
      </c>
      <c r="P109" s="372">
        <f t="shared" si="234"/>
        <v>-49.950852103167371</v>
      </c>
      <c r="Q109" s="3">
        <f t="shared" ref="Q109:AB111" si="239">Q70/500*1000</f>
        <v>-19.535714702513264</v>
      </c>
      <c r="R109" s="3">
        <f t="shared" si="239"/>
        <v>-23.856151983006196</v>
      </c>
      <c r="S109" s="3">
        <f t="shared" si="239"/>
        <v>-33.623934073958175</v>
      </c>
      <c r="T109" s="3">
        <f t="shared" si="239"/>
        <v>-39.833584376567295</v>
      </c>
      <c r="U109" s="3">
        <f t="shared" si="239"/>
        <v>-49.014417460533835</v>
      </c>
      <c r="V109" s="3">
        <f t="shared" si="239"/>
        <v>-55.328341294540841</v>
      </c>
      <c r="W109" s="3">
        <f t="shared" si="239"/>
        <v>-65.625149177253206</v>
      </c>
      <c r="X109" s="3">
        <f t="shared" si="239"/>
        <v>-74.360833291549923</v>
      </c>
      <c r="Y109" s="3">
        <f t="shared" si="239"/>
        <v>-80.678880638599765</v>
      </c>
      <c r="Z109" s="3">
        <f t="shared" si="239"/>
        <v>-92.63538888769861</v>
      </c>
      <c r="AA109" s="3">
        <f t="shared" si="239"/>
        <v>-98.855236126412692</v>
      </c>
      <c r="AB109" s="3">
        <f t="shared" si="239"/>
        <v>-111.6748131332609</v>
      </c>
      <c r="AC109" s="372">
        <f t="shared" si="235"/>
        <v>-745.02244514589461</v>
      </c>
      <c r="AD109" s="3">
        <f t="shared" ref="AD109:AO111" si="240">AD70/500*1000</f>
        <v>-112.37737199896365</v>
      </c>
      <c r="AE109" s="3">
        <f t="shared" si="240"/>
        <v>-109.18025091088481</v>
      </c>
      <c r="AF109" s="3">
        <f t="shared" si="240"/>
        <v>-129.77164435332051</v>
      </c>
      <c r="AG109" s="3">
        <f t="shared" si="240"/>
        <v>-134.55837673956012</v>
      </c>
      <c r="AH109" s="3">
        <f t="shared" si="240"/>
        <v>-148.67954794236658</v>
      </c>
      <c r="AI109" s="3">
        <f t="shared" si="240"/>
        <v>-153.54615018649966</v>
      </c>
      <c r="AJ109" s="3">
        <f t="shared" si="240"/>
        <v>-168.98280402914457</v>
      </c>
      <c r="AK109" s="3">
        <f t="shared" si="240"/>
        <v>-179.61934714235861</v>
      </c>
      <c r="AL109" s="3">
        <f t="shared" si="240"/>
        <v>-184.41116008070617</v>
      </c>
      <c r="AM109" s="3">
        <f t="shared" si="240"/>
        <v>-201.78336982138953</v>
      </c>
      <c r="AN109" s="3">
        <f t="shared" si="240"/>
        <v>-206.39874509886576</v>
      </c>
      <c r="AO109" s="3">
        <f t="shared" si="240"/>
        <v>-224.70600277895323</v>
      </c>
      <c r="AP109" s="372">
        <f t="shared" si="236"/>
        <v>-1954.0147710830129</v>
      </c>
      <c r="AQ109" s="3">
        <f t="shared" ref="AQ109:BB111" si="241">AQ70/500*1000</f>
        <v>-215.97817697594823</v>
      </c>
      <c r="AR109" s="3">
        <f t="shared" si="241"/>
        <v>-200.69932425980997</v>
      </c>
      <c r="AS109" s="3">
        <f t="shared" si="241"/>
        <v>-228.78533734130667</v>
      </c>
      <c r="AT109" s="3">
        <f t="shared" si="241"/>
        <v>-228.10847149796177</v>
      </c>
      <c r="AU109" s="3">
        <f t="shared" si="241"/>
        <v>-242.96918854260375</v>
      </c>
      <c r="AV109" s="3">
        <f t="shared" si="241"/>
        <v>-242.46051983838456</v>
      </c>
      <c r="AW109" s="3">
        <f t="shared" si="241"/>
        <v>-258.41784169803674</v>
      </c>
      <c r="AX109" s="3">
        <f t="shared" si="241"/>
        <v>-266.58065590860514</v>
      </c>
      <c r="AY109" s="3">
        <f t="shared" si="241"/>
        <v>-266.14491371862664</v>
      </c>
      <c r="AZ109" s="3">
        <f t="shared" si="241"/>
        <v>-283.71044657034543</v>
      </c>
      <c r="BA109" s="3">
        <f t="shared" si="241"/>
        <v>-283.20778402231184</v>
      </c>
      <c r="BB109" s="3">
        <f t="shared" si="241"/>
        <v>-301.47957774610455</v>
      </c>
      <c r="BC109" s="372">
        <f t="shared" si="237"/>
        <v>-3018.5422381200451</v>
      </c>
      <c r="BD109" s="3">
        <f t="shared" ref="BD109:BO111" si="242">BD70/500*1000</f>
        <v>-282.59304479469802</v>
      </c>
      <c r="BE109" s="3">
        <f t="shared" si="242"/>
        <v>-258.62297109962191</v>
      </c>
      <c r="BF109" s="3">
        <f t="shared" si="242"/>
        <v>-290.45185712866703</v>
      </c>
      <c r="BG109" s="3">
        <f t="shared" si="242"/>
        <v>-285.42290189311746</v>
      </c>
      <c r="BH109" s="3">
        <f t="shared" si="242"/>
        <v>-299.77391113927803</v>
      </c>
      <c r="BI109" s="3">
        <f t="shared" si="242"/>
        <v>-295.1112996480266</v>
      </c>
      <c r="BJ109" s="3">
        <f t="shared" si="242"/>
        <v>-310.44591190497118</v>
      </c>
      <c r="BK109" s="3">
        <f t="shared" si="242"/>
        <v>-316.25213743374638</v>
      </c>
      <c r="BL109" s="3">
        <f t="shared" si="242"/>
        <v>-311.9540054873446</v>
      </c>
      <c r="BM109" s="3">
        <f t="shared" si="242"/>
        <v>-328.73233360123419</v>
      </c>
      <c r="BN109" s="3">
        <f t="shared" si="242"/>
        <v>-324.55851539623313</v>
      </c>
      <c r="BO109" s="3">
        <f t="shared" si="242"/>
        <v>-341.92131133842025</v>
      </c>
      <c r="BP109" s="372">
        <f t="shared" si="238"/>
        <v>-3645.8402008653593</v>
      </c>
      <c r="CF109" s="301" t="s">
        <v>858</v>
      </c>
      <c r="CG109" s="12" t="s">
        <v>967</v>
      </c>
    </row>
    <row r="110" spans="1:85" s="3" customFormat="1">
      <c r="A110" s="296" t="s">
        <v>540</v>
      </c>
      <c r="B110" s="12" t="s">
        <v>809</v>
      </c>
      <c r="C110" s="40"/>
      <c r="D110" s="3">
        <f t="shared" si="219"/>
        <v>0</v>
      </c>
      <c r="E110" s="3">
        <f t="shared" si="233"/>
        <v>0</v>
      </c>
      <c r="F110" s="3">
        <f t="shared" si="233"/>
        <v>0</v>
      </c>
      <c r="G110" s="3">
        <f t="shared" si="233"/>
        <v>0</v>
      </c>
      <c r="H110" s="3">
        <f t="shared" si="233"/>
        <v>0</v>
      </c>
      <c r="I110" s="3">
        <f t="shared" si="233"/>
        <v>0</v>
      </c>
      <c r="J110" s="3">
        <f t="shared" si="233"/>
        <v>0</v>
      </c>
      <c r="K110" s="3">
        <f t="shared" si="233"/>
        <v>0</v>
      </c>
      <c r="L110" s="3">
        <f t="shared" si="233"/>
        <v>0</v>
      </c>
      <c r="M110" s="3">
        <f t="shared" si="233"/>
        <v>0</v>
      </c>
      <c r="N110" s="3">
        <f t="shared" si="233"/>
        <v>0</v>
      </c>
      <c r="O110" s="3">
        <f t="shared" si="233"/>
        <v>0</v>
      </c>
      <c r="P110" s="397">
        <f t="shared" si="234"/>
        <v>0</v>
      </c>
      <c r="Q110" s="3">
        <f t="shared" si="239"/>
        <v>0</v>
      </c>
      <c r="R110" s="3">
        <f t="shared" si="239"/>
        <v>0</v>
      </c>
      <c r="S110" s="3">
        <f t="shared" si="239"/>
        <v>0</v>
      </c>
      <c r="T110" s="3">
        <f t="shared" si="239"/>
        <v>0</v>
      </c>
      <c r="U110" s="3">
        <f t="shared" si="239"/>
        <v>0</v>
      </c>
      <c r="V110" s="3">
        <f t="shared" si="239"/>
        <v>0</v>
      </c>
      <c r="W110" s="3">
        <f t="shared" si="239"/>
        <v>0</v>
      </c>
      <c r="X110" s="3">
        <f t="shared" si="239"/>
        <v>0</v>
      </c>
      <c r="Y110" s="3">
        <f t="shared" si="239"/>
        <v>0</v>
      </c>
      <c r="Z110" s="3">
        <f t="shared" si="239"/>
        <v>0</v>
      </c>
      <c r="AA110" s="3">
        <f t="shared" si="239"/>
        <v>0</v>
      </c>
      <c r="AB110" s="3">
        <f t="shared" si="239"/>
        <v>0</v>
      </c>
      <c r="AC110" s="397">
        <f t="shared" si="235"/>
        <v>0</v>
      </c>
      <c r="AD110" s="3">
        <f t="shared" si="240"/>
        <v>0</v>
      </c>
      <c r="AE110" s="3">
        <f t="shared" si="240"/>
        <v>0</v>
      </c>
      <c r="AF110" s="3">
        <f t="shared" si="240"/>
        <v>0</v>
      </c>
      <c r="AG110" s="3">
        <f t="shared" si="240"/>
        <v>0</v>
      </c>
      <c r="AH110" s="3">
        <f t="shared" si="240"/>
        <v>0</v>
      </c>
      <c r="AI110" s="3">
        <f t="shared" si="240"/>
        <v>0</v>
      </c>
      <c r="AJ110" s="3">
        <f t="shared" si="240"/>
        <v>0</v>
      </c>
      <c r="AK110" s="3">
        <f t="shared" si="240"/>
        <v>0</v>
      </c>
      <c r="AL110" s="3">
        <f t="shared" si="240"/>
        <v>0</v>
      </c>
      <c r="AM110" s="3">
        <f t="shared" si="240"/>
        <v>0</v>
      </c>
      <c r="AN110" s="3">
        <f t="shared" si="240"/>
        <v>0</v>
      </c>
      <c r="AO110" s="3">
        <f t="shared" si="240"/>
        <v>0</v>
      </c>
      <c r="AP110" s="397">
        <f t="shared" si="236"/>
        <v>0</v>
      </c>
      <c r="AQ110" s="3">
        <f t="shared" si="241"/>
        <v>0</v>
      </c>
      <c r="AR110" s="3">
        <f t="shared" si="241"/>
        <v>0</v>
      </c>
      <c r="AS110" s="3">
        <f t="shared" si="241"/>
        <v>0</v>
      </c>
      <c r="AT110" s="3">
        <f t="shared" si="241"/>
        <v>0</v>
      </c>
      <c r="AU110" s="3">
        <f t="shared" si="241"/>
        <v>0</v>
      </c>
      <c r="AV110" s="3">
        <f t="shared" si="241"/>
        <v>0</v>
      </c>
      <c r="AW110" s="3">
        <f t="shared" si="241"/>
        <v>0</v>
      </c>
      <c r="AX110" s="3">
        <f t="shared" si="241"/>
        <v>0</v>
      </c>
      <c r="AY110" s="3">
        <f t="shared" si="241"/>
        <v>0</v>
      </c>
      <c r="AZ110" s="3">
        <f t="shared" si="241"/>
        <v>0</v>
      </c>
      <c r="BA110" s="3">
        <f t="shared" si="241"/>
        <v>0</v>
      </c>
      <c r="BB110" s="3">
        <f t="shared" si="241"/>
        <v>0</v>
      </c>
      <c r="BC110" s="397">
        <f t="shared" si="237"/>
        <v>0</v>
      </c>
      <c r="BD110" s="3">
        <f t="shared" si="242"/>
        <v>0</v>
      </c>
      <c r="BE110" s="3">
        <f t="shared" si="242"/>
        <v>0</v>
      </c>
      <c r="BF110" s="3">
        <f t="shared" si="242"/>
        <v>0</v>
      </c>
      <c r="BG110" s="3">
        <f t="shared" si="242"/>
        <v>0</v>
      </c>
      <c r="BH110" s="3">
        <f t="shared" si="242"/>
        <v>0</v>
      </c>
      <c r="BI110" s="3">
        <f t="shared" si="242"/>
        <v>0</v>
      </c>
      <c r="BJ110" s="3">
        <f t="shared" si="242"/>
        <v>0</v>
      </c>
      <c r="BK110" s="3">
        <f t="shared" si="242"/>
        <v>0</v>
      </c>
      <c r="BL110" s="3">
        <f t="shared" si="242"/>
        <v>0</v>
      </c>
      <c r="BM110" s="3">
        <f t="shared" si="242"/>
        <v>0</v>
      </c>
      <c r="BN110" s="3">
        <f t="shared" si="242"/>
        <v>0</v>
      </c>
      <c r="BO110" s="3">
        <f t="shared" si="242"/>
        <v>0</v>
      </c>
      <c r="BP110" s="397">
        <f t="shared" si="238"/>
        <v>0</v>
      </c>
      <c r="CF110" s="296" t="s">
        <v>857</v>
      </c>
      <c r="CG110" s="12" t="s">
        <v>967</v>
      </c>
    </row>
    <row r="111" spans="1:85" s="301" customFormat="1" ht="15.6">
      <c r="A111" s="301" t="s">
        <v>676</v>
      </c>
      <c r="B111" s="12" t="s">
        <v>809</v>
      </c>
      <c r="C111" s="302"/>
      <c r="D111" s="3">
        <f t="shared" si="219"/>
        <v>0</v>
      </c>
      <c r="E111" s="3">
        <f t="shared" si="233"/>
        <v>0</v>
      </c>
      <c r="F111" s="3">
        <f t="shared" si="233"/>
        <v>0</v>
      </c>
      <c r="G111" s="3">
        <f t="shared" si="233"/>
        <v>0</v>
      </c>
      <c r="H111" s="3">
        <f t="shared" si="233"/>
        <v>0</v>
      </c>
      <c r="I111" s="3">
        <f t="shared" si="233"/>
        <v>0</v>
      </c>
      <c r="J111" s="3">
        <f t="shared" si="233"/>
        <v>-1.3304086715428134</v>
      </c>
      <c r="K111" s="3">
        <f t="shared" si="233"/>
        <v>-4.0427899794027766</v>
      </c>
      <c r="L111" s="3">
        <f t="shared" si="233"/>
        <v>-6.6355267628864505</v>
      </c>
      <c r="M111" s="3">
        <f t="shared" si="233"/>
        <v>-9.7689266306012144</v>
      </c>
      <c r="N111" s="3">
        <f t="shared" si="233"/>
        <v>-12.363927295468468</v>
      </c>
      <c r="O111" s="3">
        <f>O72/500*1000</f>
        <v>-15.809272763265648</v>
      </c>
      <c r="P111" s="372">
        <f t="shared" si="234"/>
        <v>-49.950852103167371</v>
      </c>
      <c r="Q111" s="3">
        <f t="shared" si="239"/>
        <v>-19.535714702513264</v>
      </c>
      <c r="R111" s="3">
        <f t="shared" si="239"/>
        <v>-23.856151983006196</v>
      </c>
      <c r="S111" s="3">
        <f t="shared" si="239"/>
        <v>-33.623934073958175</v>
      </c>
      <c r="T111" s="3">
        <f t="shared" si="239"/>
        <v>-39.833584376567295</v>
      </c>
      <c r="U111" s="3">
        <f t="shared" si="239"/>
        <v>-49.014417460533835</v>
      </c>
      <c r="V111" s="3">
        <f t="shared" si="239"/>
        <v>-55.328341294540841</v>
      </c>
      <c r="W111" s="3">
        <f t="shared" si="239"/>
        <v>-65.625149177253206</v>
      </c>
      <c r="X111" s="3">
        <f t="shared" si="239"/>
        <v>-74.360833291549923</v>
      </c>
      <c r="Y111" s="3">
        <f t="shared" si="239"/>
        <v>-80.678880638599765</v>
      </c>
      <c r="Z111" s="3">
        <f t="shared" si="239"/>
        <v>-92.63538888769861</v>
      </c>
      <c r="AA111" s="3">
        <f t="shared" si="239"/>
        <v>-98.855236126412692</v>
      </c>
      <c r="AB111" s="3">
        <f>AB72/500*1000</f>
        <v>-111.6748131332609</v>
      </c>
      <c r="AC111" s="372">
        <f t="shared" si="235"/>
        <v>-745.02244514589461</v>
      </c>
      <c r="AD111" s="3">
        <f t="shared" si="240"/>
        <v>-112.37737199896365</v>
      </c>
      <c r="AE111" s="3">
        <f t="shared" si="240"/>
        <v>-109.18025091088481</v>
      </c>
      <c r="AF111" s="3">
        <f t="shared" si="240"/>
        <v>-129.77164435332051</v>
      </c>
      <c r="AG111" s="3">
        <f t="shared" si="240"/>
        <v>-134.55837673956012</v>
      </c>
      <c r="AH111" s="3">
        <f t="shared" si="240"/>
        <v>-148.67954794236658</v>
      </c>
      <c r="AI111" s="3">
        <f t="shared" si="240"/>
        <v>-153.54615018649966</v>
      </c>
      <c r="AJ111" s="3">
        <f t="shared" si="240"/>
        <v>-168.98280402914457</v>
      </c>
      <c r="AK111" s="3">
        <f t="shared" si="240"/>
        <v>-179.61934714235861</v>
      </c>
      <c r="AL111" s="3">
        <f t="shared" si="240"/>
        <v>-184.41116008070617</v>
      </c>
      <c r="AM111" s="3">
        <f t="shared" si="240"/>
        <v>-201.78336982138953</v>
      </c>
      <c r="AN111" s="3">
        <f t="shared" si="240"/>
        <v>-206.39874509886576</v>
      </c>
      <c r="AO111" s="3">
        <f>AO72/500*1000</f>
        <v>-224.70600277895323</v>
      </c>
      <c r="AP111" s="372">
        <f t="shared" si="236"/>
        <v>-1954.0147710830129</v>
      </c>
      <c r="AQ111" s="3">
        <f t="shared" si="241"/>
        <v>-215.97817697594823</v>
      </c>
      <c r="AR111" s="3">
        <f t="shared" si="241"/>
        <v>-200.69932425980997</v>
      </c>
      <c r="AS111" s="3">
        <f t="shared" si="241"/>
        <v>-228.78533734130667</v>
      </c>
      <c r="AT111" s="3">
        <f t="shared" si="241"/>
        <v>-228.10847149796177</v>
      </c>
      <c r="AU111" s="3">
        <f t="shared" si="241"/>
        <v>-242.96918854260375</v>
      </c>
      <c r="AV111" s="3">
        <f t="shared" si="241"/>
        <v>-242.46051983838456</v>
      </c>
      <c r="AW111" s="3">
        <f t="shared" si="241"/>
        <v>-258.41784169803674</v>
      </c>
      <c r="AX111" s="3">
        <f t="shared" si="241"/>
        <v>-266.58065590860514</v>
      </c>
      <c r="AY111" s="3">
        <f t="shared" si="241"/>
        <v>-266.14491371862664</v>
      </c>
      <c r="AZ111" s="3">
        <f t="shared" si="241"/>
        <v>-283.71044657034543</v>
      </c>
      <c r="BA111" s="3">
        <f t="shared" si="241"/>
        <v>-283.20778402231184</v>
      </c>
      <c r="BB111" s="3">
        <f>BB72/500*1000</f>
        <v>-301.47957774610455</v>
      </c>
      <c r="BC111" s="372">
        <f t="shared" si="237"/>
        <v>-3018.5422381200451</v>
      </c>
      <c r="BD111" s="3">
        <f t="shared" si="242"/>
        <v>-282.59304479469802</v>
      </c>
      <c r="BE111" s="3">
        <f t="shared" si="242"/>
        <v>-258.62297109962191</v>
      </c>
      <c r="BF111" s="3">
        <f t="shared" si="242"/>
        <v>-290.45185712866703</v>
      </c>
      <c r="BG111" s="3">
        <f t="shared" si="242"/>
        <v>-285.42290189311746</v>
      </c>
      <c r="BH111" s="3">
        <f t="shared" si="242"/>
        <v>-299.77391113927803</v>
      </c>
      <c r="BI111" s="3">
        <f t="shared" si="242"/>
        <v>-295.1112996480266</v>
      </c>
      <c r="BJ111" s="3">
        <f t="shared" si="242"/>
        <v>-310.44591190497118</v>
      </c>
      <c r="BK111" s="3">
        <f t="shared" si="242"/>
        <v>-316.25213743374638</v>
      </c>
      <c r="BL111" s="3">
        <f t="shared" si="242"/>
        <v>-311.9540054873446</v>
      </c>
      <c r="BM111" s="3">
        <f t="shared" si="242"/>
        <v>-328.73233360123419</v>
      </c>
      <c r="BN111" s="3">
        <f t="shared" si="242"/>
        <v>-324.55851539623313</v>
      </c>
      <c r="BO111" s="3">
        <f>BO72/500*1000</f>
        <v>-341.92131133842025</v>
      </c>
      <c r="BP111" s="372">
        <f t="shared" si="238"/>
        <v>-3645.8402008653593</v>
      </c>
      <c r="CF111" s="301" t="s">
        <v>940</v>
      </c>
      <c r="CG111" s="12" t="s">
        <v>967</v>
      </c>
    </row>
    <row r="112" spans="1:85">
      <c r="CF112" s="299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0.79998168889431442"/>
    <outlinePr summaryBelow="0"/>
  </sheetPr>
  <dimension ref="A1:CG133"/>
  <sheetViews>
    <sheetView showGridLines="0" zoomScaleNormal="100" workbookViewId="0">
      <pane xSplit="2" ySplit="2" topLeftCell="C3" activePane="bottomRight" state="frozen"/>
      <selection activeCell="B132" sqref="B132"/>
      <selection pane="topRight" activeCell="B132" sqref="B132"/>
      <selection pane="bottomLeft" activeCell="B132" sqref="B132"/>
      <selection pane="bottomRight"/>
    </sheetView>
  </sheetViews>
  <sheetFormatPr defaultColWidth="9.109375" defaultRowHeight="13.8" outlineLevelRow="1" outlineLevelCol="1"/>
  <cols>
    <col min="1" max="1" width="84.5546875" style="4" bestFit="1" customWidth="1"/>
    <col min="2" max="2" width="9.109375" style="13"/>
    <col min="3" max="3" width="9.109375" style="6"/>
    <col min="4" max="15" width="9.109375" style="4" hidden="1" customWidth="1" outlineLevel="1"/>
    <col min="16" max="16" width="10.6640625" style="4" customWidth="1" collapsed="1"/>
    <col min="17" max="28" width="9.109375" style="4" hidden="1" customWidth="1" outlineLevel="1"/>
    <col min="29" max="29" width="10.6640625" style="4" customWidth="1" collapsed="1"/>
    <col min="30" max="41" width="9.109375" style="4" hidden="1" customWidth="1" outlineLevel="1"/>
    <col min="42" max="42" width="10.6640625" style="4" customWidth="1" collapsed="1"/>
    <col min="43" max="54" width="9.109375" style="4" hidden="1" customWidth="1" outlineLevel="1"/>
    <col min="55" max="55" width="10.6640625" style="4" customWidth="1" collapsed="1"/>
    <col min="56" max="67" width="9.109375" style="4" hidden="1" customWidth="1" outlineLevel="1"/>
    <col min="68" max="68" width="10.6640625" style="4" customWidth="1" collapsed="1"/>
    <col min="69" max="82" width="0" style="4" hidden="1" customWidth="1"/>
    <col min="83" max="83" width="9.109375" style="4"/>
    <col min="84" max="84" width="84.5546875" style="4" bestFit="1" customWidth="1"/>
    <col min="85" max="85" width="9.109375" style="13"/>
    <col min="86" max="16384" width="9.109375" style="4"/>
  </cols>
  <sheetData>
    <row r="1" spans="1:85" s="6" customFormat="1">
      <c r="B1" s="13"/>
      <c r="D1" s="6">
        <v>31</v>
      </c>
      <c r="E1" s="6">
        <v>28</v>
      </c>
      <c r="F1" s="6">
        <v>31</v>
      </c>
      <c r="G1" s="6">
        <v>30</v>
      </c>
      <c r="H1" s="6">
        <v>31</v>
      </c>
      <c r="I1" s="6">
        <v>30</v>
      </c>
      <c r="J1" s="6">
        <v>31</v>
      </c>
      <c r="K1" s="6">
        <v>31</v>
      </c>
      <c r="L1" s="6">
        <v>30</v>
      </c>
      <c r="M1" s="6">
        <v>31</v>
      </c>
      <c r="N1" s="6">
        <v>30</v>
      </c>
      <c r="O1" s="6">
        <v>31</v>
      </c>
      <c r="P1" s="343">
        <f>SUM(D1:O1)</f>
        <v>365</v>
      </c>
      <c r="Q1" s="6">
        <v>31</v>
      </c>
      <c r="R1" s="6">
        <v>28</v>
      </c>
      <c r="S1" s="6">
        <v>31</v>
      </c>
      <c r="T1" s="6">
        <v>30</v>
      </c>
      <c r="U1" s="6">
        <v>31</v>
      </c>
      <c r="V1" s="6">
        <v>30</v>
      </c>
      <c r="W1" s="6">
        <v>31</v>
      </c>
      <c r="X1" s="6">
        <v>31</v>
      </c>
      <c r="Y1" s="6">
        <v>30</v>
      </c>
      <c r="Z1" s="6">
        <v>31</v>
      </c>
      <c r="AA1" s="6">
        <v>30</v>
      </c>
      <c r="AB1" s="6">
        <v>31</v>
      </c>
      <c r="AC1" s="343">
        <f>SUM(Q1:AB1)</f>
        <v>365</v>
      </c>
      <c r="AD1" s="6">
        <v>31</v>
      </c>
      <c r="AE1" s="6">
        <v>28</v>
      </c>
      <c r="AF1" s="6">
        <v>31</v>
      </c>
      <c r="AG1" s="6">
        <v>30</v>
      </c>
      <c r="AH1" s="6">
        <v>31</v>
      </c>
      <c r="AI1" s="6">
        <v>30</v>
      </c>
      <c r="AJ1" s="6">
        <v>31</v>
      </c>
      <c r="AK1" s="6">
        <v>31</v>
      </c>
      <c r="AL1" s="6">
        <v>30</v>
      </c>
      <c r="AM1" s="6">
        <v>31</v>
      </c>
      <c r="AN1" s="6">
        <v>30</v>
      </c>
      <c r="AO1" s="6">
        <v>31</v>
      </c>
      <c r="AP1" s="343">
        <f>SUM(AD1:AO1)</f>
        <v>365</v>
      </c>
      <c r="AQ1" s="6">
        <v>31</v>
      </c>
      <c r="AR1" s="6">
        <v>28</v>
      </c>
      <c r="AS1" s="6">
        <v>31</v>
      </c>
      <c r="AT1" s="6">
        <v>30</v>
      </c>
      <c r="AU1" s="6">
        <v>31</v>
      </c>
      <c r="AV1" s="6">
        <v>30</v>
      </c>
      <c r="AW1" s="6">
        <v>31</v>
      </c>
      <c r="AX1" s="6">
        <v>31</v>
      </c>
      <c r="AY1" s="6">
        <v>30</v>
      </c>
      <c r="AZ1" s="6">
        <v>31</v>
      </c>
      <c r="BA1" s="6">
        <v>30</v>
      </c>
      <c r="BB1" s="6">
        <v>31</v>
      </c>
      <c r="BC1" s="343">
        <f>SUM(AQ1:BB1)</f>
        <v>365</v>
      </c>
      <c r="BD1" s="6">
        <v>31</v>
      </c>
      <c r="BE1" s="6">
        <v>28</v>
      </c>
      <c r="BF1" s="6">
        <v>31</v>
      </c>
      <c r="BG1" s="6">
        <v>30</v>
      </c>
      <c r="BH1" s="6">
        <v>31</v>
      </c>
      <c r="BI1" s="6">
        <v>30</v>
      </c>
      <c r="BJ1" s="6">
        <v>31</v>
      </c>
      <c r="BK1" s="6">
        <v>31</v>
      </c>
      <c r="BL1" s="6">
        <v>30</v>
      </c>
      <c r="BM1" s="6">
        <v>31</v>
      </c>
      <c r="BN1" s="6">
        <v>30</v>
      </c>
      <c r="BO1" s="6">
        <v>31</v>
      </c>
      <c r="BP1" s="343">
        <f>SUM(BD1:BO1)</f>
        <v>365</v>
      </c>
      <c r="CG1" s="13"/>
    </row>
    <row r="2" spans="1:85" s="1" customFormat="1">
      <c r="A2" s="415"/>
      <c r="B2" s="416" t="s">
        <v>665</v>
      </c>
      <c r="C2" s="428"/>
      <c r="D2" s="415" t="s">
        <v>107</v>
      </c>
      <c r="E2" s="415" t="s">
        <v>135</v>
      </c>
      <c r="F2" s="415" t="s">
        <v>136</v>
      </c>
      <c r="G2" s="415" t="s">
        <v>137</v>
      </c>
      <c r="H2" s="415" t="s">
        <v>138</v>
      </c>
      <c r="I2" s="415" t="s">
        <v>139</v>
      </c>
      <c r="J2" s="415" t="s">
        <v>140</v>
      </c>
      <c r="K2" s="415" t="s">
        <v>141</v>
      </c>
      <c r="L2" s="415" t="s">
        <v>142</v>
      </c>
      <c r="M2" s="415" t="s">
        <v>143</v>
      </c>
      <c r="N2" s="415" t="s">
        <v>144</v>
      </c>
      <c r="O2" s="415" t="s">
        <v>145</v>
      </c>
      <c r="P2" s="414" t="s">
        <v>146</v>
      </c>
      <c r="Q2" s="415" t="s">
        <v>107</v>
      </c>
      <c r="R2" s="415" t="s">
        <v>135</v>
      </c>
      <c r="S2" s="415" t="s">
        <v>136</v>
      </c>
      <c r="T2" s="415" t="s">
        <v>137</v>
      </c>
      <c r="U2" s="415" t="s">
        <v>138</v>
      </c>
      <c r="V2" s="415" t="s">
        <v>139</v>
      </c>
      <c r="W2" s="415" t="s">
        <v>140</v>
      </c>
      <c r="X2" s="415" t="s">
        <v>141</v>
      </c>
      <c r="Y2" s="415" t="s">
        <v>142</v>
      </c>
      <c r="Z2" s="415" t="s">
        <v>143</v>
      </c>
      <c r="AA2" s="415" t="s">
        <v>144</v>
      </c>
      <c r="AB2" s="415" t="s">
        <v>145</v>
      </c>
      <c r="AC2" s="414" t="s">
        <v>151</v>
      </c>
      <c r="AD2" s="415" t="s">
        <v>107</v>
      </c>
      <c r="AE2" s="415" t="s">
        <v>135</v>
      </c>
      <c r="AF2" s="415" t="s">
        <v>136</v>
      </c>
      <c r="AG2" s="415" t="s">
        <v>137</v>
      </c>
      <c r="AH2" s="415" t="s">
        <v>138</v>
      </c>
      <c r="AI2" s="415" t="s">
        <v>139</v>
      </c>
      <c r="AJ2" s="415" t="s">
        <v>140</v>
      </c>
      <c r="AK2" s="415" t="s">
        <v>141</v>
      </c>
      <c r="AL2" s="415" t="s">
        <v>142</v>
      </c>
      <c r="AM2" s="415" t="s">
        <v>143</v>
      </c>
      <c r="AN2" s="415" t="s">
        <v>144</v>
      </c>
      <c r="AO2" s="415" t="s">
        <v>145</v>
      </c>
      <c r="AP2" s="414" t="s">
        <v>152</v>
      </c>
      <c r="AQ2" s="415" t="s">
        <v>107</v>
      </c>
      <c r="AR2" s="415" t="s">
        <v>135</v>
      </c>
      <c r="AS2" s="415" t="s">
        <v>136</v>
      </c>
      <c r="AT2" s="415" t="s">
        <v>137</v>
      </c>
      <c r="AU2" s="415" t="s">
        <v>138</v>
      </c>
      <c r="AV2" s="415" t="s">
        <v>139</v>
      </c>
      <c r="AW2" s="415" t="s">
        <v>140</v>
      </c>
      <c r="AX2" s="415" t="s">
        <v>141</v>
      </c>
      <c r="AY2" s="415" t="s">
        <v>142</v>
      </c>
      <c r="AZ2" s="415" t="s">
        <v>143</v>
      </c>
      <c r="BA2" s="415" t="s">
        <v>144</v>
      </c>
      <c r="BB2" s="415" t="s">
        <v>145</v>
      </c>
      <c r="BC2" s="414" t="s">
        <v>153</v>
      </c>
      <c r="BD2" s="415" t="s">
        <v>107</v>
      </c>
      <c r="BE2" s="415" t="s">
        <v>135</v>
      </c>
      <c r="BF2" s="415" t="s">
        <v>136</v>
      </c>
      <c r="BG2" s="415" t="s">
        <v>137</v>
      </c>
      <c r="BH2" s="415" t="s">
        <v>138</v>
      </c>
      <c r="BI2" s="415" t="s">
        <v>139</v>
      </c>
      <c r="BJ2" s="415" t="s">
        <v>140</v>
      </c>
      <c r="BK2" s="415" t="s">
        <v>141</v>
      </c>
      <c r="BL2" s="415" t="s">
        <v>142</v>
      </c>
      <c r="BM2" s="415" t="s">
        <v>143</v>
      </c>
      <c r="BN2" s="415" t="s">
        <v>144</v>
      </c>
      <c r="BO2" s="415" t="s">
        <v>145</v>
      </c>
      <c r="BP2" s="414" t="s">
        <v>154</v>
      </c>
      <c r="CF2" s="415"/>
      <c r="CG2" s="416"/>
    </row>
    <row r="3" spans="1:85">
      <c r="P3" s="349"/>
      <c r="AC3" s="349"/>
      <c r="AP3" s="349"/>
      <c r="BC3" s="349"/>
      <c r="BP3" s="349"/>
    </row>
    <row r="4" spans="1:85">
      <c r="A4" s="4" t="s">
        <v>582</v>
      </c>
      <c r="B4" s="13" t="s">
        <v>496</v>
      </c>
      <c r="D4" s="3">
        <f>P4*D5</f>
        <v>0</v>
      </c>
      <c r="E4" s="3">
        <f>P4*E5</f>
        <v>0</v>
      </c>
      <c r="F4" s="3">
        <f>P4*F5</f>
        <v>0</v>
      </c>
      <c r="G4" s="3">
        <f>P4*G5</f>
        <v>0</v>
      </c>
      <c r="H4" s="3">
        <f>P4*H5</f>
        <v>0</v>
      </c>
      <c r="I4" s="3">
        <f>P4*I5</f>
        <v>0</v>
      </c>
      <c r="J4" s="3">
        <f>P4*J5</f>
        <v>0</v>
      </c>
      <c r="K4" s="3">
        <f>P4*K5</f>
        <v>0</v>
      </c>
      <c r="L4" s="3">
        <f>P4*L5</f>
        <v>22193.622751999996</v>
      </c>
      <c r="M4" s="3">
        <f>P4*M5</f>
        <v>23490.197554879996</v>
      </c>
      <c r="N4" s="3">
        <f>P4*N5</f>
        <v>24786.772357759994</v>
      </c>
      <c r="O4" s="3">
        <f>P4*O5</f>
        <v>24786.772357759994</v>
      </c>
      <c r="P4" s="425">
        <f>Funnel!E60</f>
        <v>350425.62239999999</v>
      </c>
      <c r="Q4" s="3">
        <f>AC4*Q5</f>
        <v>140915.40891733332</v>
      </c>
      <c r="R4" s="3">
        <f>AC4*R5</f>
        <v>149147.83543829332</v>
      </c>
      <c r="S4" s="3">
        <f>AC4*S5</f>
        <v>157380.26195925332</v>
      </c>
      <c r="T4" s="3">
        <f>AC4*T5</f>
        <v>165612.68848021328</v>
      </c>
      <c r="U4" s="3">
        <f>AC4*U5</f>
        <v>173845.11500117328</v>
      </c>
      <c r="V4" s="3">
        <f>AC4*V5</f>
        <v>182077.54152213328</v>
      </c>
      <c r="W4" s="3">
        <f>AC4*W5</f>
        <v>190309.96804309325</v>
      </c>
      <c r="X4" s="3">
        <f>AC4*X5</f>
        <v>198542.39456405325</v>
      </c>
      <c r="Y4" s="3">
        <f>AC4*Y5</f>
        <v>206774.82108501325</v>
      </c>
      <c r="Z4" s="3">
        <f>AC4*Z5</f>
        <v>215007.24760597324</v>
      </c>
      <c r="AA4" s="3">
        <f>AC4*AA5</f>
        <v>223239.67412693321</v>
      </c>
      <c r="AB4" s="3">
        <f>AC4*AB5</f>
        <v>222127.18405653408</v>
      </c>
      <c r="AC4" s="425">
        <f>Funnel!F60</f>
        <v>2224980.1408000002</v>
      </c>
      <c r="AD4" s="3">
        <f>AP4*AD5</f>
        <v>188964.85409919999</v>
      </c>
      <c r="AE4" s="3">
        <f>AP4*AE5</f>
        <v>200004.37978604797</v>
      </c>
      <c r="AF4" s="3">
        <f>AP4*AF5</f>
        <v>211043.90547289597</v>
      </c>
      <c r="AG4" s="3">
        <f>AP4*AG5</f>
        <v>222083.43115974395</v>
      </c>
      <c r="AH4" s="3">
        <f>AP4*AH5</f>
        <v>233122.95684659193</v>
      </c>
      <c r="AI4" s="3">
        <f>AP4*AI5</f>
        <v>244162.48253343994</v>
      </c>
      <c r="AJ4" s="3">
        <f>AP4*AJ5</f>
        <v>255202.00822028791</v>
      </c>
      <c r="AK4" s="3">
        <f>AP4*AK5</f>
        <v>266241.53390713589</v>
      </c>
      <c r="AL4" s="3">
        <f>AP4*AL5</f>
        <v>277281.05959398387</v>
      </c>
      <c r="AM4" s="3">
        <f>AP4*AM5</f>
        <v>288320.58528083185</v>
      </c>
      <c r="AN4" s="3">
        <f>AP4*AN5</f>
        <v>299360.11096767988</v>
      </c>
      <c r="AO4" s="3">
        <f>AP4*AO5</f>
        <v>297868.28317216103</v>
      </c>
      <c r="AP4" s="425">
        <f>Funnel!G60</f>
        <v>2983655.5910400003</v>
      </c>
      <c r="AQ4" s="3">
        <f>BC4*AQ5</f>
        <v>212875.88521567997</v>
      </c>
      <c r="AR4" s="3">
        <f>BC4*AR5</f>
        <v>225312.31850985915</v>
      </c>
      <c r="AS4" s="3">
        <f>BC4*AS5</f>
        <v>237748.75180403833</v>
      </c>
      <c r="AT4" s="3">
        <f>BC4*AT5</f>
        <v>250185.18509821751</v>
      </c>
      <c r="AU4" s="3">
        <f>BC4*AU5</f>
        <v>262621.61839239672</v>
      </c>
      <c r="AV4" s="3">
        <f>BC4*AV5</f>
        <v>275058.05168657587</v>
      </c>
      <c r="AW4" s="3">
        <f>BC4*AW5</f>
        <v>287494.48498075508</v>
      </c>
      <c r="AX4" s="3">
        <f>BC4*AX5</f>
        <v>299930.91827493423</v>
      </c>
      <c r="AY4" s="3">
        <f>BC4*AY5</f>
        <v>312367.35156911344</v>
      </c>
      <c r="AZ4" s="3">
        <f>BC4*AZ5</f>
        <v>324803.78486329259</v>
      </c>
      <c r="BA4" s="3">
        <f>BC4*BA5</f>
        <v>337240.2181574718</v>
      </c>
      <c r="BB4" s="3">
        <f>BC4*BB5</f>
        <v>335559.6190636651</v>
      </c>
      <c r="BC4" s="425">
        <f>Funnel!H60</f>
        <v>3361198.187616</v>
      </c>
      <c r="BD4" s="3">
        <f>BP4*BD5</f>
        <v>243292.58697659196</v>
      </c>
      <c r="BE4" s="3">
        <f>BP4*BE5</f>
        <v>257505.99600522441</v>
      </c>
      <c r="BF4" s="3">
        <f>BP4*BF5</f>
        <v>271719.40503385686</v>
      </c>
      <c r="BG4" s="3">
        <f>BP4*BG5</f>
        <v>285932.81406248931</v>
      </c>
      <c r="BH4" s="3">
        <f>BP4*BH5</f>
        <v>300146.22309112182</v>
      </c>
      <c r="BI4" s="3">
        <f>BP4*BI5</f>
        <v>314359.63211975427</v>
      </c>
      <c r="BJ4" s="3">
        <f>BP4*BJ5</f>
        <v>328573.04114838672</v>
      </c>
      <c r="BK4" s="3">
        <f>BP4*BK5</f>
        <v>342786.45017701917</v>
      </c>
      <c r="BL4" s="3">
        <f>BP4*BL5</f>
        <v>356999.85920565162</v>
      </c>
      <c r="BM4" s="3">
        <f>BP4*BM5</f>
        <v>371213.26823428413</v>
      </c>
      <c r="BN4" s="3">
        <f>BP4*BN5</f>
        <v>385426.67726291658</v>
      </c>
      <c r="BO4" s="3">
        <f>BP4*BO5</f>
        <v>383505.94631310285</v>
      </c>
      <c r="BP4" s="425">
        <f>Funnel!I60</f>
        <v>3841461.8996303999</v>
      </c>
      <c r="CF4" s="4" t="s">
        <v>948</v>
      </c>
      <c r="CG4" s="13" t="s">
        <v>394</v>
      </c>
    </row>
    <row r="5" spans="1:85" s="6" customFormat="1">
      <c r="A5" s="6" t="s">
        <v>155</v>
      </c>
      <c r="B5" s="13" t="s">
        <v>231</v>
      </c>
      <c r="D5" s="40"/>
      <c r="E5" s="40"/>
      <c r="F5" s="40"/>
      <c r="G5" s="40"/>
      <c r="H5" s="40"/>
      <c r="I5" s="40"/>
      <c r="J5" s="40"/>
      <c r="K5" s="40"/>
      <c r="L5" s="40">
        <v>6.3333333333333325E-2</v>
      </c>
      <c r="M5" s="40">
        <f>L5+0.37%</f>
        <v>6.703333333333332E-2</v>
      </c>
      <c r="N5" s="40">
        <f>M5+0.37%</f>
        <v>7.0733333333333315E-2</v>
      </c>
      <c r="O5" s="40">
        <f>N5</f>
        <v>7.0733333333333315E-2</v>
      </c>
      <c r="P5" s="464">
        <f>SUM(D5:O5)</f>
        <v>0.27183333333333326</v>
      </c>
      <c r="Q5" s="40">
        <f>100%/12-2%</f>
        <v>6.3333333333333325E-2</v>
      </c>
      <c r="R5" s="40">
        <f t="shared" ref="R5:AA5" si="0">Q5+0.37%</f>
        <v>6.703333333333332E-2</v>
      </c>
      <c r="S5" s="40">
        <f t="shared" si="0"/>
        <v>7.0733333333333315E-2</v>
      </c>
      <c r="T5" s="40">
        <f t="shared" si="0"/>
        <v>7.443333333333331E-2</v>
      </c>
      <c r="U5" s="40">
        <f t="shared" si="0"/>
        <v>7.8133333333333305E-2</v>
      </c>
      <c r="V5" s="40">
        <f t="shared" si="0"/>
        <v>8.18333333333333E-2</v>
      </c>
      <c r="W5" s="40">
        <f t="shared" si="0"/>
        <v>8.5533333333333295E-2</v>
      </c>
      <c r="X5" s="40">
        <f t="shared" si="0"/>
        <v>8.923333333333329E-2</v>
      </c>
      <c r="Y5" s="40">
        <f t="shared" si="0"/>
        <v>9.2933333333333284E-2</v>
      </c>
      <c r="Z5" s="40">
        <f t="shared" si="0"/>
        <v>9.6633333333333279E-2</v>
      </c>
      <c r="AA5" s="40">
        <f t="shared" si="0"/>
        <v>0.10033333333333327</v>
      </c>
      <c r="AB5" s="40">
        <f>100%-SUM(Q5:AA5)</f>
        <v>9.9833333333333663E-2</v>
      </c>
      <c r="AC5" s="464">
        <f>SUM(Q5:AB5)</f>
        <v>1</v>
      </c>
      <c r="AD5" s="40">
        <f>100%/12-2%</f>
        <v>6.3333333333333325E-2</v>
      </c>
      <c r="AE5" s="40">
        <f t="shared" ref="AE5:AN5" si="1">AD5+0.37%</f>
        <v>6.703333333333332E-2</v>
      </c>
      <c r="AF5" s="40">
        <f t="shared" si="1"/>
        <v>7.0733333333333315E-2</v>
      </c>
      <c r="AG5" s="40">
        <f t="shared" si="1"/>
        <v>7.443333333333331E-2</v>
      </c>
      <c r="AH5" s="40">
        <f t="shared" si="1"/>
        <v>7.8133333333333305E-2</v>
      </c>
      <c r="AI5" s="40">
        <f t="shared" si="1"/>
        <v>8.18333333333333E-2</v>
      </c>
      <c r="AJ5" s="40">
        <f t="shared" si="1"/>
        <v>8.5533333333333295E-2</v>
      </c>
      <c r="AK5" s="40">
        <f t="shared" si="1"/>
        <v>8.923333333333329E-2</v>
      </c>
      <c r="AL5" s="40">
        <f t="shared" si="1"/>
        <v>9.2933333333333284E-2</v>
      </c>
      <c r="AM5" s="40">
        <f t="shared" si="1"/>
        <v>9.6633333333333279E-2</v>
      </c>
      <c r="AN5" s="40">
        <f t="shared" si="1"/>
        <v>0.10033333333333327</v>
      </c>
      <c r="AO5" s="40">
        <f>100%-SUM(AD5:AN5)</f>
        <v>9.9833333333333663E-2</v>
      </c>
      <c r="AP5" s="464">
        <f>SUM(AD5:AO5)</f>
        <v>1</v>
      </c>
      <c r="AQ5" s="40">
        <f>100%/12-2%</f>
        <v>6.3333333333333325E-2</v>
      </c>
      <c r="AR5" s="40">
        <f t="shared" ref="AR5:BA5" si="2">AQ5+0.37%</f>
        <v>6.703333333333332E-2</v>
      </c>
      <c r="AS5" s="40">
        <f t="shared" si="2"/>
        <v>7.0733333333333315E-2</v>
      </c>
      <c r="AT5" s="40">
        <f t="shared" si="2"/>
        <v>7.443333333333331E-2</v>
      </c>
      <c r="AU5" s="40">
        <f t="shared" si="2"/>
        <v>7.8133333333333305E-2</v>
      </c>
      <c r="AV5" s="40">
        <f t="shared" si="2"/>
        <v>8.18333333333333E-2</v>
      </c>
      <c r="AW5" s="40">
        <f t="shared" si="2"/>
        <v>8.5533333333333295E-2</v>
      </c>
      <c r="AX5" s="40">
        <f t="shared" si="2"/>
        <v>8.923333333333329E-2</v>
      </c>
      <c r="AY5" s="40">
        <f t="shared" si="2"/>
        <v>9.2933333333333284E-2</v>
      </c>
      <c r="AZ5" s="40">
        <f t="shared" si="2"/>
        <v>9.6633333333333279E-2</v>
      </c>
      <c r="BA5" s="40">
        <f t="shared" si="2"/>
        <v>0.10033333333333327</v>
      </c>
      <c r="BB5" s="40">
        <f>100%-SUM(AQ5:BA5)</f>
        <v>9.9833333333333663E-2</v>
      </c>
      <c r="BC5" s="464">
        <f>SUM(AQ5:BB5)</f>
        <v>1</v>
      </c>
      <c r="BD5" s="40">
        <f>100%/12-2%</f>
        <v>6.3333333333333325E-2</v>
      </c>
      <c r="BE5" s="40">
        <f t="shared" ref="BE5:BN5" si="3">BD5+0.37%</f>
        <v>6.703333333333332E-2</v>
      </c>
      <c r="BF5" s="40">
        <f t="shared" si="3"/>
        <v>7.0733333333333315E-2</v>
      </c>
      <c r="BG5" s="40">
        <f t="shared" si="3"/>
        <v>7.443333333333331E-2</v>
      </c>
      <c r="BH5" s="40">
        <f t="shared" si="3"/>
        <v>7.8133333333333305E-2</v>
      </c>
      <c r="BI5" s="40">
        <f t="shared" si="3"/>
        <v>8.18333333333333E-2</v>
      </c>
      <c r="BJ5" s="40">
        <f t="shared" si="3"/>
        <v>8.5533333333333295E-2</v>
      </c>
      <c r="BK5" s="40">
        <f t="shared" si="3"/>
        <v>8.923333333333329E-2</v>
      </c>
      <c r="BL5" s="40">
        <f t="shared" si="3"/>
        <v>9.2933333333333284E-2</v>
      </c>
      <c r="BM5" s="40">
        <f t="shared" si="3"/>
        <v>9.6633333333333279E-2</v>
      </c>
      <c r="BN5" s="40">
        <f t="shared" si="3"/>
        <v>0.10033333333333327</v>
      </c>
      <c r="BO5" s="40">
        <f>100%-SUM(BD5:BN5)</f>
        <v>9.9833333333333663E-2</v>
      </c>
      <c r="BP5" s="464">
        <f>SUM(BD5:BO5)</f>
        <v>1</v>
      </c>
      <c r="CF5" s="6" t="s">
        <v>1030</v>
      </c>
      <c r="CG5" s="13" t="s">
        <v>231</v>
      </c>
    </row>
    <row r="6" spans="1:85" s="65" customFormat="1">
      <c r="A6" s="76" t="s">
        <v>13</v>
      </c>
      <c r="B6" s="285" t="s">
        <v>231</v>
      </c>
      <c r="C6" s="40"/>
      <c r="D6" s="65">
        <f>P6</f>
        <v>0.15000000000000002</v>
      </c>
      <c r="E6" s="65">
        <f t="shared" ref="E6:O6" si="4">D6</f>
        <v>0.15000000000000002</v>
      </c>
      <c r="F6" s="65">
        <f t="shared" si="4"/>
        <v>0.15000000000000002</v>
      </c>
      <c r="G6" s="65">
        <f t="shared" si="4"/>
        <v>0.15000000000000002</v>
      </c>
      <c r="H6" s="65">
        <f t="shared" si="4"/>
        <v>0.15000000000000002</v>
      </c>
      <c r="I6" s="65">
        <f t="shared" si="4"/>
        <v>0.15000000000000002</v>
      </c>
      <c r="J6" s="65">
        <f t="shared" si="4"/>
        <v>0.15000000000000002</v>
      </c>
      <c r="K6" s="65">
        <f t="shared" si="4"/>
        <v>0.15000000000000002</v>
      </c>
      <c r="L6" s="65">
        <f t="shared" si="4"/>
        <v>0.15000000000000002</v>
      </c>
      <c r="M6" s="65">
        <f t="shared" si="4"/>
        <v>0.15000000000000002</v>
      </c>
      <c r="N6" s="65">
        <f t="shared" si="4"/>
        <v>0.15000000000000002</v>
      </c>
      <c r="O6" s="65">
        <f t="shared" si="4"/>
        <v>0.15000000000000002</v>
      </c>
      <c r="P6" s="426">
        <f>Funnel!E61</f>
        <v>0.15000000000000002</v>
      </c>
      <c r="Q6" s="65">
        <f>AC6</f>
        <v>0.15000000000000002</v>
      </c>
      <c r="R6" s="65">
        <f t="shared" ref="R6:AB6" si="5">Q6</f>
        <v>0.15000000000000002</v>
      </c>
      <c r="S6" s="65">
        <f t="shared" si="5"/>
        <v>0.15000000000000002</v>
      </c>
      <c r="T6" s="65">
        <f t="shared" si="5"/>
        <v>0.15000000000000002</v>
      </c>
      <c r="U6" s="65">
        <f t="shared" si="5"/>
        <v>0.15000000000000002</v>
      </c>
      <c r="V6" s="65">
        <f t="shared" si="5"/>
        <v>0.15000000000000002</v>
      </c>
      <c r="W6" s="65">
        <f t="shared" si="5"/>
        <v>0.15000000000000002</v>
      </c>
      <c r="X6" s="65">
        <f t="shared" si="5"/>
        <v>0.15000000000000002</v>
      </c>
      <c r="Y6" s="65">
        <f t="shared" si="5"/>
        <v>0.15000000000000002</v>
      </c>
      <c r="Z6" s="65">
        <f t="shared" si="5"/>
        <v>0.15000000000000002</v>
      </c>
      <c r="AA6" s="65">
        <f t="shared" si="5"/>
        <v>0.15000000000000002</v>
      </c>
      <c r="AB6" s="65">
        <f t="shared" si="5"/>
        <v>0.15000000000000002</v>
      </c>
      <c r="AC6" s="426">
        <f>Funnel!F61</f>
        <v>0.15000000000000002</v>
      </c>
      <c r="AD6" s="65">
        <f>AP6</f>
        <v>0.15000000000000002</v>
      </c>
      <c r="AE6" s="65">
        <f t="shared" ref="AE6:AO6" si="6">AD6</f>
        <v>0.15000000000000002</v>
      </c>
      <c r="AF6" s="65">
        <f t="shared" si="6"/>
        <v>0.15000000000000002</v>
      </c>
      <c r="AG6" s="65">
        <f t="shared" si="6"/>
        <v>0.15000000000000002</v>
      </c>
      <c r="AH6" s="65">
        <f t="shared" si="6"/>
        <v>0.15000000000000002</v>
      </c>
      <c r="AI6" s="65">
        <f t="shared" si="6"/>
        <v>0.15000000000000002</v>
      </c>
      <c r="AJ6" s="65">
        <f t="shared" si="6"/>
        <v>0.15000000000000002</v>
      </c>
      <c r="AK6" s="65">
        <f t="shared" si="6"/>
        <v>0.15000000000000002</v>
      </c>
      <c r="AL6" s="65">
        <f t="shared" si="6"/>
        <v>0.15000000000000002</v>
      </c>
      <c r="AM6" s="65">
        <f t="shared" si="6"/>
        <v>0.15000000000000002</v>
      </c>
      <c r="AN6" s="65">
        <f t="shared" si="6"/>
        <v>0.15000000000000002</v>
      </c>
      <c r="AO6" s="65">
        <f t="shared" si="6"/>
        <v>0.15000000000000002</v>
      </c>
      <c r="AP6" s="426">
        <f>Funnel!G61</f>
        <v>0.15000000000000002</v>
      </c>
      <c r="AQ6" s="65">
        <f>BC6</f>
        <v>0.15000000000000002</v>
      </c>
      <c r="AR6" s="65">
        <f t="shared" ref="AR6:BB6" si="7">AQ6</f>
        <v>0.15000000000000002</v>
      </c>
      <c r="AS6" s="65">
        <f t="shared" si="7"/>
        <v>0.15000000000000002</v>
      </c>
      <c r="AT6" s="65">
        <f t="shared" si="7"/>
        <v>0.15000000000000002</v>
      </c>
      <c r="AU6" s="65">
        <f t="shared" si="7"/>
        <v>0.15000000000000002</v>
      </c>
      <c r="AV6" s="65">
        <f t="shared" si="7"/>
        <v>0.15000000000000002</v>
      </c>
      <c r="AW6" s="65">
        <f t="shared" si="7"/>
        <v>0.15000000000000002</v>
      </c>
      <c r="AX6" s="65">
        <f t="shared" si="7"/>
        <v>0.15000000000000002</v>
      </c>
      <c r="AY6" s="65">
        <f t="shared" si="7"/>
        <v>0.15000000000000002</v>
      </c>
      <c r="AZ6" s="65">
        <f t="shared" si="7"/>
        <v>0.15000000000000002</v>
      </c>
      <c r="BA6" s="65">
        <f t="shared" si="7"/>
        <v>0.15000000000000002</v>
      </c>
      <c r="BB6" s="65">
        <f t="shared" si="7"/>
        <v>0.15000000000000002</v>
      </c>
      <c r="BC6" s="426">
        <f>Funnel!H61</f>
        <v>0.15000000000000002</v>
      </c>
      <c r="BD6" s="65">
        <f>BP6</f>
        <v>0.15000000000000002</v>
      </c>
      <c r="BE6" s="65">
        <f t="shared" ref="BE6:BO6" si="8">BD6</f>
        <v>0.15000000000000002</v>
      </c>
      <c r="BF6" s="65">
        <f t="shared" si="8"/>
        <v>0.15000000000000002</v>
      </c>
      <c r="BG6" s="65">
        <f t="shared" si="8"/>
        <v>0.15000000000000002</v>
      </c>
      <c r="BH6" s="65">
        <f t="shared" si="8"/>
        <v>0.15000000000000002</v>
      </c>
      <c r="BI6" s="65">
        <f t="shared" si="8"/>
        <v>0.15000000000000002</v>
      </c>
      <c r="BJ6" s="65">
        <f t="shared" si="8"/>
        <v>0.15000000000000002</v>
      </c>
      <c r="BK6" s="65">
        <f t="shared" si="8"/>
        <v>0.15000000000000002</v>
      </c>
      <c r="BL6" s="65">
        <f t="shared" si="8"/>
        <v>0.15000000000000002</v>
      </c>
      <c r="BM6" s="65">
        <f t="shared" si="8"/>
        <v>0.15000000000000002</v>
      </c>
      <c r="BN6" s="65">
        <f t="shared" si="8"/>
        <v>0.15000000000000002</v>
      </c>
      <c r="BO6" s="65">
        <f t="shared" si="8"/>
        <v>0.15000000000000002</v>
      </c>
      <c r="BP6" s="426">
        <f>Funnel!I61</f>
        <v>0.15000000000000002</v>
      </c>
      <c r="CF6" s="76" t="s">
        <v>13</v>
      </c>
      <c r="CG6" s="285" t="s">
        <v>231</v>
      </c>
    </row>
    <row r="7" spans="1:85">
      <c r="A7" s="4" t="s">
        <v>14</v>
      </c>
      <c r="B7" s="13" t="s">
        <v>496</v>
      </c>
      <c r="D7" s="3">
        <f t="shared" ref="D7:O7" si="9">D4*D6</f>
        <v>0</v>
      </c>
      <c r="E7" s="3">
        <f t="shared" si="9"/>
        <v>0</v>
      </c>
      <c r="F7" s="3">
        <f t="shared" si="9"/>
        <v>0</v>
      </c>
      <c r="G7" s="3">
        <f t="shared" si="9"/>
        <v>0</v>
      </c>
      <c r="H7" s="3">
        <f t="shared" si="9"/>
        <v>0</v>
      </c>
      <c r="I7" s="3">
        <f t="shared" si="9"/>
        <v>0</v>
      </c>
      <c r="J7" s="3">
        <f t="shared" si="9"/>
        <v>0</v>
      </c>
      <c r="K7" s="3">
        <f t="shared" si="9"/>
        <v>0</v>
      </c>
      <c r="L7" s="3">
        <f t="shared" si="9"/>
        <v>3329.0434127999997</v>
      </c>
      <c r="M7" s="3">
        <f t="shared" si="9"/>
        <v>3523.5296332319999</v>
      </c>
      <c r="N7" s="3">
        <f t="shared" si="9"/>
        <v>3718.0158536639997</v>
      </c>
      <c r="O7" s="3">
        <f t="shared" si="9"/>
        <v>3718.0158536639997</v>
      </c>
      <c r="P7" s="397">
        <f>SUM(D7:O7)</f>
        <v>14288.604753359998</v>
      </c>
      <c r="Q7" s="3">
        <f t="shared" ref="Q7:AB7" si="10">Q4*Q6</f>
        <v>21137.3113376</v>
      </c>
      <c r="R7" s="3">
        <f t="shared" si="10"/>
        <v>22372.175315744</v>
      </c>
      <c r="S7" s="3">
        <f t="shared" si="10"/>
        <v>23607.039293888</v>
      </c>
      <c r="T7" s="3">
        <f t="shared" si="10"/>
        <v>24841.903272031996</v>
      </c>
      <c r="U7" s="3">
        <f t="shared" si="10"/>
        <v>26076.767250175995</v>
      </c>
      <c r="V7" s="3">
        <f t="shared" si="10"/>
        <v>27311.631228319995</v>
      </c>
      <c r="W7" s="3">
        <f t="shared" si="10"/>
        <v>28546.495206463991</v>
      </c>
      <c r="X7" s="3">
        <f t="shared" si="10"/>
        <v>29781.359184607991</v>
      </c>
      <c r="Y7" s="3">
        <f t="shared" si="10"/>
        <v>31016.22316275199</v>
      </c>
      <c r="Z7" s="3">
        <f t="shared" si="10"/>
        <v>32251.08714089599</v>
      </c>
      <c r="AA7" s="3">
        <f t="shared" si="10"/>
        <v>33485.951119039986</v>
      </c>
      <c r="AB7" s="3">
        <f t="shared" si="10"/>
        <v>33319.077608480118</v>
      </c>
      <c r="AC7" s="397">
        <f>SUM(Q7:AB7)</f>
        <v>333747.02112000005</v>
      </c>
      <c r="AD7" s="3">
        <f t="shared" ref="AD7:AO7" si="11">AD4*AD6</f>
        <v>28344.728114880003</v>
      </c>
      <c r="AE7" s="3">
        <f t="shared" si="11"/>
        <v>30000.656967907198</v>
      </c>
      <c r="AF7" s="3">
        <f t="shared" si="11"/>
        <v>31656.585820934401</v>
      </c>
      <c r="AG7" s="3">
        <f t="shared" si="11"/>
        <v>33312.514673961596</v>
      </c>
      <c r="AH7" s="3">
        <f t="shared" si="11"/>
        <v>34968.443526988798</v>
      </c>
      <c r="AI7" s="3">
        <f t="shared" si="11"/>
        <v>36624.372380015993</v>
      </c>
      <c r="AJ7" s="3">
        <f t="shared" si="11"/>
        <v>38280.301233043196</v>
      </c>
      <c r="AK7" s="3">
        <f t="shared" si="11"/>
        <v>39936.230086070391</v>
      </c>
      <c r="AL7" s="3">
        <f t="shared" si="11"/>
        <v>41592.158939097586</v>
      </c>
      <c r="AM7" s="3">
        <f t="shared" si="11"/>
        <v>43248.087792124781</v>
      </c>
      <c r="AN7" s="3">
        <f t="shared" si="11"/>
        <v>44904.016645151991</v>
      </c>
      <c r="AO7" s="3">
        <f t="shared" si="11"/>
        <v>44680.242475824161</v>
      </c>
      <c r="AP7" s="397">
        <f>SUM(AD7:AO7)</f>
        <v>447548.33865600009</v>
      </c>
      <c r="AQ7" s="3">
        <f t="shared" ref="AQ7:BB7" si="12">AQ4*AQ6</f>
        <v>31931.382782352001</v>
      </c>
      <c r="AR7" s="3">
        <f t="shared" si="12"/>
        <v>33796.847776478877</v>
      </c>
      <c r="AS7" s="3">
        <f t="shared" si="12"/>
        <v>35662.312770605757</v>
      </c>
      <c r="AT7" s="3">
        <f t="shared" si="12"/>
        <v>37527.777764732629</v>
      </c>
      <c r="AU7" s="3">
        <f t="shared" si="12"/>
        <v>39393.242758859516</v>
      </c>
      <c r="AV7" s="3">
        <f t="shared" si="12"/>
        <v>41258.707752986389</v>
      </c>
      <c r="AW7" s="3">
        <f t="shared" si="12"/>
        <v>43124.172747113269</v>
      </c>
      <c r="AX7" s="3">
        <f t="shared" si="12"/>
        <v>44989.637741240142</v>
      </c>
      <c r="AY7" s="3">
        <f t="shared" si="12"/>
        <v>46855.102735367022</v>
      </c>
      <c r="AZ7" s="3">
        <f t="shared" si="12"/>
        <v>48720.567729493894</v>
      </c>
      <c r="BA7" s="3">
        <f t="shared" si="12"/>
        <v>50586.032723620774</v>
      </c>
      <c r="BB7" s="3">
        <f t="shared" si="12"/>
        <v>50333.942859549774</v>
      </c>
      <c r="BC7" s="397">
        <f>SUM(AQ7:BB7)</f>
        <v>504179.7281424001</v>
      </c>
      <c r="BD7" s="3">
        <f t="shared" ref="BD7:BO7" si="13">BD4*BD6</f>
        <v>36493.888046488799</v>
      </c>
      <c r="BE7" s="3">
        <f t="shared" si="13"/>
        <v>38625.899400783666</v>
      </c>
      <c r="BF7" s="3">
        <f t="shared" si="13"/>
        <v>40757.910755078534</v>
      </c>
      <c r="BG7" s="3">
        <f t="shared" si="13"/>
        <v>42889.922109373401</v>
      </c>
      <c r="BH7" s="3">
        <f t="shared" si="13"/>
        <v>45021.933463668283</v>
      </c>
      <c r="BI7" s="3">
        <f t="shared" si="13"/>
        <v>47153.944817963151</v>
      </c>
      <c r="BJ7" s="3">
        <f t="shared" si="13"/>
        <v>49285.956172258018</v>
      </c>
      <c r="BK7" s="3">
        <f t="shared" si="13"/>
        <v>51417.967526552886</v>
      </c>
      <c r="BL7" s="3">
        <f t="shared" si="13"/>
        <v>53549.978880847753</v>
      </c>
      <c r="BM7" s="3">
        <f t="shared" si="13"/>
        <v>55681.990235142628</v>
      </c>
      <c r="BN7" s="3">
        <f t="shared" si="13"/>
        <v>57814.001589437496</v>
      </c>
      <c r="BO7" s="3">
        <f t="shared" si="13"/>
        <v>57525.891946965436</v>
      </c>
      <c r="BP7" s="397">
        <f>SUM(BD7:BO7)</f>
        <v>576219.28494456003</v>
      </c>
      <c r="CF7" s="4" t="s">
        <v>949</v>
      </c>
      <c r="CG7" s="13" t="s">
        <v>394</v>
      </c>
    </row>
    <row r="8" spans="1:85" s="65" customFormat="1">
      <c r="A8" s="76" t="s">
        <v>110</v>
      </c>
      <c r="B8" s="285" t="s">
        <v>231</v>
      </c>
      <c r="C8" s="40"/>
      <c r="D8" s="65">
        <f>P8</f>
        <v>0.3</v>
      </c>
      <c r="E8" s="65">
        <f t="shared" ref="E8:O8" si="14">D8</f>
        <v>0.3</v>
      </c>
      <c r="F8" s="65">
        <f t="shared" si="14"/>
        <v>0.3</v>
      </c>
      <c r="G8" s="65">
        <f t="shared" si="14"/>
        <v>0.3</v>
      </c>
      <c r="H8" s="65">
        <f t="shared" si="14"/>
        <v>0.3</v>
      </c>
      <c r="I8" s="65">
        <f t="shared" si="14"/>
        <v>0.3</v>
      </c>
      <c r="J8" s="65">
        <f t="shared" si="14"/>
        <v>0.3</v>
      </c>
      <c r="K8" s="65">
        <f t="shared" si="14"/>
        <v>0.3</v>
      </c>
      <c r="L8" s="65">
        <f t="shared" si="14"/>
        <v>0.3</v>
      </c>
      <c r="M8" s="65">
        <f t="shared" si="14"/>
        <v>0.3</v>
      </c>
      <c r="N8" s="65">
        <f t="shared" si="14"/>
        <v>0.3</v>
      </c>
      <c r="O8" s="65">
        <f t="shared" si="14"/>
        <v>0.3</v>
      </c>
      <c r="P8" s="426">
        <f>Funnel!E63</f>
        <v>0.3</v>
      </c>
      <c r="Q8" s="65">
        <f>AC8</f>
        <v>0.35</v>
      </c>
      <c r="R8" s="65">
        <f t="shared" ref="R8:AB8" si="15">Q8</f>
        <v>0.35</v>
      </c>
      <c r="S8" s="65">
        <f t="shared" si="15"/>
        <v>0.35</v>
      </c>
      <c r="T8" s="65">
        <f t="shared" si="15"/>
        <v>0.35</v>
      </c>
      <c r="U8" s="65">
        <f t="shared" si="15"/>
        <v>0.35</v>
      </c>
      <c r="V8" s="65">
        <f t="shared" si="15"/>
        <v>0.35</v>
      </c>
      <c r="W8" s="65">
        <f t="shared" si="15"/>
        <v>0.35</v>
      </c>
      <c r="X8" s="65">
        <f t="shared" si="15"/>
        <v>0.35</v>
      </c>
      <c r="Y8" s="65">
        <f t="shared" si="15"/>
        <v>0.35</v>
      </c>
      <c r="Z8" s="65">
        <f t="shared" si="15"/>
        <v>0.35</v>
      </c>
      <c r="AA8" s="65">
        <f t="shared" si="15"/>
        <v>0.35</v>
      </c>
      <c r="AB8" s="65">
        <f t="shared" si="15"/>
        <v>0.35</v>
      </c>
      <c r="AC8" s="426">
        <f>Funnel!F63</f>
        <v>0.35</v>
      </c>
      <c r="AD8" s="65">
        <f>AP8</f>
        <v>0.39999999999999997</v>
      </c>
      <c r="AE8" s="65">
        <f t="shared" ref="AE8:AO8" si="16">AD8</f>
        <v>0.39999999999999997</v>
      </c>
      <c r="AF8" s="65">
        <f t="shared" si="16"/>
        <v>0.39999999999999997</v>
      </c>
      <c r="AG8" s="65">
        <f t="shared" si="16"/>
        <v>0.39999999999999997</v>
      </c>
      <c r="AH8" s="65">
        <f t="shared" si="16"/>
        <v>0.39999999999999997</v>
      </c>
      <c r="AI8" s="65">
        <f t="shared" si="16"/>
        <v>0.39999999999999997</v>
      </c>
      <c r="AJ8" s="65">
        <f t="shared" si="16"/>
        <v>0.39999999999999997</v>
      </c>
      <c r="AK8" s="65">
        <f t="shared" si="16"/>
        <v>0.39999999999999997</v>
      </c>
      <c r="AL8" s="65">
        <f t="shared" si="16"/>
        <v>0.39999999999999997</v>
      </c>
      <c r="AM8" s="65">
        <f t="shared" si="16"/>
        <v>0.39999999999999997</v>
      </c>
      <c r="AN8" s="65">
        <f t="shared" si="16"/>
        <v>0.39999999999999997</v>
      </c>
      <c r="AO8" s="65">
        <f t="shared" si="16"/>
        <v>0.39999999999999997</v>
      </c>
      <c r="AP8" s="426">
        <f>Funnel!G63</f>
        <v>0.39999999999999997</v>
      </c>
      <c r="AQ8" s="65">
        <f>BC8</f>
        <v>0.39999999999999997</v>
      </c>
      <c r="AR8" s="65">
        <f t="shared" ref="AR8:BB8" si="17">AQ8</f>
        <v>0.39999999999999997</v>
      </c>
      <c r="AS8" s="65">
        <f t="shared" si="17"/>
        <v>0.39999999999999997</v>
      </c>
      <c r="AT8" s="65">
        <f t="shared" si="17"/>
        <v>0.39999999999999997</v>
      </c>
      <c r="AU8" s="65">
        <f t="shared" si="17"/>
        <v>0.39999999999999997</v>
      </c>
      <c r="AV8" s="65">
        <f t="shared" si="17"/>
        <v>0.39999999999999997</v>
      </c>
      <c r="AW8" s="65">
        <f t="shared" si="17"/>
        <v>0.39999999999999997</v>
      </c>
      <c r="AX8" s="65">
        <f t="shared" si="17"/>
        <v>0.39999999999999997</v>
      </c>
      <c r="AY8" s="65">
        <f t="shared" si="17"/>
        <v>0.39999999999999997</v>
      </c>
      <c r="AZ8" s="65">
        <f t="shared" si="17"/>
        <v>0.39999999999999997</v>
      </c>
      <c r="BA8" s="65">
        <f t="shared" si="17"/>
        <v>0.39999999999999997</v>
      </c>
      <c r="BB8" s="65">
        <f t="shared" si="17"/>
        <v>0.39999999999999997</v>
      </c>
      <c r="BC8" s="426">
        <f>Funnel!H63</f>
        <v>0.39999999999999997</v>
      </c>
      <c r="BD8" s="65">
        <f>BP8</f>
        <v>0.39999999999999997</v>
      </c>
      <c r="BE8" s="65">
        <f t="shared" ref="BE8:BO8" si="18">BD8</f>
        <v>0.39999999999999997</v>
      </c>
      <c r="BF8" s="65">
        <f t="shared" si="18"/>
        <v>0.39999999999999997</v>
      </c>
      <c r="BG8" s="65">
        <f t="shared" si="18"/>
        <v>0.39999999999999997</v>
      </c>
      <c r="BH8" s="65">
        <f t="shared" si="18"/>
        <v>0.39999999999999997</v>
      </c>
      <c r="BI8" s="65">
        <f t="shared" si="18"/>
        <v>0.39999999999999997</v>
      </c>
      <c r="BJ8" s="65">
        <f t="shared" si="18"/>
        <v>0.39999999999999997</v>
      </c>
      <c r="BK8" s="65">
        <f t="shared" si="18"/>
        <v>0.39999999999999997</v>
      </c>
      <c r="BL8" s="65">
        <f t="shared" si="18"/>
        <v>0.39999999999999997</v>
      </c>
      <c r="BM8" s="65">
        <f t="shared" si="18"/>
        <v>0.39999999999999997</v>
      </c>
      <c r="BN8" s="65">
        <f t="shared" si="18"/>
        <v>0.39999999999999997</v>
      </c>
      <c r="BO8" s="65">
        <f t="shared" si="18"/>
        <v>0.39999999999999997</v>
      </c>
      <c r="BP8" s="426">
        <f>Funnel!I63</f>
        <v>0.39999999999999997</v>
      </c>
      <c r="CF8" s="76" t="s">
        <v>952</v>
      </c>
      <c r="CG8" s="285" t="s">
        <v>231</v>
      </c>
    </row>
    <row r="9" spans="1:85" s="3" customFormat="1">
      <c r="A9" s="3" t="s">
        <v>727</v>
      </c>
      <c r="B9" s="12" t="s">
        <v>496</v>
      </c>
      <c r="C9" s="5"/>
      <c r="D9" s="3">
        <f t="shared" ref="D9:O9" si="19">D7*D8</f>
        <v>0</v>
      </c>
      <c r="E9" s="3">
        <f t="shared" si="19"/>
        <v>0</v>
      </c>
      <c r="F9" s="3">
        <f t="shared" si="19"/>
        <v>0</v>
      </c>
      <c r="G9" s="3">
        <f t="shared" si="19"/>
        <v>0</v>
      </c>
      <c r="H9" s="3">
        <f t="shared" si="19"/>
        <v>0</v>
      </c>
      <c r="I9" s="3">
        <f t="shared" si="19"/>
        <v>0</v>
      </c>
      <c r="J9" s="3">
        <f t="shared" si="19"/>
        <v>0</v>
      </c>
      <c r="K9" s="3">
        <f t="shared" si="19"/>
        <v>0</v>
      </c>
      <c r="L9" s="3">
        <f t="shared" si="19"/>
        <v>998.71302383999989</v>
      </c>
      <c r="M9" s="3">
        <f t="shared" si="19"/>
        <v>1057.0588899695999</v>
      </c>
      <c r="N9" s="3">
        <f t="shared" si="19"/>
        <v>1115.4047560991999</v>
      </c>
      <c r="O9" s="3">
        <f t="shared" si="19"/>
        <v>1115.4047560991999</v>
      </c>
      <c r="P9" s="397">
        <f>SUM(D9:O9)</f>
        <v>4286.5814260079997</v>
      </c>
      <c r="Q9" s="3">
        <f t="shared" ref="Q9:AB9" si="20">Q7*Q8</f>
        <v>7398.0589681599995</v>
      </c>
      <c r="R9" s="3">
        <f t="shared" si="20"/>
        <v>7830.2613605103998</v>
      </c>
      <c r="S9" s="3">
        <f t="shared" si="20"/>
        <v>8262.4637528608</v>
      </c>
      <c r="T9" s="3">
        <f t="shared" si="20"/>
        <v>8694.6661452111985</v>
      </c>
      <c r="U9" s="3">
        <f t="shared" si="20"/>
        <v>9126.8685375615969</v>
      </c>
      <c r="V9" s="3">
        <f t="shared" si="20"/>
        <v>9559.0709299119972</v>
      </c>
      <c r="W9" s="3">
        <f t="shared" si="20"/>
        <v>9991.2733222623956</v>
      </c>
      <c r="X9" s="3">
        <f t="shared" si="20"/>
        <v>10423.475714612796</v>
      </c>
      <c r="Y9" s="3">
        <f t="shared" si="20"/>
        <v>10855.678106963196</v>
      </c>
      <c r="Z9" s="3">
        <f t="shared" si="20"/>
        <v>11287.880499313596</v>
      </c>
      <c r="AA9" s="3">
        <f t="shared" si="20"/>
        <v>11720.082891663995</v>
      </c>
      <c r="AB9" s="3">
        <f t="shared" si="20"/>
        <v>11661.677162968041</v>
      </c>
      <c r="AC9" s="397">
        <f>SUM(Q9:AB9)</f>
        <v>116811.45739200003</v>
      </c>
      <c r="AD9" s="3">
        <f t="shared" ref="AD9:AO9" si="21">AD7*AD8</f>
        <v>11337.891245952</v>
      </c>
      <c r="AE9" s="3">
        <f t="shared" si="21"/>
        <v>12000.262787162877</v>
      </c>
      <c r="AF9" s="3">
        <f t="shared" si="21"/>
        <v>12662.634328373759</v>
      </c>
      <c r="AG9" s="3">
        <f t="shared" si="21"/>
        <v>13325.005869584636</v>
      </c>
      <c r="AH9" s="3">
        <f t="shared" si="21"/>
        <v>13987.377410795518</v>
      </c>
      <c r="AI9" s="3">
        <f t="shared" si="21"/>
        <v>14649.748952006395</v>
      </c>
      <c r="AJ9" s="3">
        <f t="shared" si="21"/>
        <v>15312.120493217277</v>
      </c>
      <c r="AK9" s="3">
        <f t="shared" si="21"/>
        <v>15974.492034428155</v>
      </c>
      <c r="AL9" s="3">
        <f t="shared" si="21"/>
        <v>16636.863575639032</v>
      </c>
      <c r="AM9" s="3">
        <f t="shared" si="21"/>
        <v>17299.235116849912</v>
      </c>
      <c r="AN9" s="3">
        <f t="shared" si="21"/>
        <v>17961.606658060795</v>
      </c>
      <c r="AO9" s="3">
        <f t="shared" si="21"/>
        <v>17872.096990329665</v>
      </c>
      <c r="AP9" s="397">
        <f>SUM(AD9:AO9)</f>
        <v>179019.33546239999</v>
      </c>
      <c r="AQ9" s="3">
        <f t="shared" ref="AQ9:BB9" si="22">AQ7*AQ8</f>
        <v>12772.553112940799</v>
      </c>
      <c r="AR9" s="3">
        <f t="shared" si="22"/>
        <v>13518.73911059155</v>
      </c>
      <c r="AS9" s="3">
        <f t="shared" si="22"/>
        <v>14264.925108242302</v>
      </c>
      <c r="AT9" s="3">
        <f t="shared" si="22"/>
        <v>15011.111105893051</v>
      </c>
      <c r="AU9" s="3">
        <f t="shared" si="22"/>
        <v>15757.297103543806</v>
      </c>
      <c r="AV9" s="3">
        <f t="shared" si="22"/>
        <v>16503.483101194553</v>
      </c>
      <c r="AW9" s="3">
        <f t="shared" si="22"/>
        <v>17249.669098845305</v>
      </c>
      <c r="AX9" s="3">
        <f t="shared" si="22"/>
        <v>17995.855096496056</v>
      </c>
      <c r="AY9" s="3">
        <f t="shared" si="22"/>
        <v>18742.041094146807</v>
      </c>
      <c r="AZ9" s="3">
        <f t="shared" si="22"/>
        <v>19488.227091797555</v>
      </c>
      <c r="BA9" s="3">
        <f t="shared" si="22"/>
        <v>20234.41308944831</v>
      </c>
      <c r="BB9" s="3">
        <f t="shared" si="22"/>
        <v>20133.577143819908</v>
      </c>
      <c r="BC9" s="397">
        <f>SUM(AQ9:BB9)</f>
        <v>201671.89125696002</v>
      </c>
      <c r="BD9" s="3">
        <f t="shared" ref="BD9:BO9" si="23">BD7*BD8</f>
        <v>14597.555218595518</v>
      </c>
      <c r="BE9" s="3">
        <f t="shared" si="23"/>
        <v>15450.359760313466</v>
      </c>
      <c r="BF9" s="3">
        <f t="shared" si="23"/>
        <v>16303.164302031411</v>
      </c>
      <c r="BG9" s="3">
        <f t="shared" si="23"/>
        <v>17155.968843749361</v>
      </c>
      <c r="BH9" s="3">
        <f t="shared" si="23"/>
        <v>18008.773385467313</v>
      </c>
      <c r="BI9" s="3">
        <f t="shared" si="23"/>
        <v>18861.577927185259</v>
      </c>
      <c r="BJ9" s="3">
        <f t="shared" si="23"/>
        <v>19714.382468903204</v>
      </c>
      <c r="BK9" s="3">
        <f t="shared" si="23"/>
        <v>20567.187010621154</v>
      </c>
      <c r="BL9" s="3">
        <f t="shared" si="23"/>
        <v>21419.991552339099</v>
      </c>
      <c r="BM9" s="3">
        <f t="shared" si="23"/>
        <v>22272.796094057048</v>
      </c>
      <c r="BN9" s="3">
        <f t="shared" si="23"/>
        <v>23125.600635774997</v>
      </c>
      <c r="BO9" s="3">
        <f t="shared" si="23"/>
        <v>23010.356778786172</v>
      </c>
      <c r="BP9" s="397">
        <f>SUM(BD9:BO9)</f>
        <v>230487.71397782399</v>
      </c>
      <c r="CF9" s="3" t="s">
        <v>950</v>
      </c>
      <c r="CG9" s="12" t="s">
        <v>394</v>
      </c>
    </row>
    <row r="10" spans="1:85" s="65" customFormat="1">
      <c r="A10" s="76" t="s">
        <v>697</v>
      </c>
      <c r="B10" s="285" t="s">
        <v>231</v>
      </c>
      <c r="C10" s="40"/>
      <c r="D10" s="65">
        <f>P10</f>
        <v>0.7</v>
      </c>
      <c r="E10" s="65">
        <f t="shared" ref="E10:O10" si="24">D10</f>
        <v>0.7</v>
      </c>
      <c r="F10" s="65">
        <f t="shared" si="24"/>
        <v>0.7</v>
      </c>
      <c r="G10" s="65">
        <f t="shared" si="24"/>
        <v>0.7</v>
      </c>
      <c r="H10" s="65">
        <f t="shared" si="24"/>
        <v>0.7</v>
      </c>
      <c r="I10" s="65">
        <f t="shared" si="24"/>
        <v>0.7</v>
      </c>
      <c r="J10" s="65">
        <f t="shared" si="24"/>
        <v>0.7</v>
      </c>
      <c r="K10" s="65">
        <f t="shared" si="24"/>
        <v>0.7</v>
      </c>
      <c r="L10" s="65">
        <f t="shared" si="24"/>
        <v>0.7</v>
      </c>
      <c r="M10" s="65">
        <f t="shared" si="24"/>
        <v>0.7</v>
      </c>
      <c r="N10" s="65">
        <f t="shared" si="24"/>
        <v>0.7</v>
      </c>
      <c r="O10" s="65">
        <f t="shared" si="24"/>
        <v>0.7</v>
      </c>
      <c r="P10" s="358">
        <f>'packages (indiv)'!P100</f>
        <v>0.7</v>
      </c>
      <c r="Q10" s="65">
        <f>AC10</f>
        <v>0.7</v>
      </c>
      <c r="R10" s="65">
        <f t="shared" ref="R10:AB10" si="25">Q10</f>
        <v>0.7</v>
      </c>
      <c r="S10" s="65">
        <f t="shared" si="25"/>
        <v>0.7</v>
      </c>
      <c r="T10" s="65">
        <f t="shared" si="25"/>
        <v>0.7</v>
      </c>
      <c r="U10" s="65">
        <f t="shared" si="25"/>
        <v>0.7</v>
      </c>
      <c r="V10" s="65">
        <f t="shared" si="25"/>
        <v>0.7</v>
      </c>
      <c r="W10" s="65">
        <f t="shared" si="25"/>
        <v>0.7</v>
      </c>
      <c r="X10" s="65">
        <f t="shared" si="25"/>
        <v>0.7</v>
      </c>
      <c r="Y10" s="65">
        <f t="shared" si="25"/>
        <v>0.7</v>
      </c>
      <c r="Z10" s="65">
        <f t="shared" si="25"/>
        <v>0.7</v>
      </c>
      <c r="AA10" s="65">
        <f t="shared" si="25"/>
        <v>0.7</v>
      </c>
      <c r="AB10" s="65">
        <f t="shared" si="25"/>
        <v>0.7</v>
      </c>
      <c r="AC10" s="358">
        <f>'packages (indiv)'!AC100</f>
        <v>0.7</v>
      </c>
      <c r="AD10" s="65">
        <f>AP10</f>
        <v>0.7</v>
      </c>
      <c r="AE10" s="65">
        <f t="shared" ref="AE10:AO10" si="26">AD10</f>
        <v>0.7</v>
      </c>
      <c r="AF10" s="65">
        <f t="shared" si="26"/>
        <v>0.7</v>
      </c>
      <c r="AG10" s="65">
        <f t="shared" si="26"/>
        <v>0.7</v>
      </c>
      <c r="AH10" s="65">
        <f t="shared" si="26"/>
        <v>0.7</v>
      </c>
      <c r="AI10" s="65">
        <f t="shared" si="26"/>
        <v>0.7</v>
      </c>
      <c r="AJ10" s="65">
        <f t="shared" si="26"/>
        <v>0.7</v>
      </c>
      <c r="AK10" s="65">
        <f t="shared" si="26"/>
        <v>0.7</v>
      </c>
      <c r="AL10" s="65">
        <f t="shared" si="26"/>
        <v>0.7</v>
      </c>
      <c r="AM10" s="65">
        <f t="shared" si="26"/>
        <v>0.7</v>
      </c>
      <c r="AN10" s="65">
        <f t="shared" si="26"/>
        <v>0.7</v>
      </c>
      <c r="AO10" s="65">
        <f t="shared" si="26"/>
        <v>0.7</v>
      </c>
      <c r="AP10" s="358">
        <f>'packages (indiv)'!AP100</f>
        <v>0.7</v>
      </c>
      <c r="AQ10" s="65">
        <f>BC10</f>
        <v>0.7</v>
      </c>
      <c r="AR10" s="65">
        <f t="shared" ref="AR10:BB10" si="27">AQ10</f>
        <v>0.7</v>
      </c>
      <c r="AS10" s="65">
        <f t="shared" si="27"/>
        <v>0.7</v>
      </c>
      <c r="AT10" s="65">
        <f t="shared" si="27"/>
        <v>0.7</v>
      </c>
      <c r="AU10" s="65">
        <f t="shared" si="27"/>
        <v>0.7</v>
      </c>
      <c r="AV10" s="65">
        <f t="shared" si="27"/>
        <v>0.7</v>
      </c>
      <c r="AW10" s="65">
        <f t="shared" si="27"/>
        <v>0.7</v>
      </c>
      <c r="AX10" s="65">
        <f t="shared" si="27"/>
        <v>0.7</v>
      </c>
      <c r="AY10" s="65">
        <f t="shared" si="27"/>
        <v>0.7</v>
      </c>
      <c r="AZ10" s="65">
        <f t="shared" si="27"/>
        <v>0.7</v>
      </c>
      <c r="BA10" s="65">
        <f t="shared" si="27"/>
        <v>0.7</v>
      </c>
      <c r="BB10" s="65">
        <f t="shared" si="27"/>
        <v>0.7</v>
      </c>
      <c r="BC10" s="358">
        <f>'packages (indiv)'!BC100</f>
        <v>0.7</v>
      </c>
      <c r="BD10" s="65">
        <f>BP10</f>
        <v>0.7</v>
      </c>
      <c r="BE10" s="65">
        <f t="shared" ref="BE10:BO10" si="28">BD10</f>
        <v>0.7</v>
      </c>
      <c r="BF10" s="65">
        <f t="shared" si="28"/>
        <v>0.7</v>
      </c>
      <c r="BG10" s="65">
        <f t="shared" si="28"/>
        <v>0.7</v>
      </c>
      <c r="BH10" s="65">
        <f t="shared" si="28"/>
        <v>0.7</v>
      </c>
      <c r="BI10" s="65">
        <f t="shared" si="28"/>
        <v>0.7</v>
      </c>
      <c r="BJ10" s="65">
        <f t="shared" si="28"/>
        <v>0.7</v>
      </c>
      <c r="BK10" s="65">
        <f t="shared" si="28"/>
        <v>0.7</v>
      </c>
      <c r="BL10" s="65">
        <f t="shared" si="28"/>
        <v>0.7</v>
      </c>
      <c r="BM10" s="65">
        <f t="shared" si="28"/>
        <v>0.7</v>
      </c>
      <c r="BN10" s="65">
        <f t="shared" si="28"/>
        <v>0.7</v>
      </c>
      <c r="BO10" s="65">
        <f t="shared" si="28"/>
        <v>0.7</v>
      </c>
      <c r="BP10" s="358">
        <f>'packages (indiv)'!BP100</f>
        <v>0.7</v>
      </c>
      <c r="CF10" s="76" t="s">
        <v>951</v>
      </c>
      <c r="CG10" s="285" t="s">
        <v>231</v>
      </c>
    </row>
    <row r="11" spans="1:85" s="3" customFormat="1">
      <c r="A11" s="3" t="s">
        <v>662</v>
      </c>
      <c r="B11" s="12" t="s">
        <v>496</v>
      </c>
      <c r="C11" s="5"/>
      <c r="D11" s="3">
        <f t="shared" ref="D11:O11" si="29">D9*D10</f>
        <v>0</v>
      </c>
      <c r="E11" s="3">
        <f t="shared" si="29"/>
        <v>0</v>
      </c>
      <c r="F11" s="3">
        <f t="shared" si="29"/>
        <v>0</v>
      </c>
      <c r="G11" s="3">
        <f t="shared" si="29"/>
        <v>0</v>
      </c>
      <c r="H11" s="3">
        <f t="shared" si="29"/>
        <v>0</v>
      </c>
      <c r="I11" s="3">
        <f t="shared" si="29"/>
        <v>0</v>
      </c>
      <c r="J11" s="3">
        <f t="shared" si="29"/>
        <v>0</v>
      </c>
      <c r="K11" s="3">
        <f t="shared" si="29"/>
        <v>0</v>
      </c>
      <c r="L11" s="3">
        <f t="shared" si="29"/>
        <v>699.09911668799987</v>
      </c>
      <c r="M11" s="3">
        <f t="shared" si="29"/>
        <v>739.94122297871991</v>
      </c>
      <c r="N11" s="3">
        <f t="shared" si="29"/>
        <v>780.78332926943983</v>
      </c>
      <c r="O11" s="3">
        <f t="shared" si="29"/>
        <v>780.78332926943983</v>
      </c>
      <c r="P11" s="397">
        <f>SUM(D11:O11)</f>
        <v>3000.6069982055997</v>
      </c>
      <c r="Q11" s="3">
        <f t="shared" ref="Q11:AB11" si="30">Q9*Q10</f>
        <v>5178.6412777119995</v>
      </c>
      <c r="R11" s="3">
        <f t="shared" si="30"/>
        <v>5481.1829523572796</v>
      </c>
      <c r="S11" s="3">
        <f t="shared" si="30"/>
        <v>5783.7246270025598</v>
      </c>
      <c r="T11" s="3">
        <f t="shared" si="30"/>
        <v>6086.2663016478382</v>
      </c>
      <c r="U11" s="3">
        <f t="shared" si="30"/>
        <v>6388.8079762931175</v>
      </c>
      <c r="V11" s="3">
        <f t="shared" si="30"/>
        <v>6691.3496509383976</v>
      </c>
      <c r="W11" s="3">
        <f t="shared" si="30"/>
        <v>6993.8913255836769</v>
      </c>
      <c r="X11" s="3">
        <f t="shared" si="30"/>
        <v>7296.4330002289562</v>
      </c>
      <c r="Y11" s="3">
        <f t="shared" si="30"/>
        <v>7598.9746748742364</v>
      </c>
      <c r="Z11" s="3">
        <f t="shared" si="30"/>
        <v>7901.5163495195166</v>
      </c>
      <c r="AA11" s="3">
        <f t="shared" si="30"/>
        <v>8204.0580241647967</v>
      </c>
      <c r="AB11" s="3">
        <f t="shared" si="30"/>
        <v>8163.1740140776283</v>
      </c>
      <c r="AC11" s="397">
        <f>SUM(Q11:AB11)</f>
        <v>81768.020174399993</v>
      </c>
      <c r="AD11" s="3">
        <f t="shared" ref="AD11:AO11" si="31">AD9*AD10</f>
        <v>7936.5238721663991</v>
      </c>
      <c r="AE11" s="3">
        <f t="shared" si="31"/>
        <v>8400.1839510140144</v>
      </c>
      <c r="AF11" s="3">
        <f t="shared" si="31"/>
        <v>8863.8440298616297</v>
      </c>
      <c r="AG11" s="3">
        <f t="shared" si="31"/>
        <v>9327.504108709245</v>
      </c>
      <c r="AH11" s="3">
        <f t="shared" si="31"/>
        <v>9791.1641875568621</v>
      </c>
      <c r="AI11" s="3">
        <f t="shared" si="31"/>
        <v>10254.824266404476</v>
      </c>
      <c r="AJ11" s="3">
        <f t="shared" si="31"/>
        <v>10718.484345252093</v>
      </c>
      <c r="AK11" s="3">
        <f t="shared" si="31"/>
        <v>11182.144424099708</v>
      </c>
      <c r="AL11" s="3">
        <f t="shared" si="31"/>
        <v>11645.804502947321</v>
      </c>
      <c r="AM11" s="3">
        <f t="shared" si="31"/>
        <v>12109.464581794937</v>
      </c>
      <c r="AN11" s="3">
        <f t="shared" si="31"/>
        <v>12573.124660642556</v>
      </c>
      <c r="AO11" s="3">
        <f t="shared" si="31"/>
        <v>12510.467893230765</v>
      </c>
      <c r="AP11" s="397">
        <f>SUM(AD11:AO11)</f>
        <v>125313.53482368001</v>
      </c>
      <c r="AQ11" s="3">
        <f t="shared" ref="AQ11:BB11" si="32">AQ9*AQ10</f>
        <v>8940.7871790585596</v>
      </c>
      <c r="AR11" s="3">
        <f t="shared" si="32"/>
        <v>9463.1173774140843</v>
      </c>
      <c r="AS11" s="3">
        <f t="shared" si="32"/>
        <v>9985.4475757696109</v>
      </c>
      <c r="AT11" s="3">
        <f t="shared" si="32"/>
        <v>10507.777774125136</v>
      </c>
      <c r="AU11" s="3">
        <f t="shared" si="32"/>
        <v>11030.107972480664</v>
      </c>
      <c r="AV11" s="3">
        <f t="shared" si="32"/>
        <v>11552.438170836187</v>
      </c>
      <c r="AW11" s="3">
        <f t="shared" si="32"/>
        <v>12074.768369191712</v>
      </c>
      <c r="AX11" s="3">
        <f t="shared" si="32"/>
        <v>12597.098567547238</v>
      </c>
      <c r="AY11" s="3">
        <f t="shared" si="32"/>
        <v>13119.428765902765</v>
      </c>
      <c r="AZ11" s="3">
        <f t="shared" si="32"/>
        <v>13641.758964258288</v>
      </c>
      <c r="BA11" s="3">
        <f t="shared" si="32"/>
        <v>14164.089162613816</v>
      </c>
      <c r="BB11" s="3">
        <f t="shared" si="32"/>
        <v>14093.504000673935</v>
      </c>
      <c r="BC11" s="397">
        <f>SUM(AQ11:BB11)</f>
        <v>141170.32387987198</v>
      </c>
      <c r="BD11" s="3">
        <f t="shared" ref="BD11:BO11" si="33">BD9*BD10</f>
        <v>10218.288653016862</v>
      </c>
      <c r="BE11" s="3">
        <f t="shared" si="33"/>
        <v>10815.251832219425</v>
      </c>
      <c r="BF11" s="3">
        <f t="shared" si="33"/>
        <v>11412.215011421988</v>
      </c>
      <c r="BG11" s="3">
        <f t="shared" si="33"/>
        <v>12009.178190624552</v>
      </c>
      <c r="BH11" s="3">
        <f t="shared" si="33"/>
        <v>12606.141369827119</v>
      </c>
      <c r="BI11" s="3">
        <f t="shared" si="33"/>
        <v>13203.10454902968</v>
      </c>
      <c r="BJ11" s="3">
        <f t="shared" si="33"/>
        <v>13800.067728232243</v>
      </c>
      <c r="BK11" s="3">
        <f t="shared" si="33"/>
        <v>14397.030907434806</v>
      </c>
      <c r="BL11" s="3">
        <f t="shared" si="33"/>
        <v>14993.994086637369</v>
      </c>
      <c r="BM11" s="3">
        <f t="shared" si="33"/>
        <v>15590.957265839932</v>
      </c>
      <c r="BN11" s="3">
        <f t="shared" si="33"/>
        <v>16187.920445042497</v>
      </c>
      <c r="BO11" s="3">
        <f t="shared" si="33"/>
        <v>16107.249745150319</v>
      </c>
      <c r="BP11" s="397">
        <f>SUM(BD11:BO11)</f>
        <v>161341.39978447679</v>
      </c>
      <c r="CF11" s="3" t="s">
        <v>953</v>
      </c>
      <c r="CG11" s="12" t="s">
        <v>394</v>
      </c>
    </row>
    <row r="12" spans="1:85" s="65" customFormat="1">
      <c r="A12" s="76" t="s">
        <v>696</v>
      </c>
      <c r="B12" s="285" t="s">
        <v>231</v>
      </c>
      <c r="C12" s="40"/>
      <c r="D12" s="65">
        <f>P12</f>
        <v>1</v>
      </c>
      <c r="E12" s="65">
        <f t="shared" ref="E12:O12" si="34">D12</f>
        <v>1</v>
      </c>
      <c r="F12" s="65">
        <f t="shared" si="34"/>
        <v>1</v>
      </c>
      <c r="G12" s="65">
        <f t="shared" si="34"/>
        <v>1</v>
      </c>
      <c r="H12" s="65">
        <f t="shared" si="34"/>
        <v>1</v>
      </c>
      <c r="I12" s="65">
        <f t="shared" si="34"/>
        <v>1</v>
      </c>
      <c r="J12" s="65">
        <f t="shared" si="34"/>
        <v>1</v>
      </c>
      <c r="K12" s="65">
        <f t="shared" si="34"/>
        <v>1</v>
      </c>
      <c r="L12" s="65">
        <f t="shared" si="34"/>
        <v>1</v>
      </c>
      <c r="M12" s="65">
        <f t="shared" si="34"/>
        <v>1</v>
      </c>
      <c r="N12" s="65">
        <f t="shared" si="34"/>
        <v>1</v>
      </c>
      <c r="O12" s="65">
        <f t="shared" si="34"/>
        <v>1</v>
      </c>
      <c r="P12" s="358">
        <f>'packages (indiv)'!P101</f>
        <v>1</v>
      </c>
      <c r="Q12" s="65">
        <f>AC12</f>
        <v>1</v>
      </c>
      <c r="R12" s="65">
        <f t="shared" ref="R12:AB12" si="35">Q12</f>
        <v>1</v>
      </c>
      <c r="S12" s="65">
        <f t="shared" si="35"/>
        <v>1</v>
      </c>
      <c r="T12" s="65">
        <f t="shared" si="35"/>
        <v>1</v>
      </c>
      <c r="U12" s="65">
        <f t="shared" si="35"/>
        <v>1</v>
      </c>
      <c r="V12" s="65">
        <f t="shared" si="35"/>
        <v>1</v>
      </c>
      <c r="W12" s="65">
        <f t="shared" si="35"/>
        <v>1</v>
      </c>
      <c r="X12" s="65">
        <f t="shared" si="35"/>
        <v>1</v>
      </c>
      <c r="Y12" s="65">
        <f t="shared" si="35"/>
        <v>1</v>
      </c>
      <c r="Z12" s="65">
        <f t="shared" si="35"/>
        <v>1</v>
      </c>
      <c r="AA12" s="65">
        <f t="shared" si="35"/>
        <v>1</v>
      </c>
      <c r="AB12" s="65">
        <f t="shared" si="35"/>
        <v>1</v>
      </c>
      <c r="AC12" s="358">
        <f>'packages (indiv)'!AC101</f>
        <v>1</v>
      </c>
      <c r="AD12" s="65">
        <f>AP12</f>
        <v>1</v>
      </c>
      <c r="AE12" s="65">
        <f t="shared" ref="AE12:AO12" si="36">AD12</f>
        <v>1</v>
      </c>
      <c r="AF12" s="65">
        <f t="shared" si="36"/>
        <v>1</v>
      </c>
      <c r="AG12" s="65">
        <f t="shared" si="36"/>
        <v>1</v>
      </c>
      <c r="AH12" s="65">
        <f t="shared" si="36"/>
        <v>1</v>
      </c>
      <c r="AI12" s="65">
        <f t="shared" si="36"/>
        <v>1</v>
      </c>
      <c r="AJ12" s="65">
        <f t="shared" si="36"/>
        <v>1</v>
      </c>
      <c r="AK12" s="65">
        <f t="shared" si="36"/>
        <v>1</v>
      </c>
      <c r="AL12" s="65">
        <f t="shared" si="36"/>
        <v>1</v>
      </c>
      <c r="AM12" s="65">
        <f t="shared" si="36"/>
        <v>1</v>
      </c>
      <c r="AN12" s="65">
        <f t="shared" si="36"/>
        <v>1</v>
      </c>
      <c r="AO12" s="65">
        <f t="shared" si="36"/>
        <v>1</v>
      </c>
      <c r="AP12" s="358">
        <f>'packages (indiv)'!AP101</f>
        <v>1</v>
      </c>
      <c r="AQ12" s="65">
        <f>BC12</f>
        <v>1</v>
      </c>
      <c r="AR12" s="65">
        <f t="shared" ref="AR12:BB12" si="37">AQ12</f>
        <v>1</v>
      </c>
      <c r="AS12" s="65">
        <f t="shared" si="37"/>
        <v>1</v>
      </c>
      <c r="AT12" s="65">
        <f t="shared" si="37"/>
        <v>1</v>
      </c>
      <c r="AU12" s="65">
        <f t="shared" si="37"/>
        <v>1</v>
      </c>
      <c r="AV12" s="65">
        <f t="shared" si="37"/>
        <v>1</v>
      </c>
      <c r="AW12" s="65">
        <f t="shared" si="37"/>
        <v>1</v>
      </c>
      <c r="AX12" s="65">
        <f t="shared" si="37"/>
        <v>1</v>
      </c>
      <c r="AY12" s="65">
        <f t="shared" si="37"/>
        <v>1</v>
      </c>
      <c r="AZ12" s="65">
        <f t="shared" si="37"/>
        <v>1</v>
      </c>
      <c r="BA12" s="65">
        <f t="shared" si="37"/>
        <v>1</v>
      </c>
      <c r="BB12" s="65">
        <f t="shared" si="37"/>
        <v>1</v>
      </c>
      <c r="BC12" s="358">
        <f>'packages (indiv)'!BC101</f>
        <v>1</v>
      </c>
      <c r="BD12" s="65">
        <f>BP12</f>
        <v>1</v>
      </c>
      <c r="BE12" s="65">
        <f t="shared" ref="BE12:BO12" si="38">BD12</f>
        <v>1</v>
      </c>
      <c r="BF12" s="65">
        <f t="shared" si="38"/>
        <v>1</v>
      </c>
      <c r="BG12" s="65">
        <f t="shared" si="38"/>
        <v>1</v>
      </c>
      <c r="BH12" s="65">
        <f t="shared" si="38"/>
        <v>1</v>
      </c>
      <c r="BI12" s="65">
        <f t="shared" si="38"/>
        <v>1</v>
      </c>
      <c r="BJ12" s="65">
        <f t="shared" si="38"/>
        <v>1</v>
      </c>
      <c r="BK12" s="65">
        <f t="shared" si="38"/>
        <v>1</v>
      </c>
      <c r="BL12" s="65">
        <f t="shared" si="38"/>
        <v>1</v>
      </c>
      <c r="BM12" s="65">
        <f t="shared" si="38"/>
        <v>1</v>
      </c>
      <c r="BN12" s="65">
        <f t="shared" si="38"/>
        <v>1</v>
      </c>
      <c r="BO12" s="65">
        <f t="shared" si="38"/>
        <v>1</v>
      </c>
      <c r="BP12" s="358">
        <f>'packages (indiv)'!BP101</f>
        <v>1</v>
      </c>
      <c r="CF12" s="76" t="s">
        <v>954</v>
      </c>
      <c r="CG12" s="285" t="s">
        <v>231</v>
      </c>
    </row>
    <row r="13" spans="1:85" s="3" customFormat="1">
      <c r="A13" s="3" t="s">
        <v>660</v>
      </c>
      <c r="B13" s="12" t="s">
        <v>496</v>
      </c>
      <c r="C13" s="5"/>
      <c r="D13" s="3">
        <f t="shared" ref="D13:O13" si="39">D11*D12</f>
        <v>0</v>
      </c>
      <c r="E13" s="3">
        <f t="shared" si="39"/>
        <v>0</v>
      </c>
      <c r="F13" s="3">
        <f t="shared" si="39"/>
        <v>0</v>
      </c>
      <c r="G13" s="3">
        <f t="shared" si="39"/>
        <v>0</v>
      </c>
      <c r="H13" s="3">
        <f t="shared" si="39"/>
        <v>0</v>
      </c>
      <c r="I13" s="3">
        <f t="shared" si="39"/>
        <v>0</v>
      </c>
      <c r="J13" s="3">
        <f t="shared" si="39"/>
        <v>0</v>
      </c>
      <c r="K13" s="3">
        <f t="shared" si="39"/>
        <v>0</v>
      </c>
      <c r="L13" s="3">
        <f t="shared" si="39"/>
        <v>699.09911668799987</v>
      </c>
      <c r="M13" s="3">
        <f t="shared" si="39"/>
        <v>739.94122297871991</v>
      </c>
      <c r="N13" s="3">
        <f t="shared" si="39"/>
        <v>780.78332926943983</v>
      </c>
      <c r="O13" s="3">
        <f t="shared" si="39"/>
        <v>780.78332926943983</v>
      </c>
      <c r="P13" s="397">
        <f>SUM(D13:O13)</f>
        <v>3000.6069982055997</v>
      </c>
      <c r="Q13" s="3">
        <f t="shared" ref="Q13:AB13" si="40">Q11*Q12</f>
        <v>5178.6412777119995</v>
      </c>
      <c r="R13" s="3">
        <f t="shared" si="40"/>
        <v>5481.1829523572796</v>
      </c>
      <c r="S13" s="3">
        <f t="shared" si="40"/>
        <v>5783.7246270025598</v>
      </c>
      <c r="T13" s="3">
        <f t="shared" si="40"/>
        <v>6086.2663016478382</v>
      </c>
      <c r="U13" s="3">
        <f t="shared" si="40"/>
        <v>6388.8079762931175</v>
      </c>
      <c r="V13" s="3">
        <f t="shared" si="40"/>
        <v>6691.3496509383976</v>
      </c>
      <c r="W13" s="3">
        <f t="shared" si="40"/>
        <v>6993.8913255836769</v>
      </c>
      <c r="X13" s="3">
        <f t="shared" si="40"/>
        <v>7296.4330002289562</v>
      </c>
      <c r="Y13" s="3">
        <f t="shared" si="40"/>
        <v>7598.9746748742364</v>
      </c>
      <c r="Z13" s="3">
        <f t="shared" si="40"/>
        <v>7901.5163495195166</v>
      </c>
      <c r="AA13" s="3">
        <f t="shared" si="40"/>
        <v>8204.0580241647967</v>
      </c>
      <c r="AB13" s="3">
        <f t="shared" si="40"/>
        <v>8163.1740140776283</v>
      </c>
      <c r="AC13" s="397">
        <f>SUM(Q13:AB13)</f>
        <v>81768.020174399993</v>
      </c>
      <c r="AD13" s="3">
        <f t="shared" ref="AD13:AO13" si="41">AD11*AD12</f>
        <v>7936.5238721663991</v>
      </c>
      <c r="AE13" s="3">
        <f t="shared" si="41"/>
        <v>8400.1839510140144</v>
      </c>
      <c r="AF13" s="3">
        <f t="shared" si="41"/>
        <v>8863.8440298616297</v>
      </c>
      <c r="AG13" s="3">
        <f t="shared" si="41"/>
        <v>9327.504108709245</v>
      </c>
      <c r="AH13" s="3">
        <f t="shared" si="41"/>
        <v>9791.1641875568621</v>
      </c>
      <c r="AI13" s="3">
        <f t="shared" si="41"/>
        <v>10254.824266404476</v>
      </c>
      <c r="AJ13" s="3">
        <f t="shared" si="41"/>
        <v>10718.484345252093</v>
      </c>
      <c r="AK13" s="3">
        <f t="shared" si="41"/>
        <v>11182.144424099708</v>
      </c>
      <c r="AL13" s="3">
        <f t="shared" si="41"/>
        <v>11645.804502947321</v>
      </c>
      <c r="AM13" s="3">
        <f t="shared" si="41"/>
        <v>12109.464581794937</v>
      </c>
      <c r="AN13" s="3">
        <f t="shared" si="41"/>
        <v>12573.124660642556</v>
      </c>
      <c r="AO13" s="3">
        <f t="shared" si="41"/>
        <v>12510.467893230765</v>
      </c>
      <c r="AP13" s="397">
        <f>SUM(AD13:AO13)</f>
        <v>125313.53482368001</v>
      </c>
      <c r="AQ13" s="3">
        <f t="shared" ref="AQ13:BB13" si="42">AQ11*AQ12</f>
        <v>8940.7871790585596</v>
      </c>
      <c r="AR13" s="3">
        <f t="shared" si="42"/>
        <v>9463.1173774140843</v>
      </c>
      <c r="AS13" s="3">
        <f t="shared" si="42"/>
        <v>9985.4475757696109</v>
      </c>
      <c r="AT13" s="3">
        <f t="shared" si="42"/>
        <v>10507.777774125136</v>
      </c>
      <c r="AU13" s="3">
        <f t="shared" si="42"/>
        <v>11030.107972480664</v>
      </c>
      <c r="AV13" s="3">
        <f t="shared" si="42"/>
        <v>11552.438170836187</v>
      </c>
      <c r="AW13" s="3">
        <f t="shared" si="42"/>
        <v>12074.768369191712</v>
      </c>
      <c r="AX13" s="3">
        <f t="shared" si="42"/>
        <v>12597.098567547238</v>
      </c>
      <c r="AY13" s="3">
        <f t="shared" si="42"/>
        <v>13119.428765902765</v>
      </c>
      <c r="AZ13" s="3">
        <f t="shared" si="42"/>
        <v>13641.758964258288</v>
      </c>
      <c r="BA13" s="3">
        <f t="shared" si="42"/>
        <v>14164.089162613816</v>
      </c>
      <c r="BB13" s="3">
        <f t="shared" si="42"/>
        <v>14093.504000673935</v>
      </c>
      <c r="BC13" s="397">
        <f>SUM(AQ13:BB13)</f>
        <v>141170.32387987198</v>
      </c>
      <c r="BD13" s="3">
        <f t="shared" ref="BD13:BO13" si="43">BD11*BD12</f>
        <v>10218.288653016862</v>
      </c>
      <c r="BE13" s="3">
        <f t="shared" si="43"/>
        <v>10815.251832219425</v>
      </c>
      <c r="BF13" s="3">
        <f t="shared" si="43"/>
        <v>11412.215011421988</v>
      </c>
      <c r="BG13" s="3">
        <f t="shared" si="43"/>
        <v>12009.178190624552</v>
      </c>
      <c r="BH13" s="3">
        <f t="shared" si="43"/>
        <v>12606.141369827119</v>
      </c>
      <c r="BI13" s="3">
        <f t="shared" si="43"/>
        <v>13203.10454902968</v>
      </c>
      <c r="BJ13" s="3">
        <f t="shared" si="43"/>
        <v>13800.067728232243</v>
      </c>
      <c r="BK13" s="3">
        <f t="shared" si="43"/>
        <v>14397.030907434806</v>
      </c>
      <c r="BL13" s="3">
        <f t="shared" si="43"/>
        <v>14993.994086637369</v>
      </c>
      <c r="BM13" s="3">
        <f t="shared" si="43"/>
        <v>15590.957265839932</v>
      </c>
      <c r="BN13" s="3">
        <f t="shared" si="43"/>
        <v>16187.920445042497</v>
      </c>
      <c r="BO13" s="3">
        <f t="shared" si="43"/>
        <v>16107.249745150319</v>
      </c>
      <c r="BP13" s="397">
        <f>SUM(BD13:BO13)</f>
        <v>161341.39978447679</v>
      </c>
      <c r="CF13" s="3" t="s">
        <v>955</v>
      </c>
      <c r="CG13" s="12" t="s">
        <v>394</v>
      </c>
    </row>
    <row r="14" spans="1:85" s="65" customFormat="1">
      <c r="A14" s="76" t="s">
        <v>578</v>
      </c>
      <c r="B14" s="285" t="s">
        <v>231</v>
      </c>
      <c r="C14" s="40"/>
      <c r="D14" s="65">
        <f>P14</f>
        <v>0.95</v>
      </c>
      <c r="E14" s="65">
        <f t="shared" ref="E14:O14" si="44">D14</f>
        <v>0.95</v>
      </c>
      <c r="F14" s="65">
        <f t="shared" si="44"/>
        <v>0.95</v>
      </c>
      <c r="G14" s="65">
        <f t="shared" si="44"/>
        <v>0.95</v>
      </c>
      <c r="H14" s="65">
        <f t="shared" si="44"/>
        <v>0.95</v>
      </c>
      <c r="I14" s="65">
        <f t="shared" si="44"/>
        <v>0.95</v>
      </c>
      <c r="J14" s="65">
        <f t="shared" si="44"/>
        <v>0.95</v>
      </c>
      <c r="K14" s="65">
        <f t="shared" si="44"/>
        <v>0.95</v>
      </c>
      <c r="L14" s="65">
        <f t="shared" si="44"/>
        <v>0.95</v>
      </c>
      <c r="M14" s="65">
        <f t="shared" si="44"/>
        <v>0.95</v>
      </c>
      <c r="N14" s="65">
        <f t="shared" si="44"/>
        <v>0.95</v>
      </c>
      <c r="O14" s="65">
        <f t="shared" si="44"/>
        <v>0.95</v>
      </c>
      <c r="P14" s="426">
        <f>Funnel!E65</f>
        <v>0.95</v>
      </c>
      <c r="Q14" s="65">
        <f>AC14</f>
        <v>0.95</v>
      </c>
      <c r="R14" s="65">
        <f t="shared" ref="R14:AB14" si="45">Q14</f>
        <v>0.95</v>
      </c>
      <c r="S14" s="65">
        <f t="shared" si="45"/>
        <v>0.95</v>
      </c>
      <c r="T14" s="65">
        <f t="shared" si="45"/>
        <v>0.95</v>
      </c>
      <c r="U14" s="65">
        <f t="shared" si="45"/>
        <v>0.95</v>
      </c>
      <c r="V14" s="65">
        <f t="shared" si="45"/>
        <v>0.95</v>
      </c>
      <c r="W14" s="65">
        <f t="shared" si="45"/>
        <v>0.95</v>
      </c>
      <c r="X14" s="65">
        <f t="shared" si="45"/>
        <v>0.95</v>
      </c>
      <c r="Y14" s="65">
        <f t="shared" si="45"/>
        <v>0.95</v>
      </c>
      <c r="Z14" s="65">
        <f t="shared" si="45"/>
        <v>0.95</v>
      </c>
      <c r="AA14" s="65">
        <f t="shared" si="45"/>
        <v>0.95</v>
      </c>
      <c r="AB14" s="65">
        <f t="shared" si="45"/>
        <v>0.95</v>
      </c>
      <c r="AC14" s="426">
        <f>Funnel!F65</f>
        <v>0.95</v>
      </c>
      <c r="AD14" s="65">
        <f>AP14</f>
        <v>0.95</v>
      </c>
      <c r="AE14" s="65">
        <f t="shared" ref="AE14:AO14" si="46">AD14</f>
        <v>0.95</v>
      </c>
      <c r="AF14" s="65">
        <f t="shared" si="46"/>
        <v>0.95</v>
      </c>
      <c r="AG14" s="65">
        <f t="shared" si="46"/>
        <v>0.95</v>
      </c>
      <c r="AH14" s="65">
        <f t="shared" si="46"/>
        <v>0.95</v>
      </c>
      <c r="AI14" s="65">
        <f t="shared" si="46"/>
        <v>0.95</v>
      </c>
      <c r="AJ14" s="65">
        <f t="shared" si="46"/>
        <v>0.95</v>
      </c>
      <c r="AK14" s="65">
        <f t="shared" si="46"/>
        <v>0.95</v>
      </c>
      <c r="AL14" s="65">
        <f t="shared" si="46"/>
        <v>0.95</v>
      </c>
      <c r="AM14" s="65">
        <f t="shared" si="46"/>
        <v>0.95</v>
      </c>
      <c r="AN14" s="65">
        <f t="shared" si="46"/>
        <v>0.95</v>
      </c>
      <c r="AO14" s="65">
        <f t="shared" si="46"/>
        <v>0.95</v>
      </c>
      <c r="AP14" s="426">
        <f>Funnel!G65</f>
        <v>0.95</v>
      </c>
      <c r="AQ14" s="65">
        <f>BC14</f>
        <v>0.95</v>
      </c>
      <c r="AR14" s="65">
        <f t="shared" ref="AR14:BB14" si="47">AQ14</f>
        <v>0.95</v>
      </c>
      <c r="AS14" s="65">
        <f t="shared" si="47"/>
        <v>0.95</v>
      </c>
      <c r="AT14" s="65">
        <f t="shared" si="47"/>
        <v>0.95</v>
      </c>
      <c r="AU14" s="65">
        <f t="shared" si="47"/>
        <v>0.95</v>
      </c>
      <c r="AV14" s="65">
        <f t="shared" si="47"/>
        <v>0.95</v>
      </c>
      <c r="AW14" s="65">
        <f t="shared" si="47"/>
        <v>0.95</v>
      </c>
      <c r="AX14" s="65">
        <f t="shared" si="47"/>
        <v>0.95</v>
      </c>
      <c r="AY14" s="65">
        <f t="shared" si="47"/>
        <v>0.95</v>
      </c>
      <c r="AZ14" s="65">
        <f t="shared" si="47"/>
        <v>0.95</v>
      </c>
      <c r="BA14" s="65">
        <f t="shared" si="47"/>
        <v>0.95</v>
      </c>
      <c r="BB14" s="65">
        <f t="shared" si="47"/>
        <v>0.95</v>
      </c>
      <c r="BC14" s="426">
        <f>Funnel!H65</f>
        <v>0.95</v>
      </c>
      <c r="BD14" s="65">
        <f>BP14</f>
        <v>0.95</v>
      </c>
      <c r="BE14" s="65">
        <f t="shared" ref="BE14:BO14" si="48">BD14</f>
        <v>0.95</v>
      </c>
      <c r="BF14" s="65">
        <f t="shared" si="48"/>
        <v>0.95</v>
      </c>
      <c r="BG14" s="65">
        <f t="shared" si="48"/>
        <v>0.95</v>
      </c>
      <c r="BH14" s="65">
        <f t="shared" si="48"/>
        <v>0.95</v>
      </c>
      <c r="BI14" s="65">
        <f t="shared" si="48"/>
        <v>0.95</v>
      </c>
      <c r="BJ14" s="65">
        <f t="shared" si="48"/>
        <v>0.95</v>
      </c>
      <c r="BK14" s="65">
        <f t="shared" si="48"/>
        <v>0.95</v>
      </c>
      <c r="BL14" s="65">
        <f t="shared" si="48"/>
        <v>0.95</v>
      </c>
      <c r="BM14" s="65">
        <f t="shared" si="48"/>
        <v>0.95</v>
      </c>
      <c r="BN14" s="65">
        <f t="shared" si="48"/>
        <v>0.95</v>
      </c>
      <c r="BO14" s="65">
        <f t="shared" si="48"/>
        <v>0.95</v>
      </c>
      <c r="BP14" s="426">
        <f>Funnel!I65</f>
        <v>0.95</v>
      </c>
      <c r="CF14" s="76" t="s">
        <v>956</v>
      </c>
      <c r="CG14" s="285" t="s">
        <v>231</v>
      </c>
    </row>
    <row r="15" spans="1:85" s="3" customFormat="1">
      <c r="A15" s="3" t="s">
        <v>659</v>
      </c>
      <c r="B15" s="12" t="s">
        <v>496</v>
      </c>
      <c r="C15" s="5"/>
      <c r="D15" s="3">
        <f t="shared" ref="D15:O15" si="49">D9*D14</f>
        <v>0</v>
      </c>
      <c r="E15" s="3">
        <f t="shared" si="49"/>
        <v>0</v>
      </c>
      <c r="F15" s="3">
        <f t="shared" si="49"/>
        <v>0</v>
      </c>
      <c r="G15" s="3">
        <f t="shared" si="49"/>
        <v>0</v>
      </c>
      <c r="H15" s="3">
        <f t="shared" si="49"/>
        <v>0</v>
      </c>
      <c r="I15" s="3">
        <f t="shared" si="49"/>
        <v>0</v>
      </c>
      <c r="J15" s="3">
        <f t="shared" si="49"/>
        <v>0</v>
      </c>
      <c r="K15" s="3">
        <f t="shared" si="49"/>
        <v>0</v>
      </c>
      <c r="L15" s="3">
        <f t="shared" si="49"/>
        <v>948.77737264799987</v>
      </c>
      <c r="M15" s="3">
        <f t="shared" si="49"/>
        <v>1004.2059454711199</v>
      </c>
      <c r="N15" s="3">
        <f t="shared" si="49"/>
        <v>1059.6345182942398</v>
      </c>
      <c r="O15" s="3">
        <f t="shared" si="49"/>
        <v>1059.6345182942398</v>
      </c>
      <c r="P15" s="397">
        <f>SUM(D15:O15)</f>
        <v>4072.2523547075989</v>
      </c>
      <c r="Q15" s="3">
        <f t="shared" ref="Q15:AB15" si="50">Q9*Q14</f>
        <v>7028.1560197519993</v>
      </c>
      <c r="R15" s="3">
        <f t="shared" si="50"/>
        <v>7438.7482924848791</v>
      </c>
      <c r="S15" s="3">
        <f t="shared" si="50"/>
        <v>7849.3405652177598</v>
      </c>
      <c r="T15" s="3">
        <f t="shared" si="50"/>
        <v>8259.9328379506387</v>
      </c>
      <c r="U15" s="3">
        <f t="shared" si="50"/>
        <v>8670.5251106835167</v>
      </c>
      <c r="V15" s="3">
        <f t="shared" si="50"/>
        <v>9081.1173834163965</v>
      </c>
      <c r="W15" s="3">
        <f t="shared" si="50"/>
        <v>9491.7096561492763</v>
      </c>
      <c r="X15" s="3">
        <f t="shared" si="50"/>
        <v>9902.3019288821561</v>
      </c>
      <c r="Y15" s="3">
        <f t="shared" si="50"/>
        <v>10312.894201615036</v>
      </c>
      <c r="Z15" s="3">
        <f t="shared" si="50"/>
        <v>10723.486474347916</v>
      </c>
      <c r="AA15" s="3">
        <f t="shared" si="50"/>
        <v>11134.078747080795</v>
      </c>
      <c r="AB15" s="3">
        <f t="shared" si="50"/>
        <v>11078.593304819638</v>
      </c>
      <c r="AC15" s="397">
        <f>SUM(Q15:AB15)</f>
        <v>110970.88452240001</v>
      </c>
      <c r="AD15" s="3">
        <f t="shared" ref="AD15:AO15" si="51">AD9*AD14</f>
        <v>10770.996683654399</v>
      </c>
      <c r="AE15" s="3">
        <f t="shared" si="51"/>
        <v>11400.249647804732</v>
      </c>
      <c r="AF15" s="3">
        <f t="shared" si="51"/>
        <v>12029.502611955069</v>
      </c>
      <c r="AG15" s="3">
        <f t="shared" si="51"/>
        <v>12658.755576105405</v>
      </c>
      <c r="AH15" s="3">
        <f t="shared" si="51"/>
        <v>13288.008540255742</v>
      </c>
      <c r="AI15" s="3">
        <f t="shared" si="51"/>
        <v>13917.261504406075</v>
      </c>
      <c r="AJ15" s="3">
        <f t="shared" si="51"/>
        <v>14546.514468556412</v>
      </c>
      <c r="AK15" s="3">
        <f t="shared" si="51"/>
        <v>15175.767432706745</v>
      </c>
      <c r="AL15" s="3">
        <f t="shared" si="51"/>
        <v>15805.02039685708</v>
      </c>
      <c r="AM15" s="3">
        <f t="shared" si="51"/>
        <v>16434.273361007414</v>
      </c>
      <c r="AN15" s="3">
        <f t="shared" si="51"/>
        <v>17063.526325157753</v>
      </c>
      <c r="AO15" s="3">
        <f t="shared" si="51"/>
        <v>16978.492140813181</v>
      </c>
      <c r="AP15" s="397">
        <f>SUM(AD15:AO15)</f>
        <v>170068.36868928003</v>
      </c>
      <c r="AQ15" s="3">
        <f t="shared" ref="AQ15:BB15" si="52">AQ9*AQ14</f>
        <v>12133.925457293759</v>
      </c>
      <c r="AR15" s="3">
        <f t="shared" si="52"/>
        <v>12842.802155061972</v>
      </c>
      <c r="AS15" s="3">
        <f t="shared" si="52"/>
        <v>13551.678852830186</v>
      </c>
      <c r="AT15" s="3">
        <f t="shared" si="52"/>
        <v>14260.555550598398</v>
      </c>
      <c r="AU15" s="3">
        <f t="shared" si="52"/>
        <v>14969.432248366615</v>
      </c>
      <c r="AV15" s="3">
        <f t="shared" si="52"/>
        <v>15678.308946134825</v>
      </c>
      <c r="AW15" s="3">
        <f t="shared" si="52"/>
        <v>16387.185643903038</v>
      </c>
      <c r="AX15" s="3">
        <f t="shared" si="52"/>
        <v>17096.062341671251</v>
      </c>
      <c r="AY15" s="3">
        <f t="shared" si="52"/>
        <v>17804.939039439465</v>
      </c>
      <c r="AZ15" s="3">
        <f t="shared" si="52"/>
        <v>18513.815737207675</v>
      </c>
      <c r="BA15" s="3">
        <f t="shared" si="52"/>
        <v>19222.692434975892</v>
      </c>
      <c r="BB15" s="3">
        <f t="shared" si="52"/>
        <v>19126.898286628912</v>
      </c>
      <c r="BC15" s="397">
        <f>SUM(AQ15:BB15)</f>
        <v>191588.29669411198</v>
      </c>
      <c r="BD15" s="3">
        <f t="shared" ref="BD15:BO15" si="53">BD9*BD14</f>
        <v>13867.677457665743</v>
      </c>
      <c r="BE15" s="3">
        <f t="shared" si="53"/>
        <v>14677.841772297792</v>
      </c>
      <c r="BF15" s="3">
        <f t="shared" si="53"/>
        <v>15488.00608692984</v>
      </c>
      <c r="BG15" s="3">
        <f t="shared" si="53"/>
        <v>16298.170401561893</v>
      </c>
      <c r="BH15" s="3">
        <f t="shared" si="53"/>
        <v>17108.334716193945</v>
      </c>
      <c r="BI15" s="3">
        <f t="shared" si="53"/>
        <v>17918.499030825995</v>
      </c>
      <c r="BJ15" s="3">
        <f t="shared" si="53"/>
        <v>18728.663345458044</v>
      </c>
      <c r="BK15" s="3">
        <f t="shared" si="53"/>
        <v>19538.827660090094</v>
      </c>
      <c r="BL15" s="3">
        <f t="shared" si="53"/>
        <v>20348.991974722143</v>
      </c>
      <c r="BM15" s="3">
        <f t="shared" si="53"/>
        <v>21159.156289354196</v>
      </c>
      <c r="BN15" s="3">
        <f t="shared" si="53"/>
        <v>21969.320603986245</v>
      </c>
      <c r="BO15" s="3">
        <f t="shared" si="53"/>
        <v>21859.838939846861</v>
      </c>
      <c r="BP15" s="397">
        <f>SUM(BD15:BO15)</f>
        <v>218963.32827893278</v>
      </c>
      <c r="CF15" s="3" t="s">
        <v>957</v>
      </c>
      <c r="CG15" s="12" t="s">
        <v>394</v>
      </c>
    </row>
    <row r="16" spans="1:85" s="65" customFormat="1">
      <c r="A16" s="76" t="s">
        <v>658</v>
      </c>
      <c r="B16" s="285" t="s">
        <v>231</v>
      </c>
      <c r="C16" s="40">
        <v>-5.0000000000000001E-4</v>
      </c>
      <c r="D16" s="65">
        <f t="shared" ref="D16:O16" si="54">C16+$C$16</f>
        <v>-1E-3</v>
      </c>
      <c r="E16" s="65">
        <f t="shared" si="54"/>
        <v>-1.5E-3</v>
      </c>
      <c r="F16" s="65">
        <f t="shared" si="54"/>
        <v>-2E-3</v>
      </c>
      <c r="G16" s="65">
        <f t="shared" si="54"/>
        <v>-2.5000000000000001E-3</v>
      </c>
      <c r="H16" s="65">
        <f t="shared" si="54"/>
        <v>-3.0000000000000001E-3</v>
      </c>
      <c r="I16" s="65">
        <f t="shared" si="54"/>
        <v>-3.5000000000000001E-3</v>
      </c>
      <c r="J16" s="65">
        <f t="shared" si="54"/>
        <v>-4.0000000000000001E-3</v>
      </c>
      <c r="K16" s="65">
        <f t="shared" si="54"/>
        <v>-4.5000000000000005E-3</v>
      </c>
      <c r="L16" s="65">
        <f t="shared" si="54"/>
        <v>-5.000000000000001E-3</v>
      </c>
      <c r="M16" s="65">
        <f t="shared" si="54"/>
        <v>-5.5000000000000014E-3</v>
      </c>
      <c r="N16" s="65">
        <f t="shared" si="54"/>
        <v>-6.0000000000000019E-3</v>
      </c>
      <c r="O16" s="65">
        <f t="shared" si="54"/>
        <v>-6.5000000000000023E-3</v>
      </c>
      <c r="P16" s="358">
        <f>O16</f>
        <v>-6.5000000000000023E-3</v>
      </c>
      <c r="Q16" s="65">
        <f t="shared" ref="Q16:AB16" si="55">P16+$C$16</f>
        <v>-7.0000000000000027E-3</v>
      </c>
      <c r="R16" s="65">
        <f t="shared" si="55"/>
        <v>-7.5000000000000032E-3</v>
      </c>
      <c r="S16" s="65">
        <f t="shared" si="55"/>
        <v>-8.0000000000000036E-3</v>
      </c>
      <c r="T16" s="65">
        <f t="shared" si="55"/>
        <v>-8.5000000000000041E-3</v>
      </c>
      <c r="U16" s="65">
        <f t="shared" si="55"/>
        <v>-9.0000000000000045E-3</v>
      </c>
      <c r="V16" s="65">
        <f t="shared" si="55"/>
        <v>-9.500000000000005E-3</v>
      </c>
      <c r="W16" s="65">
        <f t="shared" si="55"/>
        <v>-1.0000000000000005E-2</v>
      </c>
      <c r="X16" s="65">
        <f t="shared" si="55"/>
        <v>-1.0500000000000006E-2</v>
      </c>
      <c r="Y16" s="65">
        <f t="shared" si="55"/>
        <v>-1.1000000000000006E-2</v>
      </c>
      <c r="Z16" s="65">
        <f t="shared" si="55"/>
        <v>-1.1500000000000007E-2</v>
      </c>
      <c r="AA16" s="65">
        <f t="shared" si="55"/>
        <v>-1.2000000000000007E-2</v>
      </c>
      <c r="AB16" s="65">
        <f t="shared" si="55"/>
        <v>-1.2500000000000008E-2</v>
      </c>
      <c r="AC16" s="358">
        <f>AB16</f>
        <v>-1.2500000000000008E-2</v>
      </c>
      <c r="AD16" s="65">
        <f t="shared" ref="AD16:AO16" si="56">AC16+$C$16</f>
        <v>-1.3000000000000008E-2</v>
      </c>
      <c r="AE16" s="65">
        <f t="shared" si="56"/>
        <v>-1.3500000000000009E-2</v>
      </c>
      <c r="AF16" s="65">
        <f t="shared" si="56"/>
        <v>-1.4000000000000009E-2</v>
      </c>
      <c r="AG16" s="65">
        <f t="shared" si="56"/>
        <v>-1.4500000000000009E-2</v>
      </c>
      <c r="AH16" s="65">
        <f t="shared" si="56"/>
        <v>-1.500000000000001E-2</v>
      </c>
      <c r="AI16" s="65">
        <f t="shared" si="56"/>
        <v>-1.550000000000001E-2</v>
      </c>
      <c r="AJ16" s="65">
        <f t="shared" si="56"/>
        <v>-1.6000000000000011E-2</v>
      </c>
      <c r="AK16" s="65">
        <f t="shared" si="56"/>
        <v>-1.6500000000000011E-2</v>
      </c>
      <c r="AL16" s="65">
        <f t="shared" si="56"/>
        <v>-1.7000000000000012E-2</v>
      </c>
      <c r="AM16" s="65">
        <f t="shared" si="56"/>
        <v>-1.7500000000000012E-2</v>
      </c>
      <c r="AN16" s="65">
        <f t="shared" si="56"/>
        <v>-1.8000000000000013E-2</v>
      </c>
      <c r="AO16" s="65">
        <f t="shared" si="56"/>
        <v>-1.8500000000000013E-2</v>
      </c>
      <c r="AP16" s="358">
        <f>AO16</f>
        <v>-1.8500000000000013E-2</v>
      </c>
      <c r="AQ16" s="65">
        <f t="shared" ref="AQ16:BB16" si="57">AP16+$C$16</f>
        <v>-1.9000000000000013E-2</v>
      </c>
      <c r="AR16" s="65">
        <f t="shared" si="57"/>
        <v>-1.9500000000000014E-2</v>
      </c>
      <c r="AS16" s="65">
        <f t="shared" si="57"/>
        <v>-2.0000000000000014E-2</v>
      </c>
      <c r="AT16" s="65">
        <f t="shared" si="57"/>
        <v>-2.0500000000000015E-2</v>
      </c>
      <c r="AU16" s="65">
        <f t="shared" si="57"/>
        <v>-2.1000000000000015E-2</v>
      </c>
      <c r="AV16" s="65">
        <f t="shared" si="57"/>
        <v>-2.1500000000000016E-2</v>
      </c>
      <c r="AW16" s="65">
        <f t="shared" si="57"/>
        <v>-2.2000000000000016E-2</v>
      </c>
      <c r="AX16" s="65">
        <f t="shared" si="57"/>
        <v>-2.2500000000000017E-2</v>
      </c>
      <c r="AY16" s="65">
        <f t="shared" si="57"/>
        <v>-2.3000000000000017E-2</v>
      </c>
      <c r="AZ16" s="65">
        <f t="shared" si="57"/>
        <v>-2.3500000000000017E-2</v>
      </c>
      <c r="BA16" s="65">
        <f t="shared" si="57"/>
        <v>-2.4000000000000018E-2</v>
      </c>
      <c r="BB16" s="65">
        <f t="shared" si="57"/>
        <v>-2.4500000000000018E-2</v>
      </c>
      <c r="BC16" s="358">
        <f>BB16</f>
        <v>-2.4500000000000018E-2</v>
      </c>
      <c r="BD16" s="65">
        <f t="shared" ref="BD16:BO16" si="58">BC16+$C$16</f>
        <v>-2.5000000000000019E-2</v>
      </c>
      <c r="BE16" s="65">
        <f t="shared" si="58"/>
        <v>-2.5500000000000019E-2</v>
      </c>
      <c r="BF16" s="65">
        <f t="shared" si="58"/>
        <v>-2.600000000000002E-2</v>
      </c>
      <c r="BG16" s="65">
        <f t="shared" si="58"/>
        <v>-2.650000000000002E-2</v>
      </c>
      <c r="BH16" s="65">
        <f t="shared" si="58"/>
        <v>-2.7000000000000021E-2</v>
      </c>
      <c r="BI16" s="65">
        <f t="shared" si="58"/>
        <v>-2.7500000000000021E-2</v>
      </c>
      <c r="BJ16" s="65">
        <f t="shared" si="58"/>
        <v>-2.8000000000000021E-2</v>
      </c>
      <c r="BK16" s="65">
        <f t="shared" si="58"/>
        <v>-2.8500000000000022E-2</v>
      </c>
      <c r="BL16" s="65">
        <f t="shared" si="58"/>
        <v>-2.9000000000000022E-2</v>
      </c>
      <c r="BM16" s="65">
        <f t="shared" si="58"/>
        <v>-2.9500000000000023E-2</v>
      </c>
      <c r="BN16" s="65">
        <f t="shared" si="58"/>
        <v>-3.0000000000000023E-2</v>
      </c>
      <c r="BO16" s="65">
        <f t="shared" si="58"/>
        <v>-3.0500000000000024E-2</v>
      </c>
      <c r="BP16" s="358">
        <f>BO16</f>
        <v>-3.0500000000000024E-2</v>
      </c>
      <c r="CF16" s="76" t="s">
        <v>958</v>
      </c>
      <c r="CG16" s="285" t="s">
        <v>231</v>
      </c>
    </row>
    <row r="17" spans="1:85" s="3" customFormat="1">
      <c r="A17" s="3" t="s">
        <v>657</v>
      </c>
      <c r="B17" s="12" t="s">
        <v>496</v>
      </c>
      <c r="C17" s="5"/>
      <c r="D17" s="3">
        <f t="shared" ref="D17:O17" si="59">C18*D16</f>
        <v>0</v>
      </c>
      <c r="E17" s="3">
        <f t="shared" si="59"/>
        <v>0</v>
      </c>
      <c r="F17" s="3">
        <f t="shared" si="59"/>
        <v>0</v>
      </c>
      <c r="G17" s="3">
        <f t="shared" si="59"/>
        <v>0</v>
      </c>
      <c r="H17" s="3">
        <f t="shared" si="59"/>
        <v>0</v>
      </c>
      <c r="I17" s="3">
        <f t="shared" si="59"/>
        <v>0</v>
      </c>
      <c r="J17" s="3">
        <f t="shared" si="59"/>
        <v>0</v>
      </c>
      <c r="K17" s="3">
        <f t="shared" si="59"/>
        <v>0</v>
      </c>
      <c r="L17" s="3">
        <f t="shared" si="59"/>
        <v>0</v>
      </c>
      <c r="M17" s="3">
        <f t="shared" si="59"/>
        <v>-5.4929216311200006</v>
      </c>
      <c r="N17" s="3">
        <f t="shared" si="59"/>
        <v>-12.301673953070882</v>
      </c>
      <c r="O17" s="3">
        <f t="shared" si="59"/>
        <v>-20.496983483109965</v>
      </c>
      <c r="P17" s="397">
        <f>SUM(D17:O17)</f>
        <v>-38.291579067300844</v>
      </c>
      <c r="Q17" s="3">
        <f t="shared" ref="Q17:AB17" si="60">P18*Q16</f>
        <v>-29.738028928584907</v>
      </c>
      <c r="R17" s="3">
        <f t="shared" si="60"/>
        <v>-87.124580896290894</v>
      </c>
      <c r="S17" s="3">
        <f t="shared" si="60"/>
        <v>-154.87798052628986</v>
      </c>
      <c r="T17" s="3">
        <f t="shared" si="60"/>
        <v>-233.47233337402636</v>
      </c>
      <c r="U17" s="3">
        <f t="shared" si="60"/>
        <v>-323.35674434962135</v>
      </c>
      <c r="V17" s="3">
        <f t="shared" si="60"/>
        <v>-424.95436996011415</v>
      </c>
      <c r="W17" s="3">
        <f t="shared" si="60"/>
        <v>-538.66155503121797</v>
      </c>
      <c r="X17" s="3">
        <f t="shared" si="60"/>
        <v>-664.84705633870635</v>
      </c>
      <c r="Y17" s="3">
        <f t="shared" si="60"/>
        <v>-803.85135521489769</v>
      </c>
      <c r="Z17" s="3">
        <f t="shared" si="60"/>
        <v>-955.98606082431684</v>
      </c>
      <c r="AA17" s="3">
        <f t="shared" si="60"/>
        <v>-1121.533405426376</v>
      </c>
      <c r="AB17" s="3">
        <f t="shared" si="60"/>
        <v>-1300.7458325637788</v>
      </c>
      <c r="AC17" s="397">
        <f>SUM(Q17:AB17)</f>
        <v>-6639.1493034342211</v>
      </c>
      <c r="AD17" s="3">
        <f t="shared" ref="AD17:AO17" si="61">AC18*AD16</f>
        <v>-1487.4677731615852</v>
      </c>
      <c r="AE17" s="3">
        <f t="shared" si="61"/>
        <v>-1677.6587890120093</v>
      </c>
      <c r="AF17" s="3">
        <f t="shared" si="61"/>
        <v>-1884.3107556902701</v>
      </c>
      <c r="AG17" s="3">
        <f t="shared" si="61"/>
        <v>-2107.8932601974047</v>
      </c>
      <c r="AH17" s="3">
        <f t="shared" si="61"/>
        <v>-2348.835923827779</v>
      </c>
      <c r="AI17" s="3">
        <f t="shared" si="61"/>
        <v>-2607.5278476700382</v>
      </c>
      <c r="AJ17" s="3">
        <f t="shared" si="61"/>
        <v>-2884.3171868771633</v>
      </c>
      <c r="AK17" s="3">
        <f t="shared" si="61"/>
        <v>-3179.5108535216868</v>
      </c>
      <c r="AL17" s="3">
        <f t="shared" si="61"/>
        <v>-3493.3743473401778</v>
      </c>
      <c r="AM17" s="3">
        <f t="shared" si="61"/>
        <v>-3826.1317131689425</v>
      </c>
      <c r="AN17" s="3">
        <f t="shared" si="61"/>
        <v>-4177.9656233828846</v>
      </c>
      <c r="AO17" s="3">
        <f t="shared" si="61"/>
        <v>-4549.0175831739507</v>
      </c>
      <c r="AP17" s="397">
        <f>SUM(AD17:AO17)</f>
        <v>-34224.01165702389</v>
      </c>
      <c r="AQ17" s="3">
        <f t="shared" ref="AQ17:BB17" si="62">AP18*AQ16</f>
        <v>-4925.102513076773</v>
      </c>
      <c r="AR17" s="3">
        <f t="shared" si="62"/>
        <v>-5207.7357606445621</v>
      </c>
      <c r="AS17" s="3">
        <f t="shared" si="62"/>
        <v>-5507.487513813875</v>
      </c>
      <c r="AT17" s="3">
        <f t="shared" si="62"/>
        <v>-5824.7021723450052</v>
      </c>
      <c r="AU17" s="3">
        <f t="shared" si="62"/>
        <v>-6159.6826665920744</v>
      </c>
      <c r="AV17" s="3">
        <f t="shared" si="62"/>
        <v>-6512.6904880958728</v>
      </c>
      <c r="AW17" s="3">
        <f t="shared" si="62"/>
        <v>-6883.9458439118553</v>
      </c>
      <c r="AX17" s="3">
        <f t="shared" si="62"/>
        <v>-7273.6279317822182</v>
      </c>
      <c r="AY17" s="3">
        <f t="shared" si="62"/>
        <v>-7681.8753328324638</v>
      </c>
      <c r="AZ17" s="3">
        <f t="shared" si="62"/>
        <v>-8108.7865180675344</v>
      </c>
      <c r="BA17" s="3">
        <f t="shared" si="62"/>
        <v>-8554.4204645618975</v>
      </c>
      <c r="BB17" s="3">
        <f t="shared" si="62"/>
        <v>-9018.7973768833199</v>
      </c>
      <c r="BC17" s="397">
        <f>SUM(AQ17:BB17)</f>
        <v>-81658.854582607455</v>
      </c>
      <c r="BD17" s="3">
        <f t="shared" ref="BD17:BO17" si="63">BC18*BD16</f>
        <v>-9480.723960380883</v>
      </c>
      <c r="BE17" s="3">
        <f t="shared" si="63"/>
        <v>-9800.8176366729749</v>
      </c>
      <c r="BF17" s="3">
        <f t="shared" si="63"/>
        <v>-10139.878626724352</v>
      </c>
      <c r="BG17" s="3">
        <f t="shared" si="63"/>
        <v>-10498.203363018534</v>
      </c>
      <c r="BH17" s="3">
        <f t="shared" si="63"/>
        <v>-10876.042339734466</v>
      </c>
      <c r="BI17" s="3">
        <f t="shared" si="63"/>
        <v>-11273.600634968685</v>
      </c>
      <c r="BJ17" s="3">
        <f t="shared" si="63"/>
        <v>-11691.038556150181</v>
      </c>
      <c r="BK17" s="3">
        <f t="shared" si="63"/>
        <v>-12128.472403309181</v>
      </c>
      <c r="BL17" s="3">
        <f t="shared" si="63"/>
        <v>-12585.975344523144</v>
      </c>
      <c r="BM17" s="3">
        <f t="shared" si="63"/>
        <v>-13063.578397559286</v>
      </c>
      <c r="BN17" s="3">
        <f t="shared" si="63"/>
        <v>-13561.271511463698</v>
      </c>
      <c r="BO17" s="3">
        <f t="shared" si="63"/>
        <v>-14079.004741612922</v>
      </c>
      <c r="BP17" s="397">
        <f>SUM(BD17:BO17)</f>
        <v>-139178.6075161183</v>
      </c>
      <c r="CF17" s="3" t="s">
        <v>959</v>
      </c>
      <c r="CG17" s="12" t="s">
        <v>394</v>
      </c>
    </row>
    <row r="18" spans="1:85" s="17" customFormat="1" ht="15.6">
      <c r="A18" s="17" t="s">
        <v>695</v>
      </c>
      <c r="B18" s="13" t="s">
        <v>496</v>
      </c>
      <c r="C18" s="462"/>
      <c r="D18" s="60">
        <f t="shared" ref="D18:O18" si="64">C18+D9+D17</f>
        <v>0</v>
      </c>
      <c r="E18" s="60">
        <f t="shared" si="64"/>
        <v>0</v>
      </c>
      <c r="F18" s="60">
        <f t="shared" si="64"/>
        <v>0</v>
      </c>
      <c r="G18" s="60">
        <f t="shared" si="64"/>
        <v>0</v>
      </c>
      <c r="H18" s="60">
        <f t="shared" si="64"/>
        <v>0</v>
      </c>
      <c r="I18" s="60">
        <f t="shared" si="64"/>
        <v>0</v>
      </c>
      <c r="J18" s="60">
        <f t="shared" si="64"/>
        <v>0</v>
      </c>
      <c r="K18" s="60">
        <f t="shared" si="64"/>
        <v>0</v>
      </c>
      <c r="L18" s="60">
        <f t="shared" si="64"/>
        <v>998.71302383999989</v>
      </c>
      <c r="M18" s="60">
        <f t="shared" si="64"/>
        <v>2050.2789921784797</v>
      </c>
      <c r="N18" s="60">
        <f t="shared" si="64"/>
        <v>3153.3820743246088</v>
      </c>
      <c r="O18" s="60">
        <f t="shared" si="64"/>
        <v>4248.2898469406991</v>
      </c>
      <c r="P18" s="372">
        <f>O18</f>
        <v>4248.2898469406991</v>
      </c>
      <c r="Q18" s="60">
        <f t="shared" ref="Q18:AB18" si="65">P18+Q9+Q17</f>
        <v>11616.610786172114</v>
      </c>
      <c r="R18" s="60">
        <f t="shared" si="65"/>
        <v>19359.747565786223</v>
      </c>
      <c r="S18" s="60">
        <f t="shared" si="65"/>
        <v>27467.333338120734</v>
      </c>
      <c r="T18" s="60">
        <f t="shared" si="65"/>
        <v>35928.52714995791</v>
      </c>
      <c r="U18" s="60">
        <f t="shared" si="65"/>
        <v>44732.038943169886</v>
      </c>
      <c r="V18" s="60">
        <f t="shared" si="65"/>
        <v>53866.155503121772</v>
      </c>
      <c r="W18" s="60">
        <f t="shared" si="65"/>
        <v>63318.767270352946</v>
      </c>
      <c r="X18" s="60">
        <f t="shared" si="65"/>
        <v>73077.395928627026</v>
      </c>
      <c r="Y18" s="60">
        <f t="shared" si="65"/>
        <v>83129.222680375329</v>
      </c>
      <c r="Z18" s="60">
        <f t="shared" si="65"/>
        <v>93461.117118864611</v>
      </c>
      <c r="AA18" s="60">
        <f t="shared" si="65"/>
        <v>104059.66660510223</v>
      </c>
      <c r="AB18" s="60">
        <f t="shared" si="65"/>
        <v>114420.59793550649</v>
      </c>
      <c r="AC18" s="372">
        <f>AB18</f>
        <v>114420.59793550649</v>
      </c>
      <c r="AD18" s="60">
        <f t="shared" ref="AD18:AO18" si="66">AC18+AD9+AD17</f>
        <v>124271.0214082969</v>
      </c>
      <c r="AE18" s="60">
        <f t="shared" si="66"/>
        <v>134593.62540644777</v>
      </c>
      <c r="AF18" s="60">
        <f t="shared" si="66"/>
        <v>145371.94897913127</v>
      </c>
      <c r="AG18" s="60">
        <f t="shared" si="66"/>
        <v>156589.0615885185</v>
      </c>
      <c r="AH18" s="60">
        <f t="shared" si="66"/>
        <v>168227.60307548623</v>
      </c>
      <c r="AI18" s="60">
        <f t="shared" si="66"/>
        <v>180269.82417982258</v>
      </c>
      <c r="AJ18" s="60">
        <f t="shared" si="66"/>
        <v>192697.6274861627</v>
      </c>
      <c r="AK18" s="60">
        <f t="shared" si="66"/>
        <v>205492.60866706914</v>
      </c>
      <c r="AL18" s="60">
        <f t="shared" si="66"/>
        <v>218636.097895368</v>
      </c>
      <c r="AM18" s="60">
        <f t="shared" si="66"/>
        <v>232109.20129904899</v>
      </c>
      <c r="AN18" s="60">
        <f t="shared" si="66"/>
        <v>245892.84233372691</v>
      </c>
      <c r="AO18" s="60">
        <f t="shared" si="66"/>
        <v>259215.92174088259</v>
      </c>
      <c r="AP18" s="372">
        <f>AO18</f>
        <v>259215.92174088259</v>
      </c>
      <c r="AQ18" s="60">
        <f t="shared" ref="AQ18:BB18" si="67">AP18+AQ9+AQ17</f>
        <v>267063.37234074657</v>
      </c>
      <c r="AR18" s="60">
        <f t="shared" si="67"/>
        <v>275374.37569069356</v>
      </c>
      <c r="AS18" s="60">
        <f t="shared" si="67"/>
        <v>284131.81328512199</v>
      </c>
      <c r="AT18" s="60">
        <f t="shared" si="67"/>
        <v>293318.22221867001</v>
      </c>
      <c r="AU18" s="60">
        <f t="shared" si="67"/>
        <v>302915.83665562177</v>
      </c>
      <c r="AV18" s="60">
        <f t="shared" si="67"/>
        <v>312906.62926872046</v>
      </c>
      <c r="AW18" s="60">
        <f t="shared" si="67"/>
        <v>323272.35252365388</v>
      </c>
      <c r="AX18" s="60">
        <f t="shared" si="67"/>
        <v>333994.57968836772</v>
      </c>
      <c r="AY18" s="60">
        <f t="shared" si="67"/>
        <v>345054.74544968206</v>
      </c>
      <c r="AZ18" s="60">
        <f t="shared" si="67"/>
        <v>356434.1860234121</v>
      </c>
      <c r="BA18" s="60">
        <f t="shared" si="67"/>
        <v>368114.17864829849</v>
      </c>
      <c r="BB18" s="60">
        <f t="shared" si="67"/>
        <v>379228.95841523504</v>
      </c>
      <c r="BC18" s="372">
        <f>BB18</f>
        <v>379228.95841523504</v>
      </c>
      <c r="BD18" s="60">
        <f t="shared" ref="BD18:BO18" si="68">BC18+BD9+BD17</f>
        <v>384345.7896734497</v>
      </c>
      <c r="BE18" s="60">
        <f t="shared" si="68"/>
        <v>389995.33179709018</v>
      </c>
      <c r="BF18" s="60">
        <f t="shared" si="68"/>
        <v>396158.61747239722</v>
      </c>
      <c r="BG18" s="60">
        <f t="shared" si="68"/>
        <v>402816.38295312808</v>
      </c>
      <c r="BH18" s="60">
        <f t="shared" si="68"/>
        <v>409949.11399886094</v>
      </c>
      <c r="BI18" s="60">
        <f t="shared" si="68"/>
        <v>417537.09129107755</v>
      </c>
      <c r="BJ18" s="60">
        <f t="shared" si="68"/>
        <v>425560.4352038306</v>
      </c>
      <c r="BK18" s="60">
        <f t="shared" si="68"/>
        <v>433999.14981114253</v>
      </c>
      <c r="BL18" s="60">
        <f t="shared" si="68"/>
        <v>442833.16601895849</v>
      </c>
      <c r="BM18" s="60">
        <f t="shared" si="68"/>
        <v>452042.38371545624</v>
      </c>
      <c r="BN18" s="60">
        <f t="shared" si="68"/>
        <v>461606.71283976757</v>
      </c>
      <c r="BO18" s="60">
        <f t="shared" si="68"/>
        <v>470538.0648769408</v>
      </c>
      <c r="BP18" s="372">
        <f>BO18</f>
        <v>470538.0648769408</v>
      </c>
      <c r="CF18" s="17" t="s">
        <v>1196</v>
      </c>
      <c r="CG18" s="13" t="s">
        <v>394</v>
      </c>
    </row>
    <row r="19" spans="1:85" s="6" customFormat="1">
      <c r="A19" s="6" t="s">
        <v>726</v>
      </c>
      <c r="B19" s="13" t="s">
        <v>130</v>
      </c>
      <c r="D19" s="5">
        <f>P19</f>
        <v>75000</v>
      </c>
      <c r="E19" s="5">
        <f t="shared" ref="E19:O19" si="69">D19</f>
        <v>75000</v>
      </c>
      <c r="F19" s="5">
        <f t="shared" si="69"/>
        <v>75000</v>
      </c>
      <c r="G19" s="5">
        <f t="shared" si="69"/>
        <v>75000</v>
      </c>
      <c r="H19" s="5">
        <f t="shared" si="69"/>
        <v>75000</v>
      </c>
      <c r="I19" s="5">
        <f t="shared" si="69"/>
        <v>75000</v>
      </c>
      <c r="J19" s="5">
        <f t="shared" si="69"/>
        <v>75000</v>
      </c>
      <c r="K19" s="5">
        <f t="shared" si="69"/>
        <v>75000</v>
      </c>
      <c r="L19" s="5">
        <f t="shared" si="69"/>
        <v>75000</v>
      </c>
      <c r="M19" s="5">
        <f t="shared" si="69"/>
        <v>75000</v>
      </c>
      <c r="N19" s="5">
        <f t="shared" si="69"/>
        <v>75000</v>
      </c>
      <c r="O19" s="5">
        <f t="shared" si="69"/>
        <v>75000</v>
      </c>
      <c r="P19" s="463">
        <f>Funnel!E67</f>
        <v>75000</v>
      </c>
      <c r="Q19" s="5">
        <f>AC19</f>
        <v>82500</v>
      </c>
      <c r="R19" s="5">
        <f t="shared" ref="R19:AB19" si="70">Q19</f>
        <v>82500</v>
      </c>
      <c r="S19" s="5">
        <f t="shared" si="70"/>
        <v>82500</v>
      </c>
      <c r="T19" s="5">
        <f t="shared" si="70"/>
        <v>82500</v>
      </c>
      <c r="U19" s="5">
        <f t="shared" si="70"/>
        <v>82500</v>
      </c>
      <c r="V19" s="5">
        <f t="shared" si="70"/>
        <v>82500</v>
      </c>
      <c r="W19" s="5">
        <f t="shared" si="70"/>
        <v>82500</v>
      </c>
      <c r="X19" s="5">
        <f t="shared" si="70"/>
        <v>82500</v>
      </c>
      <c r="Y19" s="5">
        <f t="shared" si="70"/>
        <v>82500</v>
      </c>
      <c r="Z19" s="5">
        <f t="shared" si="70"/>
        <v>82500</v>
      </c>
      <c r="AA19" s="5">
        <f t="shared" si="70"/>
        <v>82500</v>
      </c>
      <c r="AB19" s="5">
        <f t="shared" si="70"/>
        <v>82500</v>
      </c>
      <c r="AC19" s="463">
        <f>Funnel!F67</f>
        <v>82500</v>
      </c>
      <c r="AD19" s="5">
        <f>AP19</f>
        <v>90750.000000000015</v>
      </c>
      <c r="AE19" s="5">
        <f t="shared" ref="AE19:AO19" si="71">AD19</f>
        <v>90750.000000000015</v>
      </c>
      <c r="AF19" s="5">
        <f t="shared" si="71"/>
        <v>90750.000000000015</v>
      </c>
      <c r="AG19" s="5">
        <f t="shared" si="71"/>
        <v>90750.000000000015</v>
      </c>
      <c r="AH19" s="5">
        <f t="shared" si="71"/>
        <v>90750.000000000015</v>
      </c>
      <c r="AI19" s="5">
        <f t="shared" si="71"/>
        <v>90750.000000000015</v>
      </c>
      <c r="AJ19" s="5">
        <f t="shared" si="71"/>
        <v>90750.000000000015</v>
      </c>
      <c r="AK19" s="5">
        <f t="shared" si="71"/>
        <v>90750.000000000015</v>
      </c>
      <c r="AL19" s="5">
        <f t="shared" si="71"/>
        <v>90750.000000000015</v>
      </c>
      <c r="AM19" s="5">
        <f t="shared" si="71"/>
        <v>90750.000000000015</v>
      </c>
      <c r="AN19" s="5">
        <f t="shared" si="71"/>
        <v>90750.000000000015</v>
      </c>
      <c r="AO19" s="5">
        <f t="shared" si="71"/>
        <v>90750.000000000015</v>
      </c>
      <c r="AP19" s="463">
        <f>Funnel!G67</f>
        <v>90750.000000000015</v>
      </c>
      <c r="AQ19" s="5">
        <f>BC19</f>
        <v>99825.000000000015</v>
      </c>
      <c r="AR19" s="5">
        <f t="shared" ref="AR19:BB19" si="72">AQ19</f>
        <v>99825.000000000015</v>
      </c>
      <c r="AS19" s="5">
        <f t="shared" si="72"/>
        <v>99825.000000000015</v>
      </c>
      <c r="AT19" s="5">
        <f t="shared" si="72"/>
        <v>99825.000000000015</v>
      </c>
      <c r="AU19" s="5">
        <f t="shared" si="72"/>
        <v>99825.000000000015</v>
      </c>
      <c r="AV19" s="5">
        <f t="shared" si="72"/>
        <v>99825.000000000015</v>
      </c>
      <c r="AW19" s="5">
        <f t="shared" si="72"/>
        <v>99825.000000000015</v>
      </c>
      <c r="AX19" s="5">
        <f t="shared" si="72"/>
        <v>99825.000000000015</v>
      </c>
      <c r="AY19" s="5">
        <f t="shared" si="72"/>
        <v>99825.000000000015</v>
      </c>
      <c r="AZ19" s="5">
        <f t="shared" si="72"/>
        <v>99825.000000000015</v>
      </c>
      <c r="BA19" s="5">
        <f t="shared" si="72"/>
        <v>99825.000000000015</v>
      </c>
      <c r="BB19" s="5">
        <f t="shared" si="72"/>
        <v>99825.000000000015</v>
      </c>
      <c r="BC19" s="463">
        <f>Funnel!H67</f>
        <v>99825.000000000015</v>
      </c>
      <c r="BD19" s="5">
        <f>BP19</f>
        <v>109807.50000000003</v>
      </c>
      <c r="BE19" s="5">
        <f t="shared" ref="BE19:BO19" si="73">BD19</f>
        <v>109807.50000000003</v>
      </c>
      <c r="BF19" s="5">
        <f t="shared" si="73"/>
        <v>109807.50000000003</v>
      </c>
      <c r="BG19" s="5">
        <f t="shared" si="73"/>
        <v>109807.50000000003</v>
      </c>
      <c r="BH19" s="5">
        <f t="shared" si="73"/>
        <v>109807.50000000003</v>
      </c>
      <c r="BI19" s="5">
        <f t="shared" si="73"/>
        <v>109807.50000000003</v>
      </c>
      <c r="BJ19" s="5">
        <f t="shared" si="73"/>
        <v>109807.50000000003</v>
      </c>
      <c r="BK19" s="5">
        <f t="shared" si="73"/>
        <v>109807.50000000003</v>
      </c>
      <c r="BL19" s="5">
        <f t="shared" si="73"/>
        <v>109807.50000000003</v>
      </c>
      <c r="BM19" s="5">
        <f t="shared" si="73"/>
        <v>109807.50000000003</v>
      </c>
      <c r="BN19" s="5">
        <f t="shared" si="73"/>
        <v>109807.50000000003</v>
      </c>
      <c r="BO19" s="5">
        <f t="shared" si="73"/>
        <v>109807.50000000003</v>
      </c>
      <c r="BP19" s="463">
        <f>Funnel!I67</f>
        <v>109807.50000000003</v>
      </c>
      <c r="CF19" s="6" t="s">
        <v>1052</v>
      </c>
      <c r="CG19" s="13" t="s">
        <v>966</v>
      </c>
    </row>
    <row r="20" spans="1:85" s="17" customFormat="1" ht="15.6">
      <c r="A20" s="17" t="s">
        <v>725</v>
      </c>
      <c r="B20" s="13" t="s">
        <v>502</v>
      </c>
      <c r="C20" s="462"/>
      <c r="D20" s="60">
        <f t="shared" ref="D20:AI20" si="74">D18*D19/1000000</f>
        <v>0</v>
      </c>
      <c r="E20" s="60">
        <f t="shared" si="74"/>
        <v>0</v>
      </c>
      <c r="F20" s="60">
        <f t="shared" si="74"/>
        <v>0</v>
      </c>
      <c r="G20" s="60">
        <f t="shared" si="74"/>
        <v>0</v>
      </c>
      <c r="H20" s="60">
        <f t="shared" si="74"/>
        <v>0</v>
      </c>
      <c r="I20" s="60">
        <f t="shared" si="74"/>
        <v>0</v>
      </c>
      <c r="J20" s="60">
        <f t="shared" si="74"/>
        <v>0</v>
      </c>
      <c r="K20" s="60">
        <f t="shared" si="74"/>
        <v>0</v>
      </c>
      <c r="L20" s="60">
        <f t="shared" si="74"/>
        <v>74.903476787999992</v>
      </c>
      <c r="M20" s="60">
        <f t="shared" si="74"/>
        <v>153.77092441338598</v>
      </c>
      <c r="N20" s="60">
        <f t="shared" si="74"/>
        <v>236.50365557434566</v>
      </c>
      <c r="O20" s="60">
        <f t="shared" si="74"/>
        <v>318.62173852055247</v>
      </c>
      <c r="P20" s="372">
        <f t="shared" si="74"/>
        <v>318.62173852055247</v>
      </c>
      <c r="Q20" s="60">
        <f t="shared" si="74"/>
        <v>958.37038985919935</v>
      </c>
      <c r="R20" s="60">
        <f t="shared" si="74"/>
        <v>1597.1791741773634</v>
      </c>
      <c r="S20" s="60">
        <f t="shared" si="74"/>
        <v>2266.0550003949602</v>
      </c>
      <c r="T20" s="60">
        <f t="shared" si="74"/>
        <v>2964.1034898715275</v>
      </c>
      <c r="U20" s="60">
        <f t="shared" si="74"/>
        <v>3690.3932128115157</v>
      </c>
      <c r="V20" s="60">
        <f t="shared" si="74"/>
        <v>4443.957829007546</v>
      </c>
      <c r="W20" s="60">
        <f t="shared" si="74"/>
        <v>5223.798299804118</v>
      </c>
      <c r="X20" s="60">
        <f t="shared" si="74"/>
        <v>6028.8851641117299</v>
      </c>
      <c r="Y20" s="60">
        <f t="shared" si="74"/>
        <v>6858.1608711309646</v>
      </c>
      <c r="Z20" s="60">
        <f t="shared" si="74"/>
        <v>7710.5421623063303</v>
      </c>
      <c r="AA20" s="60">
        <f t="shared" si="74"/>
        <v>8584.9224949209347</v>
      </c>
      <c r="AB20" s="60">
        <f t="shared" si="74"/>
        <v>9439.6993296792843</v>
      </c>
      <c r="AC20" s="372">
        <f t="shared" si="74"/>
        <v>9439.6993296792843</v>
      </c>
      <c r="AD20" s="60">
        <f t="shared" si="74"/>
        <v>11277.595192802946</v>
      </c>
      <c r="AE20" s="60">
        <f t="shared" si="74"/>
        <v>12214.371505635138</v>
      </c>
      <c r="AF20" s="60">
        <f t="shared" si="74"/>
        <v>13192.504369856166</v>
      </c>
      <c r="AG20" s="60">
        <f t="shared" si="74"/>
        <v>14210.457339158056</v>
      </c>
      <c r="AH20" s="60">
        <f t="shared" si="74"/>
        <v>15266.654979100378</v>
      </c>
      <c r="AI20" s="60">
        <f t="shared" si="74"/>
        <v>16359.486544318901</v>
      </c>
      <c r="AJ20" s="60">
        <f t="shared" ref="AJ20:BO20" si="75">AJ18*AJ19/1000000</f>
        <v>17487.309694369265</v>
      </c>
      <c r="AK20" s="60">
        <f t="shared" si="75"/>
        <v>18648.454236536531</v>
      </c>
      <c r="AL20" s="60">
        <f t="shared" si="75"/>
        <v>19841.225884004649</v>
      </c>
      <c r="AM20" s="60">
        <f t="shared" si="75"/>
        <v>21063.910017888698</v>
      </c>
      <c r="AN20" s="60">
        <f t="shared" si="75"/>
        <v>22314.775441785721</v>
      </c>
      <c r="AO20" s="60">
        <f t="shared" si="75"/>
        <v>23523.844897985098</v>
      </c>
      <c r="AP20" s="372">
        <f t="shared" si="75"/>
        <v>23523.844897985098</v>
      </c>
      <c r="AQ20" s="60">
        <f t="shared" si="75"/>
        <v>26659.601143915032</v>
      </c>
      <c r="AR20" s="60">
        <f t="shared" si="75"/>
        <v>27489.247053323492</v>
      </c>
      <c r="AS20" s="60">
        <f t="shared" si="75"/>
        <v>28363.458261187305</v>
      </c>
      <c r="AT20" s="60">
        <f t="shared" si="75"/>
        <v>29280.491532978736</v>
      </c>
      <c r="AU20" s="60">
        <f t="shared" si="75"/>
        <v>30238.573394147446</v>
      </c>
      <c r="AV20" s="60">
        <f t="shared" si="75"/>
        <v>31235.904266750022</v>
      </c>
      <c r="AW20" s="60">
        <f t="shared" si="75"/>
        <v>32270.662590673754</v>
      </c>
      <c r="AX20" s="60">
        <f t="shared" si="75"/>
        <v>33341.008917391315</v>
      </c>
      <c r="AY20" s="60">
        <f t="shared" si="75"/>
        <v>34445.089964514518</v>
      </c>
      <c r="AZ20" s="60">
        <f t="shared" si="75"/>
        <v>35581.04261978712</v>
      </c>
      <c r="BA20" s="60">
        <f t="shared" si="75"/>
        <v>36746.997883566401</v>
      </c>
      <c r="BB20" s="60">
        <f t="shared" si="75"/>
        <v>37856.530773800841</v>
      </c>
      <c r="BC20" s="372">
        <f t="shared" si="75"/>
        <v>37856.530773800841</v>
      </c>
      <c r="BD20" s="60">
        <f t="shared" si="75"/>
        <v>42204.050299567338</v>
      </c>
      <c r="BE20" s="60">
        <f t="shared" si="75"/>
        <v>42824.412396308988</v>
      </c>
      <c r="BF20" s="60">
        <f t="shared" si="75"/>
        <v>43501.187388100276</v>
      </c>
      <c r="BG20" s="60">
        <f t="shared" si="75"/>
        <v>44232.259971125626</v>
      </c>
      <c r="BH20" s="60">
        <f t="shared" si="75"/>
        <v>45015.487335429934</v>
      </c>
      <c r="BI20" s="60">
        <f t="shared" si="75"/>
        <v>45848.704151945007</v>
      </c>
      <c r="BJ20" s="60">
        <f t="shared" si="75"/>
        <v>46729.727488644639</v>
      </c>
      <c r="BK20" s="60">
        <f t="shared" si="75"/>
        <v>47656.361642887045</v>
      </c>
      <c r="BL20" s="60">
        <f t="shared" si="75"/>
        <v>48626.402877626802</v>
      </c>
      <c r="BM20" s="60">
        <f t="shared" si="75"/>
        <v>49637.644049834977</v>
      </c>
      <c r="BN20" s="60">
        <f t="shared" si="75"/>
        <v>50687.879120152793</v>
      </c>
      <c r="BO20" s="60">
        <f t="shared" si="75"/>
        <v>51668.608558974694</v>
      </c>
      <c r="BP20" s="372">
        <f t="shared" ref="BP20" si="76">BP18*BP19/1000000</f>
        <v>51668.608558974694</v>
      </c>
      <c r="CF20" s="17" t="s">
        <v>1198</v>
      </c>
      <c r="CG20" s="13" t="s">
        <v>965</v>
      </c>
    </row>
    <row r="21" spans="1:85" s="291" customFormat="1">
      <c r="A21" s="291" t="s">
        <v>724</v>
      </c>
      <c r="B21" s="285" t="s">
        <v>231</v>
      </c>
      <c r="C21" s="40"/>
      <c r="D21" s="291">
        <f>P21</f>
        <v>0.99</v>
      </c>
      <c r="E21" s="291">
        <f t="shared" ref="E21:O21" si="77">D21</f>
        <v>0.99</v>
      </c>
      <c r="F21" s="291">
        <f t="shared" si="77"/>
        <v>0.99</v>
      </c>
      <c r="G21" s="291">
        <f t="shared" si="77"/>
        <v>0.99</v>
      </c>
      <c r="H21" s="291">
        <f t="shared" si="77"/>
        <v>0.99</v>
      </c>
      <c r="I21" s="291">
        <f t="shared" si="77"/>
        <v>0.99</v>
      </c>
      <c r="J21" s="291">
        <f t="shared" si="77"/>
        <v>0.99</v>
      </c>
      <c r="K21" s="291">
        <f t="shared" si="77"/>
        <v>0.99</v>
      </c>
      <c r="L21" s="291">
        <f t="shared" si="77"/>
        <v>0.99</v>
      </c>
      <c r="M21" s="291">
        <f t="shared" si="77"/>
        <v>0.99</v>
      </c>
      <c r="N21" s="291">
        <f t="shared" si="77"/>
        <v>0.99</v>
      </c>
      <c r="O21" s="291">
        <f t="shared" si="77"/>
        <v>0.99</v>
      </c>
      <c r="P21" s="461">
        <f>Funnel!E70</f>
        <v>0.99</v>
      </c>
      <c r="Q21" s="291">
        <f>AC21</f>
        <v>0.98499999999999999</v>
      </c>
      <c r="R21" s="291">
        <f t="shared" ref="R21:AB21" si="78">Q21</f>
        <v>0.98499999999999999</v>
      </c>
      <c r="S21" s="291">
        <f t="shared" si="78"/>
        <v>0.98499999999999999</v>
      </c>
      <c r="T21" s="291">
        <f t="shared" si="78"/>
        <v>0.98499999999999999</v>
      </c>
      <c r="U21" s="291">
        <f t="shared" si="78"/>
        <v>0.98499999999999999</v>
      </c>
      <c r="V21" s="291">
        <f t="shared" si="78"/>
        <v>0.98499999999999999</v>
      </c>
      <c r="W21" s="291">
        <f t="shared" si="78"/>
        <v>0.98499999999999999</v>
      </c>
      <c r="X21" s="291">
        <f t="shared" si="78"/>
        <v>0.98499999999999999</v>
      </c>
      <c r="Y21" s="291">
        <f t="shared" si="78"/>
        <v>0.98499999999999999</v>
      </c>
      <c r="Z21" s="291">
        <f t="shared" si="78"/>
        <v>0.98499999999999999</v>
      </c>
      <c r="AA21" s="291">
        <f t="shared" si="78"/>
        <v>0.98499999999999999</v>
      </c>
      <c r="AB21" s="291">
        <f t="shared" si="78"/>
        <v>0.98499999999999999</v>
      </c>
      <c r="AC21" s="461">
        <f>Funnel!F70</f>
        <v>0.98499999999999999</v>
      </c>
      <c r="AD21" s="291">
        <f>AP21</f>
        <v>0.98</v>
      </c>
      <c r="AE21" s="291">
        <f t="shared" ref="AE21:AO21" si="79">AD21</f>
        <v>0.98</v>
      </c>
      <c r="AF21" s="291">
        <f t="shared" si="79"/>
        <v>0.98</v>
      </c>
      <c r="AG21" s="291">
        <f t="shared" si="79"/>
        <v>0.98</v>
      </c>
      <c r="AH21" s="291">
        <f t="shared" si="79"/>
        <v>0.98</v>
      </c>
      <c r="AI21" s="291">
        <f t="shared" si="79"/>
        <v>0.98</v>
      </c>
      <c r="AJ21" s="291">
        <f t="shared" si="79"/>
        <v>0.98</v>
      </c>
      <c r="AK21" s="291">
        <f t="shared" si="79"/>
        <v>0.98</v>
      </c>
      <c r="AL21" s="291">
        <f t="shared" si="79"/>
        <v>0.98</v>
      </c>
      <c r="AM21" s="291">
        <f t="shared" si="79"/>
        <v>0.98</v>
      </c>
      <c r="AN21" s="291">
        <f t="shared" si="79"/>
        <v>0.98</v>
      </c>
      <c r="AO21" s="291">
        <f t="shared" si="79"/>
        <v>0.98</v>
      </c>
      <c r="AP21" s="461">
        <f>Funnel!G70</f>
        <v>0.98</v>
      </c>
      <c r="AQ21" s="291">
        <f>BC21</f>
        <v>0.97499999999999998</v>
      </c>
      <c r="AR21" s="291">
        <f t="shared" ref="AR21:BB21" si="80">AQ21</f>
        <v>0.97499999999999998</v>
      </c>
      <c r="AS21" s="291">
        <f t="shared" si="80"/>
        <v>0.97499999999999998</v>
      </c>
      <c r="AT21" s="291">
        <f t="shared" si="80"/>
        <v>0.97499999999999998</v>
      </c>
      <c r="AU21" s="291">
        <f t="shared" si="80"/>
        <v>0.97499999999999998</v>
      </c>
      <c r="AV21" s="291">
        <f t="shared" si="80"/>
        <v>0.97499999999999998</v>
      </c>
      <c r="AW21" s="291">
        <f t="shared" si="80"/>
        <v>0.97499999999999998</v>
      </c>
      <c r="AX21" s="291">
        <f t="shared" si="80"/>
        <v>0.97499999999999998</v>
      </c>
      <c r="AY21" s="291">
        <f t="shared" si="80"/>
        <v>0.97499999999999998</v>
      </c>
      <c r="AZ21" s="291">
        <f t="shared" si="80"/>
        <v>0.97499999999999998</v>
      </c>
      <c r="BA21" s="291">
        <f t="shared" si="80"/>
        <v>0.97499999999999998</v>
      </c>
      <c r="BB21" s="291">
        <f t="shared" si="80"/>
        <v>0.97499999999999998</v>
      </c>
      <c r="BC21" s="461">
        <f>Funnel!H70</f>
        <v>0.97499999999999998</v>
      </c>
      <c r="BD21" s="291">
        <f>BP21</f>
        <v>0.97</v>
      </c>
      <c r="BE21" s="291">
        <f t="shared" ref="BE21:BO21" si="81">BD21</f>
        <v>0.97</v>
      </c>
      <c r="BF21" s="291">
        <f t="shared" si="81"/>
        <v>0.97</v>
      </c>
      <c r="BG21" s="291">
        <f t="shared" si="81"/>
        <v>0.97</v>
      </c>
      <c r="BH21" s="291">
        <f t="shared" si="81"/>
        <v>0.97</v>
      </c>
      <c r="BI21" s="291">
        <f t="shared" si="81"/>
        <v>0.97</v>
      </c>
      <c r="BJ21" s="291">
        <f t="shared" si="81"/>
        <v>0.97</v>
      </c>
      <c r="BK21" s="291">
        <f t="shared" si="81"/>
        <v>0.97</v>
      </c>
      <c r="BL21" s="291">
        <f t="shared" si="81"/>
        <v>0.97</v>
      </c>
      <c r="BM21" s="291">
        <f t="shared" si="81"/>
        <v>0.97</v>
      </c>
      <c r="BN21" s="291">
        <f t="shared" si="81"/>
        <v>0.97</v>
      </c>
      <c r="BO21" s="291">
        <f t="shared" si="81"/>
        <v>0.97</v>
      </c>
      <c r="BP21" s="461">
        <f>Funnel!I70</f>
        <v>0.97</v>
      </c>
      <c r="CF21" s="291" t="s">
        <v>1053</v>
      </c>
      <c r="CG21" s="285" t="s">
        <v>231</v>
      </c>
    </row>
    <row r="22" spans="1:85" s="60" customFormat="1" ht="15.6">
      <c r="A22" s="60" t="s">
        <v>694</v>
      </c>
      <c r="B22" s="12" t="s">
        <v>496</v>
      </c>
      <c r="C22" s="374"/>
      <c r="D22" s="60">
        <f t="shared" ref="D22:AI22" si="82">D18*D21</f>
        <v>0</v>
      </c>
      <c r="E22" s="60">
        <f t="shared" si="82"/>
        <v>0</v>
      </c>
      <c r="F22" s="60">
        <f t="shared" si="82"/>
        <v>0</v>
      </c>
      <c r="G22" s="60">
        <f t="shared" si="82"/>
        <v>0</v>
      </c>
      <c r="H22" s="60">
        <f t="shared" si="82"/>
        <v>0</v>
      </c>
      <c r="I22" s="60">
        <f t="shared" si="82"/>
        <v>0</v>
      </c>
      <c r="J22" s="60">
        <f t="shared" si="82"/>
        <v>0</v>
      </c>
      <c r="K22" s="60">
        <f t="shared" si="82"/>
        <v>0</v>
      </c>
      <c r="L22" s="60">
        <f t="shared" si="82"/>
        <v>988.72589360159986</v>
      </c>
      <c r="M22" s="60">
        <f t="shared" si="82"/>
        <v>2029.7762022566949</v>
      </c>
      <c r="N22" s="60">
        <f t="shared" si="82"/>
        <v>3121.8482535813628</v>
      </c>
      <c r="O22" s="60">
        <f t="shared" si="82"/>
        <v>4205.8069484712923</v>
      </c>
      <c r="P22" s="372">
        <f t="shared" si="82"/>
        <v>4205.8069484712923</v>
      </c>
      <c r="Q22" s="60">
        <f t="shared" si="82"/>
        <v>11442.361624379531</v>
      </c>
      <c r="R22" s="60">
        <f t="shared" si="82"/>
        <v>19069.351352299429</v>
      </c>
      <c r="S22" s="60">
        <f t="shared" si="82"/>
        <v>27055.323338048922</v>
      </c>
      <c r="T22" s="60">
        <f t="shared" si="82"/>
        <v>35389.599242708544</v>
      </c>
      <c r="U22" s="60">
        <f t="shared" si="82"/>
        <v>44061.05835902234</v>
      </c>
      <c r="V22" s="60">
        <f t="shared" si="82"/>
        <v>53058.163170574946</v>
      </c>
      <c r="W22" s="60">
        <f t="shared" si="82"/>
        <v>62368.985761297648</v>
      </c>
      <c r="X22" s="60">
        <f t="shared" si="82"/>
        <v>71981.234989697623</v>
      </c>
      <c r="Y22" s="60">
        <f t="shared" si="82"/>
        <v>81882.284340169703</v>
      </c>
      <c r="Z22" s="60">
        <f t="shared" si="82"/>
        <v>92059.200362081639</v>
      </c>
      <c r="AA22" s="60">
        <f t="shared" si="82"/>
        <v>102498.77160602569</v>
      </c>
      <c r="AB22" s="60">
        <f t="shared" si="82"/>
        <v>112704.28896647389</v>
      </c>
      <c r="AC22" s="372">
        <f t="shared" si="82"/>
        <v>112704.28896647389</v>
      </c>
      <c r="AD22" s="60">
        <f t="shared" si="82"/>
        <v>121785.60098013097</v>
      </c>
      <c r="AE22" s="60">
        <f t="shared" si="82"/>
        <v>131901.75289831881</v>
      </c>
      <c r="AF22" s="60">
        <f t="shared" si="82"/>
        <v>142464.50999954864</v>
      </c>
      <c r="AG22" s="60">
        <f t="shared" si="82"/>
        <v>153457.28035674812</v>
      </c>
      <c r="AH22" s="60">
        <f t="shared" si="82"/>
        <v>164863.05101397651</v>
      </c>
      <c r="AI22" s="60">
        <f t="shared" si="82"/>
        <v>176664.42769622614</v>
      </c>
      <c r="AJ22" s="60">
        <f t="shared" ref="AJ22:BO22" si="83">AJ18*AJ21</f>
        <v>188843.67493643943</v>
      </c>
      <c r="AK22" s="60">
        <f t="shared" si="83"/>
        <v>201382.75649372776</v>
      </c>
      <c r="AL22" s="60">
        <f t="shared" si="83"/>
        <v>214263.37593746063</v>
      </c>
      <c r="AM22" s="60">
        <f t="shared" si="83"/>
        <v>227467.01727306799</v>
      </c>
      <c r="AN22" s="60">
        <f t="shared" si="83"/>
        <v>240974.98548705236</v>
      </c>
      <c r="AO22" s="60">
        <f t="shared" si="83"/>
        <v>254031.60330606494</v>
      </c>
      <c r="AP22" s="372">
        <f t="shared" si="83"/>
        <v>254031.60330606494</v>
      </c>
      <c r="AQ22" s="60">
        <f t="shared" si="83"/>
        <v>260386.78803222789</v>
      </c>
      <c r="AR22" s="60">
        <f t="shared" si="83"/>
        <v>268490.0162984262</v>
      </c>
      <c r="AS22" s="60">
        <f t="shared" si="83"/>
        <v>277028.51795299392</v>
      </c>
      <c r="AT22" s="60">
        <f t="shared" si="83"/>
        <v>285985.26666320325</v>
      </c>
      <c r="AU22" s="60">
        <f t="shared" si="83"/>
        <v>295342.94073923124</v>
      </c>
      <c r="AV22" s="60">
        <f t="shared" si="83"/>
        <v>305083.96353700245</v>
      </c>
      <c r="AW22" s="60">
        <f t="shared" si="83"/>
        <v>315190.54371056252</v>
      </c>
      <c r="AX22" s="60">
        <f t="shared" si="83"/>
        <v>325644.7151961585</v>
      </c>
      <c r="AY22" s="60">
        <f t="shared" si="83"/>
        <v>336428.37681344</v>
      </c>
      <c r="AZ22" s="60">
        <f t="shared" si="83"/>
        <v>347523.33137282677</v>
      </c>
      <c r="BA22" s="60">
        <f t="shared" si="83"/>
        <v>358911.32418209105</v>
      </c>
      <c r="BB22" s="60">
        <f t="shared" si="83"/>
        <v>369748.23445485416</v>
      </c>
      <c r="BC22" s="372">
        <f t="shared" si="83"/>
        <v>369748.23445485416</v>
      </c>
      <c r="BD22" s="60">
        <f t="shared" si="83"/>
        <v>372815.41598324623</v>
      </c>
      <c r="BE22" s="60">
        <f t="shared" si="83"/>
        <v>378295.47184317745</v>
      </c>
      <c r="BF22" s="60">
        <f t="shared" si="83"/>
        <v>384273.85894822527</v>
      </c>
      <c r="BG22" s="60">
        <f t="shared" si="83"/>
        <v>390731.89146453422</v>
      </c>
      <c r="BH22" s="60">
        <f t="shared" si="83"/>
        <v>397650.64057889511</v>
      </c>
      <c r="BI22" s="60">
        <f t="shared" si="83"/>
        <v>405010.97855234519</v>
      </c>
      <c r="BJ22" s="60">
        <f t="shared" si="83"/>
        <v>412793.62214771565</v>
      </c>
      <c r="BK22" s="60">
        <f t="shared" si="83"/>
        <v>420979.17531680822</v>
      </c>
      <c r="BL22" s="60">
        <f t="shared" si="83"/>
        <v>429548.17103838973</v>
      </c>
      <c r="BM22" s="60">
        <f t="shared" si="83"/>
        <v>438481.11220399255</v>
      </c>
      <c r="BN22" s="60">
        <f t="shared" si="83"/>
        <v>447758.51145457453</v>
      </c>
      <c r="BO22" s="60">
        <f t="shared" si="83"/>
        <v>456421.92293063254</v>
      </c>
      <c r="BP22" s="372">
        <f t="shared" ref="BP22" si="84">BP18*BP21</f>
        <v>456421.92293063254</v>
      </c>
      <c r="CF22" s="60" t="s">
        <v>1197</v>
      </c>
      <c r="CG22" s="13" t="s">
        <v>394</v>
      </c>
    </row>
    <row r="23" spans="1:85" s="365" customFormat="1">
      <c r="A23" s="370" t="s">
        <v>622</v>
      </c>
      <c r="B23" s="454" t="s">
        <v>231</v>
      </c>
      <c r="C23" s="369">
        <f>'packages (indiv)'!C103</f>
        <v>0</v>
      </c>
      <c r="D23" s="369">
        <f>'packages (indiv)'!D103</f>
        <v>8.3333333333333332E-3</v>
      </c>
      <c r="E23" s="369">
        <f>'packages (indiv)'!E103</f>
        <v>1.6666666666666666E-2</v>
      </c>
      <c r="F23" s="369">
        <f>'packages (indiv)'!F103</f>
        <v>2.5000000000000001E-2</v>
      </c>
      <c r="G23" s="369">
        <f>'packages (indiv)'!G103</f>
        <v>3.3333333333333333E-2</v>
      </c>
      <c r="H23" s="369">
        <f>'packages (indiv)'!H103</f>
        <v>4.1666666666666664E-2</v>
      </c>
      <c r="I23" s="369">
        <f>'packages (indiv)'!I103</f>
        <v>4.9999999999999996E-2</v>
      </c>
      <c r="J23" s="369">
        <f>'packages (indiv)'!J103</f>
        <v>5.8333333333333327E-2</v>
      </c>
      <c r="K23" s="369">
        <f>'packages (indiv)'!K103</f>
        <v>6.6666666666666666E-2</v>
      </c>
      <c r="L23" s="369">
        <f>'packages (indiv)'!L103</f>
        <v>7.4999999999999997E-2</v>
      </c>
      <c r="M23" s="369">
        <f>'packages (indiv)'!M103</f>
        <v>8.3333333333333329E-2</v>
      </c>
      <c r="N23" s="369">
        <f>'packages (indiv)'!N103</f>
        <v>9.166666666666666E-2</v>
      </c>
      <c r="O23" s="369">
        <f>'packages (indiv)'!O103</f>
        <v>9.9999999999999992E-2</v>
      </c>
      <c r="P23" s="368">
        <f>'packages (indiv)'!P103</f>
        <v>0.1</v>
      </c>
      <c r="Q23" s="369">
        <f>'packages (indiv)'!Q103</f>
        <v>0.10250000000000001</v>
      </c>
      <c r="R23" s="369">
        <f>'packages (indiv)'!R103</f>
        <v>0.10500000000000001</v>
      </c>
      <c r="S23" s="369">
        <f>'packages (indiv)'!S103</f>
        <v>0.10750000000000001</v>
      </c>
      <c r="T23" s="369">
        <f>'packages (indiv)'!T103</f>
        <v>0.11000000000000001</v>
      </c>
      <c r="U23" s="369">
        <f>'packages (indiv)'!U103</f>
        <v>0.11250000000000002</v>
      </c>
      <c r="V23" s="369">
        <f>'packages (indiv)'!V103</f>
        <v>0.11500000000000002</v>
      </c>
      <c r="W23" s="369">
        <f>'packages (indiv)'!W103</f>
        <v>0.11750000000000002</v>
      </c>
      <c r="X23" s="369">
        <f>'packages (indiv)'!X103</f>
        <v>0.12000000000000002</v>
      </c>
      <c r="Y23" s="369">
        <f>'packages (indiv)'!Y103</f>
        <v>0.12250000000000003</v>
      </c>
      <c r="Z23" s="369">
        <f>'packages (indiv)'!Z103</f>
        <v>0.12500000000000003</v>
      </c>
      <c r="AA23" s="369">
        <f>'packages (indiv)'!AA103</f>
        <v>0.12750000000000003</v>
      </c>
      <c r="AB23" s="369">
        <f>'packages (indiv)'!AB103</f>
        <v>0.13000000000000003</v>
      </c>
      <c r="AC23" s="368">
        <f>'packages (indiv)'!AC103</f>
        <v>0.13</v>
      </c>
      <c r="AD23" s="369">
        <f>'packages (indiv)'!AD103</f>
        <v>0.13250000000000001</v>
      </c>
      <c r="AE23" s="369">
        <f>'packages (indiv)'!AE103</f>
        <v>0.13500000000000001</v>
      </c>
      <c r="AF23" s="369">
        <f>'packages (indiv)'!AF103</f>
        <v>0.13750000000000001</v>
      </c>
      <c r="AG23" s="369">
        <f>'packages (indiv)'!AG103</f>
        <v>0.14000000000000001</v>
      </c>
      <c r="AH23" s="369">
        <f>'packages (indiv)'!AH103</f>
        <v>0.14250000000000002</v>
      </c>
      <c r="AI23" s="369">
        <f>'packages (indiv)'!AI103</f>
        <v>0.14500000000000002</v>
      </c>
      <c r="AJ23" s="369">
        <f>'packages (indiv)'!AJ103</f>
        <v>0.14750000000000002</v>
      </c>
      <c r="AK23" s="369">
        <f>'packages (indiv)'!AK103</f>
        <v>0.15000000000000002</v>
      </c>
      <c r="AL23" s="369">
        <f>'packages (indiv)'!AL103</f>
        <v>0.15250000000000002</v>
      </c>
      <c r="AM23" s="369">
        <f>'packages (indiv)'!AM103</f>
        <v>0.15500000000000003</v>
      </c>
      <c r="AN23" s="369">
        <f>'packages (indiv)'!AN103</f>
        <v>0.15750000000000003</v>
      </c>
      <c r="AO23" s="369">
        <f>'packages (indiv)'!AO103</f>
        <v>0.16000000000000003</v>
      </c>
      <c r="AP23" s="368">
        <f>'packages (indiv)'!AP103</f>
        <v>0.16</v>
      </c>
      <c r="AQ23" s="369">
        <f>'packages (indiv)'!AQ103</f>
        <v>0.16250000000000001</v>
      </c>
      <c r="AR23" s="369">
        <f>'packages (indiv)'!AR103</f>
        <v>0.16500000000000001</v>
      </c>
      <c r="AS23" s="369">
        <f>'packages (indiv)'!AS103</f>
        <v>0.16750000000000001</v>
      </c>
      <c r="AT23" s="369">
        <f>'packages (indiv)'!AT103</f>
        <v>0.17</v>
      </c>
      <c r="AU23" s="369">
        <f>'packages (indiv)'!AU103</f>
        <v>0.17250000000000001</v>
      </c>
      <c r="AV23" s="369">
        <f>'packages (indiv)'!AV103</f>
        <v>0.17500000000000002</v>
      </c>
      <c r="AW23" s="369">
        <f>'packages (indiv)'!AW103</f>
        <v>0.17750000000000002</v>
      </c>
      <c r="AX23" s="369">
        <f>'packages (indiv)'!AX103</f>
        <v>0.18000000000000002</v>
      </c>
      <c r="AY23" s="369">
        <f>'packages (indiv)'!AY103</f>
        <v>0.18250000000000002</v>
      </c>
      <c r="AZ23" s="369">
        <f>'packages (indiv)'!AZ103</f>
        <v>0.18500000000000003</v>
      </c>
      <c r="BA23" s="369">
        <f>'packages (indiv)'!BA103</f>
        <v>0.18750000000000003</v>
      </c>
      <c r="BB23" s="369">
        <f>'packages (indiv)'!BB103</f>
        <v>0.19000000000000003</v>
      </c>
      <c r="BC23" s="368">
        <f>'packages (indiv)'!BC103</f>
        <v>0.19</v>
      </c>
      <c r="BD23" s="369">
        <f>'packages (indiv)'!BD103</f>
        <v>0.1925</v>
      </c>
      <c r="BE23" s="369">
        <f>'packages (indiv)'!BE103</f>
        <v>0.19500000000000001</v>
      </c>
      <c r="BF23" s="369">
        <f>'packages (indiv)'!BF103</f>
        <v>0.19750000000000001</v>
      </c>
      <c r="BG23" s="369">
        <f>'packages (indiv)'!BG103</f>
        <v>0.2</v>
      </c>
      <c r="BH23" s="369">
        <f>'packages (indiv)'!BH103</f>
        <v>0.20250000000000001</v>
      </c>
      <c r="BI23" s="369">
        <f>'packages (indiv)'!BI103</f>
        <v>0.20500000000000002</v>
      </c>
      <c r="BJ23" s="369">
        <f>'packages (indiv)'!BJ103</f>
        <v>0.20750000000000002</v>
      </c>
      <c r="BK23" s="369">
        <f>'packages (indiv)'!BK103</f>
        <v>0.21000000000000002</v>
      </c>
      <c r="BL23" s="369">
        <f>'packages (indiv)'!BL103</f>
        <v>0.21250000000000002</v>
      </c>
      <c r="BM23" s="369">
        <f>'packages (indiv)'!BM103</f>
        <v>0.21500000000000002</v>
      </c>
      <c r="BN23" s="369">
        <f>'packages (indiv)'!BN103</f>
        <v>0.21750000000000003</v>
      </c>
      <c r="BO23" s="369">
        <f>'packages (indiv)'!BO103</f>
        <v>0.22000000000000003</v>
      </c>
      <c r="BP23" s="368">
        <f>'packages (indiv)'!BP103</f>
        <v>0.22</v>
      </c>
      <c r="CF23" s="370" t="s">
        <v>1000</v>
      </c>
      <c r="CG23" s="454" t="s">
        <v>231</v>
      </c>
    </row>
    <row r="24" spans="1:85" s="365" customFormat="1">
      <c r="A24" s="370" t="s">
        <v>621</v>
      </c>
      <c r="B24" s="454" t="s">
        <v>231</v>
      </c>
      <c r="C24" s="369">
        <f>'packages (indiv)'!C104</f>
        <v>1</v>
      </c>
      <c r="D24" s="369">
        <f>'packages (indiv)'!D104</f>
        <v>0.9916666666666667</v>
      </c>
      <c r="E24" s="369">
        <f>'packages (indiv)'!E104</f>
        <v>0.98333333333333328</v>
      </c>
      <c r="F24" s="369">
        <f>'packages (indiv)'!F104</f>
        <v>0.97499999999999998</v>
      </c>
      <c r="G24" s="369">
        <f>'packages (indiv)'!G104</f>
        <v>0.96666666666666667</v>
      </c>
      <c r="H24" s="369">
        <f>'packages (indiv)'!H104</f>
        <v>0.95833333333333337</v>
      </c>
      <c r="I24" s="369">
        <f>'packages (indiv)'!I104</f>
        <v>0.95</v>
      </c>
      <c r="J24" s="369">
        <f>'packages (indiv)'!J104</f>
        <v>0.94166666666666665</v>
      </c>
      <c r="K24" s="369">
        <f>'packages (indiv)'!K104</f>
        <v>0.93333333333333335</v>
      </c>
      <c r="L24" s="369">
        <f>'packages (indiv)'!L104</f>
        <v>0.92500000000000004</v>
      </c>
      <c r="M24" s="369">
        <f>'packages (indiv)'!M104</f>
        <v>0.91666666666666663</v>
      </c>
      <c r="N24" s="369">
        <f>'packages (indiv)'!N104</f>
        <v>0.90833333333333333</v>
      </c>
      <c r="O24" s="369">
        <f>'packages (indiv)'!O104</f>
        <v>0.9</v>
      </c>
      <c r="P24" s="368">
        <f>'packages (indiv)'!P104</f>
        <v>0.9</v>
      </c>
      <c r="Q24" s="369">
        <f>'packages (indiv)'!Q104</f>
        <v>0.89749999999999996</v>
      </c>
      <c r="R24" s="369">
        <f>'packages (indiv)'!R104</f>
        <v>0.89500000000000002</v>
      </c>
      <c r="S24" s="369">
        <f>'packages (indiv)'!S104</f>
        <v>0.89249999999999996</v>
      </c>
      <c r="T24" s="369">
        <f>'packages (indiv)'!T104</f>
        <v>0.89</v>
      </c>
      <c r="U24" s="369">
        <f>'packages (indiv)'!U104</f>
        <v>0.88749999999999996</v>
      </c>
      <c r="V24" s="369">
        <f>'packages (indiv)'!V104</f>
        <v>0.88500000000000001</v>
      </c>
      <c r="W24" s="369">
        <f>'packages (indiv)'!W104</f>
        <v>0.88249999999999995</v>
      </c>
      <c r="X24" s="369">
        <f>'packages (indiv)'!X104</f>
        <v>0.88</v>
      </c>
      <c r="Y24" s="369">
        <f>'packages (indiv)'!Y104</f>
        <v>0.87749999999999995</v>
      </c>
      <c r="Z24" s="369">
        <f>'packages (indiv)'!Z104</f>
        <v>0.875</v>
      </c>
      <c r="AA24" s="369">
        <f>'packages (indiv)'!AA104</f>
        <v>0.87249999999999994</v>
      </c>
      <c r="AB24" s="369">
        <f>'packages (indiv)'!AB104</f>
        <v>0.87</v>
      </c>
      <c r="AC24" s="368">
        <f>'packages (indiv)'!AC104</f>
        <v>0.87</v>
      </c>
      <c r="AD24" s="369">
        <f>'packages (indiv)'!AD104</f>
        <v>0.86749999999999994</v>
      </c>
      <c r="AE24" s="369">
        <f>'packages (indiv)'!AE104</f>
        <v>0.86499999999999999</v>
      </c>
      <c r="AF24" s="369">
        <f>'packages (indiv)'!AF104</f>
        <v>0.86250000000000004</v>
      </c>
      <c r="AG24" s="369">
        <f>'packages (indiv)'!AG104</f>
        <v>0.86</v>
      </c>
      <c r="AH24" s="369">
        <f>'packages (indiv)'!AH104</f>
        <v>0.85749999999999993</v>
      </c>
      <c r="AI24" s="369">
        <f>'packages (indiv)'!AI104</f>
        <v>0.85499999999999998</v>
      </c>
      <c r="AJ24" s="369">
        <f>'packages (indiv)'!AJ104</f>
        <v>0.85250000000000004</v>
      </c>
      <c r="AK24" s="369">
        <f>'packages (indiv)'!AK104</f>
        <v>0.85</v>
      </c>
      <c r="AL24" s="369">
        <f>'packages (indiv)'!AL104</f>
        <v>0.84749999999999992</v>
      </c>
      <c r="AM24" s="369">
        <f>'packages (indiv)'!AM104</f>
        <v>0.84499999999999997</v>
      </c>
      <c r="AN24" s="369">
        <f>'packages (indiv)'!AN104</f>
        <v>0.84250000000000003</v>
      </c>
      <c r="AO24" s="369">
        <f>'packages (indiv)'!AO104</f>
        <v>0.84</v>
      </c>
      <c r="AP24" s="368">
        <f>'packages (indiv)'!AP104</f>
        <v>0.84</v>
      </c>
      <c r="AQ24" s="369">
        <f>'packages (indiv)'!AQ104</f>
        <v>0.83750000000000002</v>
      </c>
      <c r="AR24" s="369">
        <f>'packages (indiv)'!AR104</f>
        <v>0.83499999999999996</v>
      </c>
      <c r="AS24" s="369">
        <f>'packages (indiv)'!AS104</f>
        <v>0.83250000000000002</v>
      </c>
      <c r="AT24" s="369">
        <f>'packages (indiv)'!AT104</f>
        <v>0.83</v>
      </c>
      <c r="AU24" s="369">
        <f>'packages (indiv)'!AU104</f>
        <v>0.82750000000000001</v>
      </c>
      <c r="AV24" s="369">
        <f>'packages (indiv)'!AV104</f>
        <v>0.82499999999999996</v>
      </c>
      <c r="AW24" s="369">
        <f>'packages (indiv)'!AW104</f>
        <v>0.82250000000000001</v>
      </c>
      <c r="AX24" s="369">
        <f>'packages (indiv)'!AX104</f>
        <v>0.82</v>
      </c>
      <c r="AY24" s="369">
        <f>'packages (indiv)'!AY104</f>
        <v>0.8175</v>
      </c>
      <c r="AZ24" s="369">
        <f>'packages (indiv)'!AZ104</f>
        <v>0.81499999999999995</v>
      </c>
      <c r="BA24" s="369">
        <f>'packages (indiv)'!BA104</f>
        <v>0.8125</v>
      </c>
      <c r="BB24" s="369">
        <f>'packages (indiv)'!BB104</f>
        <v>0.80999999999999994</v>
      </c>
      <c r="BC24" s="368">
        <f>'packages (indiv)'!BC104</f>
        <v>0.81</v>
      </c>
      <c r="BD24" s="369">
        <f>'packages (indiv)'!BD104</f>
        <v>0.8075</v>
      </c>
      <c r="BE24" s="369">
        <f>'packages (indiv)'!BE104</f>
        <v>0.80499999999999994</v>
      </c>
      <c r="BF24" s="369">
        <f>'packages (indiv)'!BF104</f>
        <v>0.80249999999999999</v>
      </c>
      <c r="BG24" s="369">
        <f>'packages (indiv)'!BG104</f>
        <v>0.8</v>
      </c>
      <c r="BH24" s="369">
        <f>'packages (indiv)'!BH104</f>
        <v>0.79749999999999999</v>
      </c>
      <c r="BI24" s="369">
        <f>'packages (indiv)'!BI104</f>
        <v>0.79499999999999993</v>
      </c>
      <c r="BJ24" s="369">
        <f>'packages (indiv)'!BJ104</f>
        <v>0.79249999999999998</v>
      </c>
      <c r="BK24" s="369">
        <f>'packages (indiv)'!BK104</f>
        <v>0.79</v>
      </c>
      <c r="BL24" s="369">
        <f>'packages (indiv)'!BL104</f>
        <v>0.78749999999999998</v>
      </c>
      <c r="BM24" s="369">
        <f>'packages (indiv)'!BM104</f>
        <v>0.78499999999999992</v>
      </c>
      <c r="BN24" s="369">
        <f>'packages (indiv)'!BN104</f>
        <v>0.78249999999999997</v>
      </c>
      <c r="BO24" s="369">
        <f>'packages (indiv)'!BO104</f>
        <v>0.78</v>
      </c>
      <c r="BP24" s="368">
        <f>'packages (indiv)'!BP104</f>
        <v>0.78</v>
      </c>
      <c r="CF24" s="370" t="s">
        <v>1001</v>
      </c>
      <c r="CG24" s="454" t="s">
        <v>231</v>
      </c>
    </row>
    <row r="25" spans="1:85" s="365" customFormat="1">
      <c r="A25" s="367" t="s">
        <v>138</v>
      </c>
      <c r="B25" s="454" t="s">
        <v>231</v>
      </c>
      <c r="C25" s="369">
        <f>'packages (indiv)'!C105</f>
        <v>0.10000000000000009</v>
      </c>
      <c r="D25" s="369">
        <f>'packages (indiv)'!D105</f>
        <v>0.10000000000000009</v>
      </c>
      <c r="E25" s="369">
        <f>'packages (indiv)'!E105</f>
        <v>0.10000000000000009</v>
      </c>
      <c r="F25" s="369">
        <f>'packages (indiv)'!F105</f>
        <v>0.10000000000000009</v>
      </c>
      <c r="G25" s="369">
        <f>'packages (indiv)'!G105</f>
        <v>0.10000000000000009</v>
      </c>
      <c r="H25" s="369">
        <f>'packages (indiv)'!H105</f>
        <v>0.10000000000000009</v>
      </c>
      <c r="I25" s="369">
        <f>'packages (indiv)'!I105</f>
        <v>0.10000000000000009</v>
      </c>
      <c r="J25" s="369">
        <f>'packages (indiv)'!J105</f>
        <v>0.10000000000000009</v>
      </c>
      <c r="K25" s="369">
        <f>'packages (indiv)'!K105</f>
        <v>0.10000000000000009</v>
      </c>
      <c r="L25" s="369">
        <f>'packages (indiv)'!L105</f>
        <v>0.10000000000000009</v>
      </c>
      <c r="M25" s="369">
        <f>'packages (indiv)'!M105</f>
        <v>0.10000000000000009</v>
      </c>
      <c r="N25" s="369">
        <f>'packages (indiv)'!N105</f>
        <v>0.10000000000000009</v>
      </c>
      <c r="O25" s="369">
        <f>'packages (indiv)'!O105</f>
        <v>0.10000000000000009</v>
      </c>
      <c r="P25" s="368">
        <f>'packages (indiv)'!P105</f>
        <v>0.10000000000000009</v>
      </c>
      <c r="Q25" s="369">
        <f>'packages (indiv)'!Q105</f>
        <v>0.10000000000000009</v>
      </c>
      <c r="R25" s="369">
        <f>'packages (indiv)'!R105</f>
        <v>0.10000000000000009</v>
      </c>
      <c r="S25" s="369">
        <f>'packages (indiv)'!S105</f>
        <v>0.10000000000000009</v>
      </c>
      <c r="T25" s="369">
        <f>'packages (indiv)'!T105</f>
        <v>0.10000000000000009</v>
      </c>
      <c r="U25" s="369">
        <f>'packages (indiv)'!U105</f>
        <v>0.10000000000000009</v>
      </c>
      <c r="V25" s="369">
        <f>'packages (indiv)'!V105</f>
        <v>0.10000000000000009</v>
      </c>
      <c r="W25" s="369">
        <f>'packages (indiv)'!W105</f>
        <v>0.10000000000000009</v>
      </c>
      <c r="X25" s="369">
        <f>'packages (indiv)'!X105</f>
        <v>0.10000000000000009</v>
      </c>
      <c r="Y25" s="369">
        <f>'packages (indiv)'!Y105</f>
        <v>0.10000000000000009</v>
      </c>
      <c r="Z25" s="369">
        <f>'packages (indiv)'!Z105</f>
        <v>0.10000000000000009</v>
      </c>
      <c r="AA25" s="369">
        <f>'packages (indiv)'!AA105</f>
        <v>0.10000000000000009</v>
      </c>
      <c r="AB25" s="369">
        <f>'packages (indiv)'!AB105</f>
        <v>0.10000000000000009</v>
      </c>
      <c r="AC25" s="368">
        <f>'packages (indiv)'!AC105</f>
        <v>0.10000000000000009</v>
      </c>
      <c r="AD25" s="369">
        <f>'packages (indiv)'!AD105</f>
        <v>0.10000000000000009</v>
      </c>
      <c r="AE25" s="369">
        <f>'packages (indiv)'!AE105</f>
        <v>0.10000000000000009</v>
      </c>
      <c r="AF25" s="369">
        <f>'packages (indiv)'!AF105</f>
        <v>0.10000000000000009</v>
      </c>
      <c r="AG25" s="369">
        <f>'packages (indiv)'!AG105</f>
        <v>0.10000000000000009</v>
      </c>
      <c r="AH25" s="369">
        <f>'packages (indiv)'!AH105</f>
        <v>0.10000000000000009</v>
      </c>
      <c r="AI25" s="369">
        <f>'packages (indiv)'!AI105</f>
        <v>0.10000000000000009</v>
      </c>
      <c r="AJ25" s="369">
        <f>'packages (indiv)'!AJ105</f>
        <v>0.10000000000000009</v>
      </c>
      <c r="AK25" s="369">
        <f>'packages (indiv)'!AK105</f>
        <v>0.10000000000000009</v>
      </c>
      <c r="AL25" s="369">
        <f>'packages (indiv)'!AL105</f>
        <v>0.10000000000000009</v>
      </c>
      <c r="AM25" s="369">
        <f>'packages (indiv)'!AM105</f>
        <v>0.10000000000000009</v>
      </c>
      <c r="AN25" s="369">
        <f>'packages (indiv)'!AN105</f>
        <v>0.10000000000000009</v>
      </c>
      <c r="AO25" s="369">
        <f>'packages (indiv)'!AO105</f>
        <v>0.10000000000000009</v>
      </c>
      <c r="AP25" s="368">
        <f>'packages (indiv)'!AP105</f>
        <v>0.10000000000000009</v>
      </c>
      <c r="AQ25" s="369">
        <f>'packages (indiv)'!AQ105</f>
        <v>0.10000000000000009</v>
      </c>
      <c r="AR25" s="369">
        <f>'packages (indiv)'!AR105</f>
        <v>0.10000000000000009</v>
      </c>
      <c r="AS25" s="369">
        <f>'packages (indiv)'!AS105</f>
        <v>0.10000000000000009</v>
      </c>
      <c r="AT25" s="369">
        <f>'packages (indiv)'!AT105</f>
        <v>0.10000000000000009</v>
      </c>
      <c r="AU25" s="369">
        <f>'packages (indiv)'!AU105</f>
        <v>0.10000000000000009</v>
      </c>
      <c r="AV25" s="369">
        <f>'packages (indiv)'!AV105</f>
        <v>0.10000000000000009</v>
      </c>
      <c r="AW25" s="369">
        <f>'packages (indiv)'!AW105</f>
        <v>0.10000000000000009</v>
      </c>
      <c r="AX25" s="369">
        <f>'packages (indiv)'!AX105</f>
        <v>0.10000000000000009</v>
      </c>
      <c r="AY25" s="369">
        <f>'packages (indiv)'!AY105</f>
        <v>0.10000000000000009</v>
      </c>
      <c r="AZ25" s="369">
        <f>'packages (indiv)'!AZ105</f>
        <v>0.10000000000000009</v>
      </c>
      <c r="BA25" s="369">
        <f>'packages (indiv)'!BA105</f>
        <v>0.10000000000000009</v>
      </c>
      <c r="BB25" s="369">
        <f>'packages (indiv)'!BB105</f>
        <v>0.10000000000000009</v>
      </c>
      <c r="BC25" s="368">
        <f>'packages (indiv)'!BC105</f>
        <v>0.10000000000000009</v>
      </c>
      <c r="BD25" s="369">
        <f>'packages (indiv)'!BD105</f>
        <v>0.10000000000000009</v>
      </c>
      <c r="BE25" s="369">
        <f>'packages (indiv)'!BE105</f>
        <v>0.10000000000000009</v>
      </c>
      <c r="BF25" s="369">
        <f>'packages (indiv)'!BF105</f>
        <v>0.10000000000000009</v>
      </c>
      <c r="BG25" s="369">
        <f>'packages (indiv)'!BG105</f>
        <v>0.10000000000000009</v>
      </c>
      <c r="BH25" s="369">
        <f>'packages (indiv)'!BH105</f>
        <v>0.10000000000000009</v>
      </c>
      <c r="BI25" s="369">
        <f>'packages (indiv)'!BI105</f>
        <v>0.10000000000000009</v>
      </c>
      <c r="BJ25" s="369">
        <f>'packages (indiv)'!BJ105</f>
        <v>0.10000000000000009</v>
      </c>
      <c r="BK25" s="369">
        <f>'packages (indiv)'!BK105</f>
        <v>0.10000000000000009</v>
      </c>
      <c r="BL25" s="369">
        <f>'packages (indiv)'!BL105</f>
        <v>0.10000000000000009</v>
      </c>
      <c r="BM25" s="369">
        <f>'packages (indiv)'!BM105</f>
        <v>0.10000000000000009</v>
      </c>
      <c r="BN25" s="369">
        <f>'packages (indiv)'!BN105</f>
        <v>0.10000000000000009</v>
      </c>
      <c r="BO25" s="369">
        <f>'packages (indiv)'!BO105</f>
        <v>0.10000000000000009</v>
      </c>
      <c r="BP25" s="368">
        <f>'packages (indiv)'!BP105</f>
        <v>0.10000000000000009</v>
      </c>
      <c r="CF25" s="367" t="s">
        <v>1002</v>
      </c>
      <c r="CG25" s="454" t="s">
        <v>231</v>
      </c>
    </row>
    <row r="26" spans="1:85" s="365" customFormat="1">
      <c r="A26" s="367" t="s">
        <v>142</v>
      </c>
      <c r="B26" s="454" t="s">
        <v>231</v>
      </c>
      <c r="C26" s="369">
        <f>'packages (indiv)'!C106</f>
        <v>0.2</v>
      </c>
      <c r="D26" s="369">
        <f>'packages (indiv)'!D106</f>
        <v>0.2</v>
      </c>
      <c r="E26" s="369">
        <f>'packages (indiv)'!E106</f>
        <v>0.2</v>
      </c>
      <c r="F26" s="369">
        <f>'packages (indiv)'!F106</f>
        <v>0.2</v>
      </c>
      <c r="G26" s="369">
        <f>'packages (indiv)'!G106</f>
        <v>0.2</v>
      </c>
      <c r="H26" s="369">
        <f>'packages (indiv)'!H106</f>
        <v>0.2</v>
      </c>
      <c r="I26" s="369">
        <f>'packages (indiv)'!I106</f>
        <v>0.2</v>
      </c>
      <c r="J26" s="369">
        <f>'packages (indiv)'!J106</f>
        <v>0.2</v>
      </c>
      <c r="K26" s="369">
        <f>'packages (indiv)'!K106</f>
        <v>0.2</v>
      </c>
      <c r="L26" s="369">
        <f>'packages (indiv)'!L106</f>
        <v>0.2</v>
      </c>
      <c r="M26" s="369">
        <f>'packages (indiv)'!M106</f>
        <v>0.2</v>
      </c>
      <c r="N26" s="369">
        <f>'packages (indiv)'!N106</f>
        <v>0.2</v>
      </c>
      <c r="O26" s="369">
        <f>'packages (indiv)'!O106</f>
        <v>0.2</v>
      </c>
      <c r="P26" s="368">
        <f>'packages (indiv)'!P106</f>
        <v>0.2</v>
      </c>
      <c r="Q26" s="369">
        <f>'packages (indiv)'!Q106</f>
        <v>0.2</v>
      </c>
      <c r="R26" s="369">
        <f>'packages (indiv)'!R106</f>
        <v>0.2</v>
      </c>
      <c r="S26" s="369">
        <f>'packages (indiv)'!S106</f>
        <v>0.2</v>
      </c>
      <c r="T26" s="369">
        <f>'packages (indiv)'!T106</f>
        <v>0.2</v>
      </c>
      <c r="U26" s="369">
        <f>'packages (indiv)'!U106</f>
        <v>0.2</v>
      </c>
      <c r="V26" s="369">
        <f>'packages (indiv)'!V106</f>
        <v>0.2</v>
      </c>
      <c r="W26" s="369">
        <f>'packages (indiv)'!W106</f>
        <v>0.2</v>
      </c>
      <c r="X26" s="369">
        <f>'packages (indiv)'!X106</f>
        <v>0.2</v>
      </c>
      <c r="Y26" s="369">
        <f>'packages (indiv)'!Y106</f>
        <v>0.2</v>
      </c>
      <c r="Z26" s="369">
        <f>'packages (indiv)'!Z106</f>
        <v>0.2</v>
      </c>
      <c r="AA26" s="369">
        <f>'packages (indiv)'!AA106</f>
        <v>0.2</v>
      </c>
      <c r="AB26" s="369">
        <f>'packages (indiv)'!AB106</f>
        <v>0.2</v>
      </c>
      <c r="AC26" s="368">
        <f>'packages (indiv)'!AC106</f>
        <v>0.2</v>
      </c>
      <c r="AD26" s="369">
        <f>'packages (indiv)'!AD106</f>
        <v>0.2</v>
      </c>
      <c r="AE26" s="369">
        <f>'packages (indiv)'!AE106</f>
        <v>0.2</v>
      </c>
      <c r="AF26" s="369">
        <f>'packages (indiv)'!AF106</f>
        <v>0.2</v>
      </c>
      <c r="AG26" s="369">
        <f>'packages (indiv)'!AG106</f>
        <v>0.2</v>
      </c>
      <c r="AH26" s="369">
        <f>'packages (indiv)'!AH106</f>
        <v>0.2</v>
      </c>
      <c r="AI26" s="369">
        <f>'packages (indiv)'!AI106</f>
        <v>0.2</v>
      </c>
      <c r="AJ26" s="369">
        <f>'packages (indiv)'!AJ106</f>
        <v>0.2</v>
      </c>
      <c r="AK26" s="369">
        <f>'packages (indiv)'!AK106</f>
        <v>0.2</v>
      </c>
      <c r="AL26" s="369">
        <f>'packages (indiv)'!AL106</f>
        <v>0.2</v>
      </c>
      <c r="AM26" s="369">
        <f>'packages (indiv)'!AM106</f>
        <v>0.2</v>
      </c>
      <c r="AN26" s="369">
        <f>'packages (indiv)'!AN106</f>
        <v>0.2</v>
      </c>
      <c r="AO26" s="369">
        <f>'packages (indiv)'!AO106</f>
        <v>0.2</v>
      </c>
      <c r="AP26" s="368">
        <f>'packages (indiv)'!AP106</f>
        <v>0.2</v>
      </c>
      <c r="AQ26" s="369">
        <f>'packages (indiv)'!AQ106</f>
        <v>0.2</v>
      </c>
      <c r="AR26" s="369">
        <f>'packages (indiv)'!AR106</f>
        <v>0.2</v>
      </c>
      <c r="AS26" s="369">
        <f>'packages (indiv)'!AS106</f>
        <v>0.2</v>
      </c>
      <c r="AT26" s="369">
        <f>'packages (indiv)'!AT106</f>
        <v>0.2</v>
      </c>
      <c r="AU26" s="369">
        <f>'packages (indiv)'!AU106</f>
        <v>0.2</v>
      </c>
      <c r="AV26" s="369">
        <f>'packages (indiv)'!AV106</f>
        <v>0.2</v>
      </c>
      <c r="AW26" s="369">
        <f>'packages (indiv)'!AW106</f>
        <v>0.2</v>
      </c>
      <c r="AX26" s="369">
        <f>'packages (indiv)'!AX106</f>
        <v>0.2</v>
      </c>
      <c r="AY26" s="369">
        <f>'packages (indiv)'!AY106</f>
        <v>0.2</v>
      </c>
      <c r="AZ26" s="369">
        <f>'packages (indiv)'!AZ106</f>
        <v>0.2</v>
      </c>
      <c r="BA26" s="369">
        <f>'packages (indiv)'!BA106</f>
        <v>0.2</v>
      </c>
      <c r="BB26" s="369">
        <f>'packages (indiv)'!BB106</f>
        <v>0.2</v>
      </c>
      <c r="BC26" s="368">
        <f>'packages (indiv)'!BC106</f>
        <v>0.2</v>
      </c>
      <c r="BD26" s="369">
        <f>'packages (indiv)'!BD106</f>
        <v>0.2</v>
      </c>
      <c r="BE26" s="369">
        <f>'packages (indiv)'!BE106</f>
        <v>0.2</v>
      </c>
      <c r="BF26" s="369">
        <f>'packages (indiv)'!BF106</f>
        <v>0.2</v>
      </c>
      <c r="BG26" s="369">
        <f>'packages (indiv)'!BG106</f>
        <v>0.2</v>
      </c>
      <c r="BH26" s="369">
        <f>'packages (indiv)'!BH106</f>
        <v>0.2</v>
      </c>
      <c r="BI26" s="369">
        <f>'packages (indiv)'!BI106</f>
        <v>0.2</v>
      </c>
      <c r="BJ26" s="369">
        <f>'packages (indiv)'!BJ106</f>
        <v>0.2</v>
      </c>
      <c r="BK26" s="369">
        <f>'packages (indiv)'!BK106</f>
        <v>0.2</v>
      </c>
      <c r="BL26" s="369">
        <f>'packages (indiv)'!BL106</f>
        <v>0.2</v>
      </c>
      <c r="BM26" s="369">
        <f>'packages (indiv)'!BM106</f>
        <v>0.2</v>
      </c>
      <c r="BN26" s="369">
        <f>'packages (indiv)'!BN106</f>
        <v>0.2</v>
      </c>
      <c r="BO26" s="369">
        <f>'packages (indiv)'!BO106</f>
        <v>0.2</v>
      </c>
      <c r="BP26" s="368">
        <f>'packages (indiv)'!BP106</f>
        <v>0.2</v>
      </c>
      <c r="CF26" s="367" t="s">
        <v>1003</v>
      </c>
      <c r="CG26" s="454" t="s">
        <v>231</v>
      </c>
    </row>
    <row r="27" spans="1:85" s="365" customFormat="1">
      <c r="A27" s="367" t="s">
        <v>145</v>
      </c>
      <c r="B27" s="454" t="s">
        <v>231</v>
      </c>
      <c r="C27" s="369">
        <f>'packages (indiv)'!C107</f>
        <v>0.2</v>
      </c>
      <c r="D27" s="369">
        <f>'packages (indiv)'!D107</f>
        <v>0.2</v>
      </c>
      <c r="E27" s="369">
        <f>'packages (indiv)'!E107</f>
        <v>0.2</v>
      </c>
      <c r="F27" s="369">
        <f>'packages (indiv)'!F107</f>
        <v>0.2</v>
      </c>
      <c r="G27" s="369">
        <f>'packages (indiv)'!G107</f>
        <v>0.2</v>
      </c>
      <c r="H27" s="369">
        <f>'packages (indiv)'!H107</f>
        <v>0.2</v>
      </c>
      <c r="I27" s="369">
        <f>'packages (indiv)'!I107</f>
        <v>0.2</v>
      </c>
      <c r="J27" s="369">
        <f>'packages (indiv)'!J107</f>
        <v>0.2</v>
      </c>
      <c r="K27" s="369">
        <f>'packages (indiv)'!K107</f>
        <v>0.2</v>
      </c>
      <c r="L27" s="369">
        <f>'packages (indiv)'!L107</f>
        <v>0.2</v>
      </c>
      <c r="M27" s="369">
        <f>'packages (indiv)'!M107</f>
        <v>0.2</v>
      </c>
      <c r="N27" s="369">
        <f>'packages (indiv)'!N107</f>
        <v>0.2</v>
      </c>
      <c r="O27" s="369">
        <f>'packages (indiv)'!O107</f>
        <v>0.2</v>
      </c>
      <c r="P27" s="368">
        <f>'packages (indiv)'!P107</f>
        <v>0.2</v>
      </c>
      <c r="Q27" s="369">
        <f>'packages (indiv)'!Q107</f>
        <v>0.2</v>
      </c>
      <c r="R27" s="369">
        <f>'packages (indiv)'!R107</f>
        <v>0.2</v>
      </c>
      <c r="S27" s="369">
        <f>'packages (indiv)'!S107</f>
        <v>0.2</v>
      </c>
      <c r="T27" s="369">
        <f>'packages (indiv)'!T107</f>
        <v>0.2</v>
      </c>
      <c r="U27" s="369">
        <f>'packages (indiv)'!U107</f>
        <v>0.2</v>
      </c>
      <c r="V27" s="369">
        <f>'packages (indiv)'!V107</f>
        <v>0.2</v>
      </c>
      <c r="W27" s="369">
        <f>'packages (indiv)'!W107</f>
        <v>0.2</v>
      </c>
      <c r="X27" s="369">
        <f>'packages (indiv)'!X107</f>
        <v>0.2</v>
      </c>
      <c r="Y27" s="369">
        <f>'packages (indiv)'!Y107</f>
        <v>0.2</v>
      </c>
      <c r="Z27" s="369">
        <f>'packages (indiv)'!Z107</f>
        <v>0.2</v>
      </c>
      <c r="AA27" s="369">
        <f>'packages (indiv)'!AA107</f>
        <v>0.2</v>
      </c>
      <c r="AB27" s="369">
        <f>'packages (indiv)'!AB107</f>
        <v>0.2</v>
      </c>
      <c r="AC27" s="368">
        <f>'packages (indiv)'!AC107</f>
        <v>0.2</v>
      </c>
      <c r="AD27" s="369">
        <f>'packages (indiv)'!AD107</f>
        <v>0.2</v>
      </c>
      <c r="AE27" s="369">
        <f>'packages (indiv)'!AE107</f>
        <v>0.2</v>
      </c>
      <c r="AF27" s="369">
        <f>'packages (indiv)'!AF107</f>
        <v>0.2</v>
      </c>
      <c r="AG27" s="369">
        <f>'packages (indiv)'!AG107</f>
        <v>0.2</v>
      </c>
      <c r="AH27" s="369">
        <f>'packages (indiv)'!AH107</f>
        <v>0.2</v>
      </c>
      <c r="AI27" s="369">
        <f>'packages (indiv)'!AI107</f>
        <v>0.2</v>
      </c>
      <c r="AJ27" s="369">
        <f>'packages (indiv)'!AJ107</f>
        <v>0.2</v>
      </c>
      <c r="AK27" s="369">
        <f>'packages (indiv)'!AK107</f>
        <v>0.2</v>
      </c>
      <c r="AL27" s="369">
        <f>'packages (indiv)'!AL107</f>
        <v>0.2</v>
      </c>
      <c r="AM27" s="369">
        <f>'packages (indiv)'!AM107</f>
        <v>0.2</v>
      </c>
      <c r="AN27" s="369">
        <f>'packages (indiv)'!AN107</f>
        <v>0.2</v>
      </c>
      <c r="AO27" s="369">
        <f>'packages (indiv)'!AO107</f>
        <v>0.2</v>
      </c>
      <c r="AP27" s="368">
        <f>'packages (indiv)'!AP107</f>
        <v>0.2</v>
      </c>
      <c r="AQ27" s="369">
        <f>'packages (indiv)'!AQ107</f>
        <v>0.2</v>
      </c>
      <c r="AR27" s="369">
        <f>'packages (indiv)'!AR107</f>
        <v>0.2</v>
      </c>
      <c r="AS27" s="369">
        <f>'packages (indiv)'!AS107</f>
        <v>0.2</v>
      </c>
      <c r="AT27" s="369">
        <f>'packages (indiv)'!AT107</f>
        <v>0.2</v>
      </c>
      <c r="AU27" s="369">
        <f>'packages (indiv)'!AU107</f>
        <v>0.2</v>
      </c>
      <c r="AV27" s="369">
        <f>'packages (indiv)'!AV107</f>
        <v>0.2</v>
      </c>
      <c r="AW27" s="369">
        <f>'packages (indiv)'!AW107</f>
        <v>0.2</v>
      </c>
      <c r="AX27" s="369">
        <f>'packages (indiv)'!AX107</f>
        <v>0.2</v>
      </c>
      <c r="AY27" s="369">
        <f>'packages (indiv)'!AY107</f>
        <v>0.2</v>
      </c>
      <c r="AZ27" s="369">
        <f>'packages (indiv)'!AZ107</f>
        <v>0.2</v>
      </c>
      <c r="BA27" s="369">
        <f>'packages (indiv)'!BA107</f>
        <v>0.2</v>
      </c>
      <c r="BB27" s="369">
        <f>'packages (indiv)'!BB107</f>
        <v>0.2</v>
      </c>
      <c r="BC27" s="368">
        <f>'packages (indiv)'!BC107</f>
        <v>0.2</v>
      </c>
      <c r="BD27" s="369">
        <f>'packages (indiv)'!BD107</f>
        <v>0.2</v>
      </c>
      <c r="BE27" s="369">
        <f>'packages (indiv)'!BE107</f>
        <v>0.2</v>
      </c>
      <c r="BF27" s="369">
        <f>'packages (indiv)'!BF107</f>
        <v>0.2</v>
      </c>
      <c r="BG27" s="369">
        <f>'packages (indiv)'!BG107</f>
        <v>0.2</v>
      </c>
      <c r="BH27" s="369">
        <f>'packages (indiv)'!BH107</f>
        <v>0.2</v>
      </c>
      <c r="BI27" s="369">
        <f>'packages (indiv)'!BI107</f>
        <v>0.2</v>
      </c>
      <c r="BJ27" s="369">
        <f>'packages (indiv)'!BJ107</f>
        <v>0.2</v>
      </c>
      <c r="BK27" s="369">
        <f>'packages (indiv)'!BK107</f>
        <v>0.2</v>
      </c>
      <c r="BL27" s="369">
        <f>'packages (indiv)'!BL107</f>
        <v>0.2</v>
      </c>
      <c r="BM27" s="369">
        <f>'packages (indiv)'!BM107</f>
        <v>0.2</v>
      </c>
      <c r="BN27" s="369">
        <f>'packages (indiv)'!BN107</f>
        <v>0.2</v>
      </c>
      <c r="BO27" s="369">
        <f>'packages (indiv)'!BO107</f>
        <v>0.2</v>
      </c>
      <c r="BP27" s="368">
        <f>'packages (indiv)'!BP107</f>
        <v>0.2</v>
      </c>
      <c r="CF27" s="367" t="s">
        <v>1004</v>
      </c>
      <c r="CG27" s="454" t="s">
        <v>231</v>
      </c>
    </row>
    <row r="28" spans="1:85" s="365" customFormat="1">
      <c r="A28" s="367" t="s">
        <v>620</v>
      </c>
      <c r="B28" s="454" t="s">
        <v>231</v>
      </c>
      <c r="C28" s="369">
        <f>'packages (indiv)'!C108</f>
        <v>0.5</v>
      </c>
      <c r="D28" s="369">
        <f>'packages (indiv)'!D108</f>
        <v>0.5</v>
      </c>
      <c r="E28" s="369">
        <f>'packages (indiv)'!E108</f>
        <v>0.5</v>
      </c>
      <c r="F28" s="369">
        <f>'packages (indiv)'!F108</f>
        <v>0.5</v>
      </c>
      <c r="G28" s="369">
        <f>'packages (indiv)'!G108</f>
        <v>0.5</v>
      </c>
      <c r="H28" s="369">
        <f>'packages (indiv)'!H108</f>
        <v>0.5</v>
      </c>
      <c r="I28" s="369">
        <f>'packages (indiv)'!I108</f>
        <v>0.5</v>
      </c>
      <c r="J28" s="369">
        <f>'packages (indiv)'!J108</f>
        <v>0.5</v>
      </c>
      <c r="K28" s="369">
        <f>'packages (indiv)'!K108</f>
        <v>0.5</v>
      </c>
      <c r="L28" s="369">
        <f>'packages (indiv)'!L108</f>
        <v>0.5</v>
      </c>
      <c r="M28" s="369">
        <f>'packages (indiv)'!M108</f>
        <v>0.5</v>
      </c>
      <c r="N28" s="369">
        <f>'packages (indiv)'!N108</f>
        <v>0.5</v>
      </c>
      <c r="O28" s="369">
        <f>'packages (indiv)'!O108</f>
        <v>0.5</v>
      </c>
      <c r="P28" s="368">
        <f>'packages (indiv)'!P108</f>
        <v>0.5</v>
      </c>
      <c r="Q28" s="369">
        <f>'packages (indiv)'!Q108</f>
        <v>0.5</v>
      </c>
      <c r="R28" s="369">
        <f>'packages (indiv)'!R108</f>
        <v>0.5</v>
      </c>
      <c r="S28" s="369">
        <f>'packages (indiv)'!S108</f>
        <v>0.5</v>
      </c>
      <c r="T28" s="369">
        <f>'packages (indiv)'!T108</f>
        <v>0.5</v>
      </c>
      <c r="U28" s="369">
        <f>'packages (indiv)'!U108</f>
        <v>0.5</v>
      </c>
      <c r="V28" s="369">
        <f>'packages (indiv)'!V108</f>
        <v>0.5</v>
      </c>
      <c r="W28" s="369">
        <f>'packages (indiv)'!W108</f>
        <v>0.5</v>
      </c>
      <c r="X28" s="369">
        <f>'packages (indiv)'!X108</f>
        <v>0.5</v>
      </c>
      <c r="Y28" s="369">
        <f>'packages (indiv)'!Y108</f>
        <v>0.5</v>
      </c>
      <c r="Z28" s="369">
        <f>'packages (indiv)'!Z108</f>
        <v>0.5</v>
      </c>
      <c r="AA28" s="369">
        <f>'packages (indiv)'!AA108</f>
        <v>0.5</v>
      </c>
      <c r="AB28" s="369">
        <f>'packages (indiv)'!AB108</f>
        <v>0.5</v>
      </c>
      <c r="AC28" s="368">
        <f>'packages (indiv)'!AC108</f>
        <v>0.5</v>
      </c>
      <c r="AD28" s="369">
        <f>'packages (indiv)'!AD108</f>
        <v>0.5</v>
      </c>
      <c r="AE28" s="369">
        <f>'packages (indiv)'!AE108</f>
        <v>0.5</v>
      </c>
      <c r="AF28" s="369">
        <f>'packages (indiv)'!AF108</f>
        <v>0.5</v>
      </c>
      <c r="AG28" s="369">
        <f>'packages (indiv)'!AG108</f>
        <v>0.5</v>
      </c>
      <c r="AH28" s="369">
        <f>'packages (indiv)'!AH108</f>
        <v>0.5</v>
      </c>
      <c r="AI28" s="369">
        <f>'packages (indiv)'!AI108</f>
        <v>0.5</v>
      </c>
      <c r="AJ28" s="369">
        <f>'packages (indiv)'!AJ108</f>
        <v>0.5</v>
      </c>
      <c r="AK28" s="369">
        <f>'packages (indiv)'!AK108</f>
        <v>0.5</v>
      </c>
      <c r="AL28" s="369">
        <f>'packages (indiv)'!AL108</f>
        <v>0.5</v>
      </c>
      <c r="AM28" s="369">
        <f>'packages (indiv)'!AM108</f>
        <v>0.5</v>
      </c>
      <c r="AN28" s="369">
        <f>'packages (indiv)'!AN108</f>
        <v>0.5</v>
      </c>
      <c r="AO28" s="369">
        <f>'packages (indiv)'!AO108</f>
        <v>0.5</v>
      </c>
      <c r="AP28" s="368">
        <f>'packages (indiv)'!AP108</f>
        <v>0.5</v>
      </c>
      <c r="AQ28" s="369">
        <f>'packages (indiv)'!AQ108</f>
        <v>0.5</v>
      </c>
      <c r="AR28" s="369">
        <f>'packages (indiv)'!AR108</f>
        <v>0.5</v>
      </c>
      <c r="AS28" s="369">
        <f>'packages (indiv)'!AS108</f>
        <v>0.5</v>
      </c>
      <c r="AT28" s="369">
        <f>'packages (indiv)'!AT108</f>
        <v>0.5</v>
      </c>
      <c r="AU28" s="369">
        <f>'packages (indiv)'!AU108</f>
        <v>0.5</v>
      </c>
      <c r="AV28" s="369">
        <f>'packages (indiv)'!AV108</f>
        <v>0.5</v>
      </c>
      <c r="AW28" s="369">
        <f>'packages (indiv)'!AW108</f>
        <v>0.5</v>
      </c>
      <c r="AX28" s="369">
        <f>'packages (indiv)'!AX108</f>
        <v>0.5</v>
      </c>
      <c r="AY28" s="369">
        <f>'packages (indiv)'!AY108</f>
        <v>0.5</v>
      </c>
      <c r="AZ28" s="369">
        <f>'packages (indiv)'!AZ108</f>
        <v>0.5</v>
      </c>
      <c r="BA28" s="369">
        <f>'packages (indiv)'!BA108</f>
        <v>0.5</v>
      </c>
      <c r="BB28" s="369">
        <f>'packages (indiv)'!BB108</f>
        <v>0.5</v>
      </c>
      <c r="BC28" s="368">
        <f>'packages (indiv)'!BC108</f>
        <v>0.5</v>
      </c>
      <c r="BD28" s="369">
        <f>'packages (indiv)'!BD108</f>
        <v>0.5</v>
      </c>
      <c r="BE28" s="369">
        <f>'packages (indiv)'!BE108</f>
        <v>0.5</v>
      </c>
      <c r="BF28" s="369">
        <f>'packages (indiv)'!BF108</f>
        <v>0.5</v>
      </c>
      <c r="BG28" s="369">
        <f>'packages (indiv)'!BG108</f>
        <v>0.5</v>
      </c>
      <c r="BH28" s="369">
        <f>'packages (indiv)'!BH108</f>
        <v>0.5</v>
      </c>
      <c r="BI28" s="369">
        <f>'packages (indiv)'!BI108</f>
        <v>0.5</v>
      </c>
      <c r="BJ28" s="369">
        <f>'packages (indiv)'!BJ108</f>
        <v>0.5</v>
      </c>
      <c r="BK28" s="369">
        <f>'packages (indiv)'!BK108</f>
        <v>0.5</v>
      </c>
      <c r="BL28" s="369">
        <f>'packages (indiv)'!BL108</f>
        <v>0.5</v>
      </c>
      <c r="BM28" s="369">
        <f>'packages (indiv)'!BM108</f>
        <v>0.5</v>
      </c>
      <c r="BN28" s="369">
        <f>'packages (indiv)'!BN108</f>
        <v>0.5</v>
      </c>
      <c r="BO28" s="369">
        <f>'packages (indiv)'!BO108</f>
        <v>0.5</v>
      </c>
      <c r="BP28" s="368">
        <f>'packages (indiv)'!BP108</f>
        <v>0.5</v>
      </c>
      <c r="CF28" s="367" t="s">
        <v>1005</v>
      </c>
      <c r="CG28" s="454" t="s">
        <v>231</v>
      </c>
    </row>
    <row r="29" spans="1:85" s="3" customFormat="1" outlineLevel="1">
      <c r="A29" s="398" t="s">
        <v>723</v>
      </c>
      <c r="B29" s="12" t="s">
        <v>496</v>
      </c>
      <c r="C29" s="5"/>
      <c r="D29" s="3">
        <f t="shared" ref="D29:AI29" si="85">D22*D23</f>
        <v>0</v>
      </c>
      <c r="E29" s="3">
        <f t="shared" si="85"/>
        <v>0</v>
      </c>
      <c r="F29" s="3">
        <f t="shared" si="85"/>
        <v>0</v>
      </c>
      <c r="G29" s="3">
        <f t="shared" si="85"/>
        <v>0</v>
      </c>
      <c r="H29" s="3">
        <f t="shared" si="85"/>
        <v>0</v>
      </c>
      <c r="I29" s="3">
        <f t="shared" si="85"/>
        <v>0</v>
      </c>
      <c r="J29" s="3">
        <f t="shared" si="85"/>
        <v>0</v>
      </c>
      <c r="K29" s="3">
        <f t="shared" si="85"/>
        <v>0</v>
      </c>
      <c r="L29" s="3">
        <f t="shared" si="85"/>
        <v>74.154442020119987</v>
      </c>
      <c r="M29" s="3">
        <f t="shared" si="85"/>
        <v>169.14801685472457</v>
      </c>
      <c r="N29" s="3">
        <f t="shared" si="85"/>
        <v>286.16942324495824</v>
      </c>
      <c r="O29" s="3">
        <f t="shared" si="85"/>
        <v>420.58069484712922</v>
      </c>
      <c r="P29" s="397">
        <f t="shared" si="85"/>
        <v>420.58069484712928</v>
      </c>
      <c r="Q29" s="3">
        <f t="shared" si="85"/>
        <v>1172.8420664989021</v>
      </c>
      <c r="R29" s="3">
        <f t="shared" si="85"/>
        <v>2002.2818919914403</v>
      </c>
      <c r="S29" s="3">
        <f t="shared" si="85"/>
        <v>2908.4472588402596</v>
      </c>
      <c r="T29" s="3">
        <f t="shared" si="85"/>
        <v>3892.8559166979403</v>
      </c>
      <c r="U29" s="3">
        <f t="shared" si="85"/>
        <v>4956.8690653900139</v>
      </c>
      <c r="V29" s="3">
        <f t="shared" si="85"/>
        <v>6101.6887646161194</v>
      </c>
      <c r="W29" s="3">
        <f t="shared" si="85"/>
        <v>7328.3558269524747</v>
      </c>
      <c r="X29" s="3">
        <f t="shared" si="85"/>
        <v>8637.7481987637166</v>
      </c>
      <c r="Y29" s="3">
        <f t="shared" si="85"/>
        <v>10030.579831670791</v>
      </c>
      <c r="Z29" s="3">
        <f t="shared" si="85"/>
        <v>11507.400045260207</v>
      </c>
      <c r="AA29" s="3">
        <f t="shared" si="85"/>
        <v>13068.593379768279</v>
      </c>
      <c r="AB29" s="3">
        <f t="shared" si="85"/>
        <v>14651.557565641609</v>
      </c>
      <c r="AC29" s="397">
        <f t="shared" si="85"/>
        <v>14651.557565641606</v>
      </c>
      <c r="AD29" s="3">
        <f t="shared" si="85"/>
        <v>16136.592129867355</v>
      </c>
      <c r="AE29" s="3">
        <f t="shared" si="85"/>
        <v>17806.736641273041</v>
      </c>
      <c r="AF29" s="3">
        <f t="shared" si="85"/>
        <v>19588.870124937941</v>
      </c>
      <c r="AG29" s="3">
        <f t="shared" si="85"/>
        <v>21484.019249944737</v>
      </c>
      <c r="AH29" s="3">
        <f t="shared" si="85"/>
        <v>23492.984769491657</v>
      </c>
      <c r="AI29" s="3">
        <f t="shared" si="85"/>
        <v>25616.342015952792</v>
      </c>
      <c r="AJ29" s="3">
        <f t="shared" ref="AJ29:BP29" si="86">AJ22*AJ23</f>
        <v>27854.442053124822</v>
      </c>
      <c r="AK29" s="3">
        <f t="shared" si="86"/>
        <v>30207.413474059169</v>
      </c>
      <c r="AL29" s="3">
        <f t="shared" si="86"/>
        <v>32675.164830462752</v>
      </c>
      <c r="AM29" s="3">
        <f t="shared" si="86"/>
        <v>35257.387677325547</v>
      </c>
      <c r="AN29" s="3">
        <f t="shared" si="86"/>
        <v>37953.560214210753</v>
      </c>
      <c r="AO29" s="3">
        <f t="shared" si="86"/>
        <v>40645.056528970395</v>
      </c>
      <c r="AP29" s="397">
        <f t="shared" si="86"/>
        <v>40645.056528970388</v>
      </c>
      <c r="AQ29" s="3">
        <f t="shared" si="86"/>
        <v>42312.853055237036</v>
      </c>
      <c r="AR29" s="3">
        <f t="shared" si="86"/>
        <v>44300.852689240324</v>
      </c>
      <c r="AS29" s="3">
        <f t="shared" si="86"/>
        <v>46402.276757126485</v>
      </c>
      <c r="AT29" s="3">
        <f t="shared" si="86"/>
        <v>48617.495332744555</v>
      </c>
      <c r="AU29" s="3">
        <f t="shared" si="86"/>
        <v>50946.657277517392</v>
      </c>
      <c r="AV29" s="3">
        <f t="shared" si="86"/>
        <v>53389.693618975434</v>
      </c>
      <c r="AW29" s="3">
        <f t="shared" si="86"/>
        <v>55946.321508624853</v>
      </c>
      <c r="AX29" s="3">
        <f t="shared" si="86"/>
        <v>58616.048735308541</v>
      </c>
      <c r="AY29" s="3">
        <f t="shared" si="86"/>
        <v>61398.17876845281</v>
      </c>
      <c r="AZ29" s="3">
        <f t="shared" si="86"/>
        <v>64291.816303972962</v>
      </c>
      <c r="BA29" s="3">
        <f t="shared" si="86"/>
        <v>67295.873284142086</v>
      </c>
      <c r="BB29" s="3">
        <f t="shared" si="86"/>
        <v>70252.164546422297</v>
      </c>
      <c r="BC29" s="397">
        <f t="shared" si="86"/>
        <v>70252.164546422297</v>
      </c>
      <c r="BD29" s="3">
        <f t="shared" si="86"/>
        <v>71766.967576774899</v>
      </c>
      <c r="BE29" s="3">
        <f t="shared" si="86"/>
        <v>73767.617009419599</v>
      </c>
      <c r="BF29" s="3">
        <f t="shared" si="86"/>
        <v>75894.087142274497</v>
      </c>
      <c r="BG29" s="3">
        <f t="shared" si="86"/>
        <v>78146.37829290684</v>
      </c>
      <c r="BH29" s="3">
        <f t="shared" si="86"/>
        <v>80524.254717226271</v>
      </c>
      <c r="BI29" s="3">
        <f t="shared" si="86"/>
        <v>83027.250603230772</v>
      </c>
      <c r="BJ29" s="3">
        <f t="shared" si="86"/>
        <v>85654.676595651006</v>
      </c>
      <c r="BK29" s="3">
        <f t="shared" si="86"/>
        <v>88405.626816529737</v>
      </c>
      <c r="BL29" s="3">
        <f t="shared" si="86"/>
        <v>91278.986345657831</v>
      </c>
      <c r="BM29" s="3">
        <f t="shared" si="86"/>
        <v>94273.439123858407</v>
      </c>
      <c r="BN29" s="3">
        <f t="shared" si="86"/>
        <v>97387.476241369979</v>
      </c>
      <c r="BO29" s="3">
        <f t="shared" si="86"/>
        <v>100412.82304473917</v>
      </c>
      <c r="BP29" s="397">
        <f t="shared" si="86"/>
        <v>100412.82304473915</v>
      </c>
      <c r="CF29" s="398" t="s">
        <v>1240</v>
      </c>
      <c r="CG29" s="13" t="s">
        <v>394</v>
      </c>
    </row>
    <row r="30" spans="1:85" s="3" customFormat="1" outlineLevel="1">
      <c r="A30" s="398" t="s">
        <v>722</v>
      </c>
      <c r="B30" s="12" t="s">
        <v>496</v>
      </c>
      <c r="C30" s="5"/>
      <c r="D30" s="3">
        <f t="shared" ref="D30:AI30" si="87">D22*D24</f>
        <v>0</v>
      </c>
      <c r="E30" s="3">
        <f t="shared" si="87"/>
        <v>0</v>
      </c>
      <c r="F30" s="3">
        <f t="shared" si="87"/>
        <v>0</v>
      </c>
      <c r="G30" s="3">
        <f t="shared" si="87"/>
        <v>0</v>
      </c>
      <c r="H30" s="3">
        <f t="shared" si="87"/>
        <v>0</v>
      </c>
      <c r="I30" s="3">
        <f t="shared" si="87"/>
        <v>0</v>
      </c>
      <c r="J30" s="3">
        <f t="shared" si="87"/>
        <v>0</v>
      </c>
      <c r="K30" s="3">
        <f t="shared" si="87"/>
        <v>0</v>
      </c>
      <c r="L30" s="3">
        <f t="shared" si="87"/>
        <v>914.57145158147989</v>
      </c>
      <c r="M30" s="3">
        <f t="shared" si="87"/>
        <v>1860.6281854019703</v>
      </c>
      <c r="N30" s="3">
        <f t="shared" si="87"/>
        <v>2835.6788303364046</v>
      </c>
      <c r="O30" s="3">
        <f t="shared" si="87"/>
        <v>3785.2262536241633</v>
      </c>
      <c r="P30" s="397">
        <f t="shared" si="87"/>
        <v>3785.2262536241633</v>
      </c>
      <c r="Q30" s="3">
        <f t="shared" si="87"/>
        <v>10269.519557880629</v>
      </c>
      <c r="R30" s="3">
        <f t="shared" si="87"/>
        <v>17067.06946030799</v>
      </c>
      <c r="S30" s="3">
        <f t="shared" si="87"/>
        <v>24146.876079208661</v>
      </c>
      <c r="T30" s="3">
        <f t="shared" si="87"/>
        <v>31496.743326010605</v>
      </c>
      <c r="U30" s="3">
        <f t="shared" si="87"/>
        <v>39104.189293632327</v>
      </c>
      <c r="V30" s="3">
        <f t="shared" si="87"/>
        <v>46956.474405958827</v>
      </c>
      <c r="W30" s="3">
        <f t="shared" si="87"/>
        <v>55040.629934345168</v>
      </c>
      <c r="X30" s="3">
        <f t="shared" si="87"/>
        <v>63343.486790933908</v>
      </c>
      <c r="Y30" s="3">
        <f t="shared" si="87"/>
        <v>71851.704508498908</v>
      </c>
      <c r="Z30" s="3">
        <f t="shared" si="87"/>
        <v>80551.800316821435</v>
      </c>
      <c r="AA30" s="3">
        <f t="shared" si="87"/>
        <v>89430.178226257412</v>
      </c>
      <c r="AB30" s="3">
        <f t="shared" si="87"/>
        <v>98052.731400832286</v>
      </c>
      <c r="AC30" s="397">
        <f t="shared" si="87"/>
        <v>98052.731400832286</v>
      </c>
      <c r="AD30" s="3">
        <f t="shared" si="87"/>
        <v>105649.00885026361</v>
      </c>
      <c r="AE30" s="3">
        <f t="shared" si="87"/>
        <v>114095.01625704578</v>
      </c>
      <c r="AF30" s="3">
        <f t="shared" si="87"/>
        <v>122875.6398746107</v>
      </c>
      <c r="AG30" s="3">
        <f t="shared" si="87"/>
        <v>131973.26110680337</v>
      </c>
      <c r="AH30" s="3">
        <f t="shared" si="87"/>
        <v>141370.06624448486</v>
      </c>
      <c r="AI30" s="3">
        <f t="shared" si="87"/>
        <v>151048.08568027333</v>
      </c>
      <c r="AJ30" s="3">
        <f t="shared" ref="AJ30:BP30" si="88">AJ22*AJ24</f>
        <v>160989.23288331463</v>
      </c>
      <c r="AK30" s="3">
        <f t="shared" si="88"/>
        <v>171175.34301966859</v>
      </c>
      <c r="AL30" s="3">
        <f t="shared" si="88"/>
        <v>181588.21110699786</v>
      </c>
      <c r="AM30" s="3">
        <f t="shared" si="88"/>
        <v>192209.62959574244</v>
      </c>
      <c r="AN30" s="3">
        <f t="shared" si="88"/>
        <v>203021.42527284162</v>
      </c>
      <c r="AO30" s="3">
        <f t="shared" si="88"/>
        <v>213386.54677709454</v>
      </c>
      <c r="AP30" s="397">
        <f t="shared" si="88"/>
        <v>213386.54677709454</v>
      </c>
      <c r="AQ30" s="3">
        <f t="shared" si="88"/>
        <v>218073.93497699086</v>
      </c>
      <c r="AR30" s="3">
        <f t="shared" si="88"/>
        <v>224189.16360918587</v>
      </c>
      <c r="AS30" s="3">
        <f t="shared" si="88"/>
        <v>230626.24119586745</v>
      </c>
      <c r="AT30" s="3">
        <f t="shared" si="88"/>
        <v>237367.77133045869</v>
      </c>
      <c r="AU30" s="3">
        <f t="shared" si="88"/>
        <v>244396.28346171384</v>
      </c>
      <c r="AV30" s="3">
        <f t="shared" si="88"/>
        <v>251694.26991802701</v>
      </c>
      <c r="AW30" s="3">
        <f t="shared" si="88"/>
        <v>259244.22220193766</v>
      </c>
      <c r="AX30" s="3">
        <f t="shared" si="88"/>
        <v>267028.66646084999</v>
      </c>
      <c r="AY30" s="3">
        <f t="shared" si="88"/>
        <v>275030.19804498722</v>
      </c>
      <c r="AZ30" s="3">
        <f t="shared" si="88"/>
        <v>283231.5150688538</v>
      </c>
      <c r="BA30" s="3">
        <f t="shared" si="88"/>
        <v>291615.45089794899</v>
      </c>
      <c r="BB30" s="3">
        <f t="shared" si="88"/>
        <v>299496.06990843185</v>
      </c>
      <c r="BC30" s="397">
        <f t="shared" si="88"/>
        <v>299496.06990843191</v>
      </c>
      <c r="BD30" s="3">
        <f t="shared" si="88"/>
        <v>301048.44840647135</v>
      </c>
      <c r="BE30" s="3">
        <f t="shared" si="88"/>
        <v>304527.85483375785</v>
      </c>
      <c r="BF30" s="3">
        <f t="shared" si="88"/>
        <v>308379.77180595079</v>
      </c>
      <c r="BG30" s="3">
        <f t="shared" si="88"/>
        <v>312585.51317162736</v>
      </c>
      <c r="BH30" s="3">
        <f t="shared" si="88"/>
        <v>317126.38586166885</v>
      </c>
      <c r="BI30" s="3">
        <f t="shared" si="88"/>
        <v>321983.7279491144</v>
      </c>
      <c r="BJ30" s="3">
        <f t="shared" si="88"/>
        <v>327138.94555206463</v>
      </c>
      <c r="BK30" s="3">
        <f t="shared" si="88"/>
        <v>332573.5485002785</v>
      </c>
      <c r="BL30" s="3">
        <f t="shared" si="88"/>
        <v>338269.18469273188</v>
      </c>
      <c r="BM30" s="3">
        <f t="shared" si="88"/>
        <v>344207.67308013415</v>
      </c>
      <c r="BN30" s="3">
        <f t="shared" si="88"/>
        <v>350371.03521320457</v>
      </c>
      <c r="BO30" s="3">
        <f t="shared" si="88"/>
        <v>356009.0998858934</v>
      </c>
      <c r="BP30" s="397">
        <f t="shared" si="88"/>
        <v>356009.0998858934</v>
      </c>
      <c r="CF30" s="398" t="s">
        <v>1241</v>
      </c>
      <c r="CG30" s="13" t="s">
        <v>394</v>
      </c>
    </row>
    <row r="31" spans="1:85" s="440" customFormat="1" ht="10.199999999999999" outlineLevel="1">
      <c r="A31" s="442" t="s">
        <v>138</v>
      </c>
      <c r="B31" s="12" t="s">
        <v>496</v>
      </c>
      <c r="D31" s="440">
        <f t="shared" ref="D31:AI31" si="89">D30*D25</f>
        <v>0</v>
      </c>
      <c r="E31" s="440">
        <f t="shared" si="89"/>
        <v>0</v>
      </c>
      <c r="F31" s="440">
        <f t="shared" si="89"/>
        <v>0</v>
      </c>
      <c r="G31" s="440">
        <f t="shared" si="89"/>
        <v>0</v>
      </c>
      <c r="H31" s="440">
        <f t="shared" si="89"/>
        <v>0</v>
      </c>
      <c r="I31" s="440">
        <f t="shared" si="89"/>
        <v>0</v>
      </c>
      <c r="J31" s="440">
        <f t="shared" si="89"/>
        <v>0</v>
      </c>
      <c r="K31" s="440">
        <f t="shared" si="89"/>
        <v>0</v>
      </c>
      <c r="L31" s="440">
        <f t="shared" si="89"/>
        <v>91.457145158148066</v>
      </c>
      <c r="M31" s="440">
        <f t="shared" si="89"/>
        <v>186.06281854019718</v>
      </c>
      <c r="N31" s="440">
        <f t="shared" si="89"/>
        <v>283.56788303364073</v>
      </c>
      <c r="O31" s="440">
        <f t="shared" si="89"/>
        <v>378.52262536241665</v>
      </c>
      <c r="P31" s="458">
        <f t="shared" si="89"/>
        <v>378.52262536241665</v>
      </c>
      <c r="Q31" s="440">
        <f t="shared" si="89"/>
        <v>1026.9519557880637</v>
      </c>
      <c r="R31" s="440">
        <f t="shared" si="89"/>
        <v>1706.7069460308005</v>
      </c>
      <c r="S31" s="440">
        <f t="shared" si="89"/>
        <v>2414.6876079208682</v>
      </c>
      <c r="T31" s="440">
        <f t="shared" si="89"/>
        <v>3149.6743326010633</v>
      </c>
      <c r="U31" s="440">
        <f t="shared" si="89"/>
        <v>3910.4189293632362</v>
      </c>
      <c r="V31" s="440">
        <f t="shared" si="89"/>
        <v>4695.647440595887</v>
      </c>
      <c r="W31" s="440">
        <f t="shared" si="89"/>
        <v>5504.0629934345216</v>
      </c>
      <c r="X31" s="440">
        <f t="shared" si="89"/>
        <v>6334.3486790933966</v>
      </c>
      <c r="Y31" s="440">
        <f t="shared" si="89"/>
        <v>7185.170450849897</v>
      </c>
      <c r="Z31" s="440">
        <f t="shared" si="89"/>
        <v>8055.1800316821509</v>
      </c>
      <c r="AA31" s="440">
        <f t="shared" si="89"/>
        <v>8943.0178226257485</v>
      </c>
      <c r="AB31" s="440">
        <f t="shared" si="89"/>
        <v>9805.2731400832381</v>
      </c>
      <c r="AC31" s="458">
        <f t="shared" si="89"/>
        <v>9805.2731400832381</v>
      </c>
      <c r="AD31" s="440">
        <f t="shared" si="89"/>
        <v>10564.900885026371</v>
      </c>
      <c r="AE31" s="440">
        <f t="shared" si="89"/>
        <v>11409.501625704588</v>
      </c>
      <c r="AF31" s="440">
        <f t="shared" si="89"/>
        <v>12287.563987461081</v>
      </c>
      <c r="AG31" s="440">
        <f t="shared" si="89"/>
        <v>13197.326110680349</v>
      </c>
      <c r="AH31" s="440">
        <f t="shared" si="89"/>
        <v>14137.006624448499</v>
      </c>
      <c r="AI31" s="440">
        <f t="shared" si="89"/>
        <v>15104.808568027347</v>
      </c>
      <c r="AJ31" s="440">
        <f t="shared" ref="AJ31:BO31" si="90">AJ30*AJ25</f>
        <v>16098.923288331478</v>
      </c>
      <c r="AK31" s="440">
        <f t="shared" si="90"/>
        <v>17117.534301966876</v>
      </c>
      <c r="AL31" s="440">
        <f t="shared" si="90"/>
        <v>18158.821110699802</v>
      </c>
      <c r="AM31" s="440">
        <f t="shared" si="90"/>
        <v>19220.962959574263</v>
      </c>
      <c r="AN31" s="440">
        <f t="shared" si="90"/>
        <v>20302.142527284181</v>
      </c>
      <c r="AO31" s="440">
        <f t="shared" si="90"/>
        <v>21338.654677709474</v>
      </c>
      <c r="AP31" s="458">
        <f t="shared" si="90"/>
        <v>21338.654677709474</v>
      </c>
      <c r="AQ31" s="440">
        <f t="shared" si="90"/>
        <v>21807.393497699104</v>
      </c>
      <c r="AR31" s="440">
        <f t="shared" si="90"/>
        <v>22418.916360918607</v>
      </c>
      <c r="AS31" s="440">
        <f t="shared" si="90"/>
        <v>23062.624119586766</v>
      </c>
      <c r="AT31" s="440">
        <f t="shared" si="90"/>
        <v>23736.777133045889</v>
      </c>
      <c r="AU31" s="440">
        <f t="shared" si="90"/>
        <v>24439.628346171405</v>
      </c>
      <c r="AV31" s="440">
        <f t="shared" si="90"/>
        <v>25169.426991802724</v>
      </c>
      <c r="AW31" s="440">
        <f t="shared" si="90"/>
        <v>25924.422220193788</v>
      </c>
      <c r="AX31" s="440">
        <f t="shared" si="90"/>
        <v>26702.866646085022</v>
      </c>
      <c r="AY31" s="440">
        <f t="shared" si="90"/>
        <v>27503.019804498748</v>
      </c>
      <c r="AZ31" s="440">
        <f t="shared" si="90"/>
        <v>28323.151506885406</v>
      </c>
      <c r="BA31" s="440">
        <f t="shared" si="90"/>
        <v>29161.545089794927</v>
      </c>
      <c r="BB31" s="440">
        <f t="shared" si="90"/>
        <v>29949.606990843211</v>
      </c>
      <c r="BC31" s="458">
        <f t="shared" si="90"/>
        <v>29949.606990843218</v>
      </c>
      <c r="BD31" s="440">
        <f t="shared" si="90"/>
        <v>30104.844840647162</v>
      </c>
      <c r="BE31" s="440">
        <f t="shared" si="90"/>
        <v>30452.785483375814</v>
      </c>
      <c r="BF31" s="440">
        <f t="shared" si="90"/>
        <v>30837.977180595106</v>
      </c>
      <c r="BG31" s="440">
        <f t="shared" si="90"/>
        <v>31258.551317162764</v>
      </c>
      <c r="BH31" s="440">
        <f t="shared" si="90"/>
        <v>31712.638586166915</v>
      </c>
      <c r="BI31" s="440">
        <f t="shared" si="90"/>
        <v>32198.372794911469</v>
      </c>
      <c r="BJ31" s="440">
        <f t="shared" si="90"/>
        <v>32713.894555206491</v>
      </c>
      <c r="BK31" s="440">
        <f t="shared" si="90"/>
        <v>33257.354850027878</v>
      </c>
      <c r="BL31" s="440">
        <f t="shared" si="90"/>
        <v>33826.918469273216</v>
      </c>
      <c r="BM31" s="440">
        <f t="shared" si="90"/>
        <v>34420.767308013448</v>
      </c>
      <c r="BN31" s="440">
        <f t="shared" si="90"/>
        <v>35037.103521320489</v>
      </c>
      <c r="BO31" s="440">
        <f t="shared" si="90"/>
        <v>35600.909988589374</v>
      </c>
      <c r="BP31" s="458">
        <f t="shared" ref="BP31" si="91">BP30*BP25</f>
        <v>35600.909988589374</v>
      </c>
      <c r="CF31" s="442" t="s">
        <v>1002</v>
      </c>
      <c r="CG31" s="13" t="s">
        <v>394</v>
      </c>
    </row>
    <row r="32" spans="1:85" s="440" customFormat="1" ht="10.199999999999999" outlineLevel="1">
      <c r="A32" s="442" t="s">
        <v>142</v>
      </c>
      <c r="B32" s="12" t="s">
        <v>496</v>
      </c>
      <c r="D32" s="440">
        <f t="shared" ref="D32:AI32" si="92">D30*D26</f>
        <v>0</v>
      </c>
      <c r="E32" s="440">
        <f t="shared" si="92"/>
        <v>0</v>
      </c>
      <c r="F32" s="440">
        <f t="shared" si="92"/>
        <v>0</v>
      </c>
      <c r="G32" s="440">
        <f t="shared" si="92"/>
        <v>0</v>
      </c>
      <c r="H32" s="440">
        <f t="shared" si="92"/>
        <v>0</v>
      </c>
      <c r="I32" s="440">
        <f t="shared" si="92"/>
        <v>0</v>
      </c>
      <c r="J32" s="440">
        <f t="shared" si="92"/>
        <v>0</v>
      </c>
      <c r="K32" s="440">
        <f t="shared" si="92"/>
        <v>0</v>
      </c>
      <c r="L32" s="440">
        <f t="shared" si="92"/>
        <v>182.91429031629599</v>
      </c>
      <c r="M32" s="440">
        <f t="shared" si="92"/>
        <v>372.12563708039409</v>
      </c>
      <c r="N32" s="440">
        <f t="shared" si="92"/>
        <v>567.135766067281</v>
      </c>
      <c r="O32" s="440">
        <f t="shared" si="92"/>
        <v>757.04525072483273</v>
      </c>
      <c r="P32" s="458">
        <f t="shared" si="92"/>
        <v>757.04525072483273</v>
      </c>
      <c r="Q32" s="440">
        <f t="shared" si="92"/>
        <v>2053.9039115761257</v>
      </c>
      <c r="R32" s="440">
        <f t="shared" si="92"/>
        <v>3413.4138920615983</v>
      </c>
      <c r="S32" s="440">
        <f t="shared" si="92"/>
        <v>4829.3752158417328</v>
      </c>
      <c r="T32" s="440">
        <f t="shared" si="92"/>
        <v>6299.3486652021211</v>
      </c>
      <c r="U32" s="440">
        <f t="shared" si="92"/>
        <v>7820.837858726466</v>
      </c>
      <c r="V32" s="440">
        <f t="shared" si="92"/>
        <v>9391.2948811917649</v>
      </c>
      <c r="W32" s="440">
        <f t="shared" si="92"/>
        <v>11008.125986869034</v>
      </c>
      <c r="X32" s="440">
        <f t="shared" si="92"/>
        <v>12668.697358186782</v>
      </c>
      <c r="Y32" s="440">
        <f t="shared" si="92"/>
        <v>14370.340901699783</v>
      </c>
      <c r="Z32" s="440">
        <f t="shared" si="92"/>
        <v>16110.360063364287</v>
      </c>
      <c r="AA32" s="440">
        <f t="shared" si="92"/>
        <v>17886.035645251482</v>
      </c>
      <c r="AB32" s="440">
        <f t="shared" si="92"/>
        <v>19610.546280166458</v>
      </c>
      <c r="AC32" s="458">
        <f t="shared" si="92"/>
        <v>19610.546280166458</v>
      </c>
      <c r="AD32" s="440">
        <f t="shared" si="92"/>
        <v>21129.801770052723</v>
      </c>
      <c r="AE32" s="440">
        <f t="shared" si="92"/>
        <v>22819.003251409158</v>
      </c>
      <c r="AF32" s="440">
        <f t="shared" si="92"/>
        <v>24575.127974922143</v>
      </c>
      <c r="AG32" s="440">
        <f t="shared" si="92"/>
        <v>26394.652221360677</v>
      </c>
      <c r="AH32" s="440">
        <f t="shared" si="92"/>
        <v>28274.013248896972</v>
      </c>
      <c r="AI32" s="440">
        <f t="shared" si="92"/>
        <v>30209.617136054669</v>
      </c>
      <c r="AJ32" s="440">
        <f t="shared" ref="AJ32:BP32" si="93">AJ30*AJ26</f>
        <v>32197.846576662927</v>
      </c>
      <c r="AK32" s="440">
        <f t="shared" si="93"/>
        <v>34235.068603933723</v>
      </c>
      <c r="AL32" s="440">
        <f t="shared" si="93"/>
        <v>36317.642221399576</v>
      </c>
      <c r="AM32" s="440">
        <f t="shared" si="93"/>
        <v>38441.925919148489</v>
      </c>
      <c r="AN32" s="440">
        <f t="shared" si="93"/>
        <v>40604.285054568325</v>
      </c>
      <c r="AO32" s="440">
        <f t="shared" si="93"/>
        <v>42677.309355418911</v>
      </c>
      <c r="AP32" s="458">
        <f t="shared" si="93"/>
        <v>42677.309355418911</v>
      </c>
      <c r="AQ32" s="440">
        <f t="shared" si="93"/>
        <v>43614.786995398172</v>
      </c>
      <c r="AR32" s="440">
        <f t="shared" si="93"/>
        <v>44837.832721837178</v>
      </c>
      <c r="AS32" s="440">
        <f t="shared" si="93"/>
        <v>46125.248239173496</v>
      </c>
      <c r="AT32" s="440">
        <f t="shared" si="93"/>
        <v>47473.554266091742</v>
      </c>
      <c r="AU32" s="440">
        <f t="shared" si="93"/>
        <v>48879.256692342773</v>
      </c>
      <c r="AV32" s="440">
        <f t="shared" si="93"/>
        <v>50338.853983605404</v>
      </c>
      <c r="AW32" s="440">
        <f t="shared" si="93"/>
        <v>51848.844440387533</v>
      </c>
      <c r="AX32" s="440">
        <f t="shared" si="93"/>
        <v>53405.73329217</v>
      </c>
      <c r="AY32" s="440">
        <f t="shared" si="93"/>
        <v>55006.039608997446</v>
      </c>
      <c r="AZ32" s="440">
        <f t="shared" si="93"/>
        <v>56646.303013770761</v>
      </c>
      <c r="BA32" s="440">
        <f t="shared" si="93"/>
        <v>58323.090179589803</v>
      </c>
      <c r="BB32" s="440">
        <f t="shared" si="93"/>
        <v>59899.213981686371</v>
      </c>
      <c r="BC32" s="458">
        <f t="shared" si="93"/>
        <v>59899.213981686386</v>
      </c>
      <c r="BD32" s="440">
        <f t="shared" si="93"/>
        <v>60209.689681294272</v>
      </c>
      <c r="BE32" s="440">
        <f t="shared" si="93"/>
        <v>60905.570966751577</v>
      </c>
      <c r="BF32" s="440">
        <f t="shared" si="93"/>
        <v>61675.954361190161</v>
      </c>
      <c r="BG32" s="440">
        <f t="shared" si="93"/>
        <v>62517.102634325478</v>
      </c>
      <c r="BH32" s="440">
        <f t="shared" si="93"/>
        <v>63425.277172333772</v>
      </c>
      <c r="BI32" s="440">
        <f t="shared" si="93"/>
        <v>64396.74558982288</v>
      </c>
      <c r="BJ32" s="440">
        <f t="shared" si="93"/>
        <v>65427.78911041293</v>
      </c>
      <c r="BK32" s="440">
        <f t="shared" si="93"/>
        <v>66514.709700055697</v>
      </c>
      <c r="BL32" s="440">
        <f t="shared" si="93"/>
        <v>67653.836938546374</v>
      </c>
      <c r="BM32" s="440">
        <f t="shared" si="93"/>
        <v>68841.534616026838</v>
      </c>
      <c r="BN32" s="440">
        <f t="shared" si="93"/>
        <v>70074.207042640919</v>
      </c>
      <c r="BO32" s="440">
        <f t="shared" si="93"/>
        <v>71201.819977178689</v>
      </c>
      <c r="BP32" s="458">
        <f t="shared" si="93"/>
        <v>71201.819977178689</v>
      </c>
      <c r="CF32" s="442" t="s">
        <v>1003</v>
      </c>
      <c r="CG32" s="13" t="s">
        <v>394</v>
      </c>
    </row>
    <row r="33" spans="1:85" s="440" customFormat="1" ht="10.199999999999999" outlineLevel="1">
      <c r="A33" s="442" t="s">
        <v>145</v>
      </c>
      <c r="B33" s="12" t="s">
        <v>496</v>
      </c>
      <c r="D33" s="440">
        <f t="shared" ref="D33:AI33" si="94">D30*D27</f>
        <v>0</v>
      </c>
      <c r="E33" s="440">
        <f t="shared" si="94"/>
        <v>0</v>
      </c>
      <c r="F33" s="440">
        <f t="shared" si="94"/>
        <v>0</v>
      </c>
      <c r="G33" s="440">
        <f t="shared" si="94"/>
        <v>0</v>
      </c>
      <c r="H33" s="440">
        <f t="shared" si="94"/>
        <v>0</v>
      </c>
      <c r="I33" s="440">
        <f t="shared" si="94"/>
        <v>0</v>
      </c>
      <c r="J33" s="440">
        <f t="shared" si="94"/>
        <v>0</v>
      </c>
      <c r="K33" s="440">
        <f t="shared" si="94"/>
        <v>0</v>
      </c>
      <c r="L33" s="440">
        <f t="shared" si="94"/>
        <v>182.91429031629599</v>
      </c>
      <c r="M33" s="440">
        <f t="shared" si="94"/>
        <v>372.12563708039409</v>
      </c>
      <c r="N33" s="440">
        <f t="shared" si="94"/>
        <v>567.135766067281</v>
      </c>
      <c r="O33" s="440">
        <f t="shared" si="94"/>
        <v>757.04525072483273</v>
      </c>
      <c r="P33" s="458">
        <f t="shared" si="94"/>
        <v>757.04525072483273</v>
      </c>
      <c r="Q33" s="440">
        <f t="shared" si="94"/>
        <v>2053.9039115761257</v>
      </c>
      <c r="R33" s="440">
        <f t="shared" si="94"/>
        <v>3413.4138920615983</v>
      </c>
      <c r="S33" s="440">
        <f t="shared" si="94"/>
        <v>4829.3752158417328</v>
      </c>
      <c r="T33" s="440">
        <f t="shared" si="94"/>
        <v>6299.3486652021211</v>
      </c>
      <c r="U33" s="440">
        <f t="shared" si="94"/>
        <v>7820.837858726466</v>
      </c>
      <c r="V33" s="440">
        <f t="shared" si="94"/>
        <v>9391.2948811917649</v>
      </c>
      <c r="W33" s="440">
        <f t="shared" si="94"/>
        <v>11008.125986869034</v>
      </c>
      <c r="X33" s="440">
        <f t="shared" si="94"/>
        <v>12668.697358186782</v>
      </c>
      <c r="Y33" s="440">
        <f t="shared" si="94"/>
        <v>14370.340901699783</v>
      </c>
      <c r="Z33" s="440">
        <f t="shared" si="94"/>
        <v>16110.360063364287</v>
      </c>
      <c r="AA33" s="440">
        <f t="shared" si="94"/>
        <v>17886.035645251482</v>
      </c>
      <c r="AB33" s="440">
        <f t="shared" si="94"/>
        <v>19610.546280166458</v>
      </c>
      <c r="AC33" s="458">
        <f t="shared" si="94"/>
        <v>19610.546280166458</v>
      </c>
      <c r="AD33" s="440">
        <f t="shared" si="94"/>
        <v>21129.801770052723</v>
      </c>
      <c r="AE33" s="440">
        <f t="shared" si="94"/>
        <v>22819.003251409158</v>
      </c>
      <c r="AF33" s="440">
        <f t="shared" si="94"/>
        <v>24575.127974922143</v>
      </c>
      <c r="AG33" s="440">
        <f t="shared" si="94"/>
        <v>26394.652221360677</v>
      </c>
      <c r="AH33" s="440">
        <f t="shared" si="94"/>
        <v>28274.013248896972</v>
      </c>
      <c r="AI33" s="440">
        <f t="shared" si="94"/>
        <v>30209.617136054669</v>
      </c>
      <c r="AJ33" s="440">
        <f t="shared" ref="AJ33:BP33" si="95">AJ30*AJ27</f>
        <v>32197.846576662927</v>
      </c>
      <c r="AK33" s="440">
        <f t="shared" si="95"/>
        <v>34235.068603933723</v>
      </c>
      <c r="AL33" s="440">
        <f t="shared" si="95"/>
        <v>36317.642221399576</v>
      </c>
      <c r="AM33" s="440">
        <f t="shared" si="95"/>
        <v>38441.925919148489</v>
      </c>
      <c r="AN33" s="440">
        <f t="shared" si="95"/>
        <v>40604.285054568325</v>
      </c>
      <c r="AO33" s="440">
        <f t="shared" si="95"/>
        <v>42677.309355418911</v>
      </c>
      <c r="AP33" s="458">
        <f t="shared" si="95"/>
        <v>42677.309355418911</v>
      </c>
      <c r="AQ33" s="440">
        <f t="shared" si="95"/>
        <v>43614.786995398172</v>
      </c>
      <c r="AR33" s="440">
        <f t="shared" si="95"/>
        <v>44837.832721837178</v>
      </c>
      <c r="AS33" s="440">
        <f t="shared" si="95"/>
        <v>46125.248239173496</v>
      </c>
      <c r="AT33" s="440">
        <f t="shared" si="95"/>
        <v>47473.554266091742</v>
      </c>
      <c r="AU33" s="440">
        <f t="shared" si="95"/>
        <v>48879.256692342773</v>
      </c>
      <c r="AV33" s="440">
        <f t="shared" si="95"/>
        <v>50338.853983605404</v>
      </c>
      <c r="AW33" s="440">
        <f t="shared" si="95"/>
        <v>51848.844440387533</v>
      </c>
      <c r="AX33" s="440">
        <f t="shared" si="95"/>
        <v>53405.73329217</v>
      </c>
      <c r="AY33" s="440">
        <f t="shared" si="95"/>
        <v>55006.039608997446</v>
      </c>
      <c r="AZ33" s="440">
        <f t="shared" si="95"/>
        <v>56646.303013770761</v>
      </c>
      <c r="BA33" s="440">
        <f t="shared" si="95"/>
        <v>58323.090179589803</v>
      </c>
      <c r="BB33" s="440">
        <f t="shared" si="95"/>
        <v>59899.213981686371</v>
      </c>
      <c r="BC33" s="458">
        <f t="shared" si="95"/>
        <v>59899.213981686386</v>
      </c>
      <c r="BD33" s="440">
        <f t="shared" si="95"/>
        <v>60209.689681294272</v>
      </c>
      <c r="BE33" s="440">
        <f t="shared" si="95"/>
        <v>60905.570966751577</v>
      </c>
      <c r="BF33" s="440">
        <f t="shared" si="95"/>
        <v>61675.954361190161</v>
      </c>
      <c r="BG33" s="440">
        <f t="shared" si="95"/>
        <v>62517.102634325478</v>
      </c>
      <c r="BH33" s="440">
        <f t="shared" si="95"/>
        <v>63425.277172333772</v>
      </c>
      <c r="BI33" s="440">
        <f t="shared" si="95"/>
        <v>64396.74558982288</v>
      </c>
      <c r="BJ33" s="440">
        <f t="shared" si="95"/>
        <v>65427.78911041293</v>
      </c>
      <c r="BK33" s="440">
        <f t="shared" si="95"/>
        <v>66514.709700055697</v>
      </c>
      <c r="BL33" s="440">
        <f t="shared" si="95"/>
        <v>67653.836938546374</v>
      </c>
      <c r="BM33" s="440">
        <f t="shared" si="95"/>
        <v>68841.534616026838</v>
      </c>
      <c r="BN33" s="440">
        <f t="shared" si="95"/>
        <v>70074.207042640919</v>
      </c>
      <c r="BO33" s="440">
        <f t="shared" si="95"/>
        <v>71201.819977178689</v>
      </c>
      <c r="BP33" s="458">
        <f t="shared" si="95"/>
        <v>71201.819977178689</v>
      </c>
      <c r="CF33" s="442" t="s">
        <v>1004</v>
      </c>
      <c r="CG33" s="13" t="s">
        <v>394</v>
      </c>
    </row>
    <row r="34" spans="1:85" s="440" customFormat="1" ht="10.199999999999999" outlineLevel="1">
      <c r="A34" s="442" t="s">
        <v>620</v>
      </c>
      <c r="B34" s="12" t="s">
        <v>496</v>
      </c>
      <c r="D34" s="440">
        <f t="shared" ref="D34:AI34" si="96">D30*D28</f>
        <v>0</v>
      </c>
      <c r="E34" s="440">
        <f t="shared" si="96"/>
        <v>0</v>
      </c>
      <c r="F34" s="440">
        <f t="shared" si="96"/>
        <v>0</v>
      </c>
      <c r="G34" s="440">
        <f t="shared" si="96"/>
        <v>0</v>
      </c>
      <c r="H34" s="440">
        <f t="shared" si="96"/>
        <v>0</v>
      </c>
      <c r="I34" s="440">
        <f t="shared" si="96"/>
        <v>0</v>
      </c>
      <c r="J34" s="440">
        <f t="shared" si="96"/>
        <v>0</v>
      </c>
      <c r="K34" s="440">
        <f t="shared" si="96"/>
        <v>0</v>
      </c>
      <c r="L34" s="440">
        <f t="shared" si="96"/>
        <v>457.28572579073995</v>
      </c>
      <c r="M34" s="440">
        <f t="shared" si="96"/>
        <v>930.31409270098516</v>
      </c>
      <c r="N34" s="440">
        <f t="shared" si="96"/>
        <v>1417.8394151682023</v>
      </c>
      <c r="O34" s="440">
        <f t="shared" si="96"/>
        <v>1892.6131268120816</v>
      </c>
      <c r="P34" s="458">
        <f t="shared" si="96"/>
        <v>1892.6131268120816</v>
      </c>
      <c r="Q34" s="440">
        <f t="shared" si="96"/>
        <v>5134.7597789403144</v>
      </c>
      <c r="R34" s="440">
        <f t="shared" si="96"/>
        <v>8533.534730153995</v>
      </c>
      <c r="S34" s="440">
        <f t="shared" si="96"/>
        <v>12073.438039604331</v>
      </c>
      <c r="T34" s="440">
        <f t="shared" si="96"/>
        <v>15748.371663005302</v>
      </c>
      <c r="U34" s="440">
        <f t="shared" si="96"/>
        <v>19552.094646816164</v>
      </c>
      <c r="V34" s="440">
        <f t="shared" si="96"/>
        <v>23478.237202979413</v>
      </c>
      <c r="W34" s="440">
        <f t="shared" si="96"/>
        <v>27520.314967172584</v>
      </c>
      <c r="X34" s="440">
        <f t="shared" si="96"/>
        <v>31671.743395466954</v>
      </c>
      <c r="Y34" s="440">
        <f t="shared" si="96"/>
        <v>35925.852254249454</v>
      </c>
      <c r="Z34" s="440">
        <f t="shared" si="96"/>
        <v>40275.900158410717</v>
      </c>
      <c r="AA34" s="440">
        <f t="shared" si="96"/>
        <v>44715.089113128706</v>
      </c>
      <c r="AB34" s="440">
        <f t="shared" si="96"/>
        <v>49026.365700416143</v>
      </c>
      <c r="AC34" s="458">
        <f t="shared" si="96"/>
        <v>49026.365700416143</v>
      </c>
      <c r="AD34" s="440">
        <f t="shared" si="96"/>
        <v>52824.504425131803</v>
      </c>
      <c r="AE34" s="440">
        <f t="shared" si="96"/>
        <v>57047.508128522888</v>
      </c>
      <c r="AF34" s="440">
        <f t="shared" si="96"/>
        <v>61437.81993730535</v>
      </c>
      <c r="AG34" s="440">
        <f t="shared" si="96"/>
        <v>65986.630553401686</v>
      </c>
      <c r="AH34" s="440">
        <f t="shared" si="96"/>
        <v>70685.033122242428</v>
      </c>
      <c r="AI34" s="440">
        <f t="shared" si="96"/>
        <v>75524.042840136666</v>
      </c>
      <c r="AJ34" s="440">
        <f t="shared" ref="AJ34:BP34" si="97">AJ30*AJ28</f>
        <v>80494.616441657316</v>
      </c>
      <c r="AK34" s="440">
        <f t="shared" si="97"/>
        <v>85587.671509834297</v>
      </c>
      <c r="AL34" s="440">
        <f t="shared" si="97"/>
        <v>90794.105553498928</v>
      </c>
      <c r="AM34" s="440">
        <f t="shared" si="97"/>
        <v>96104.814797871222</v>
      </c>
      <c r="AN34" s="440">
        <f t="shared" si="97"/>
        <v>101510.71263642081</v>
      </c>
      <c r="AO34" s="440">
        <f t="shared" si="97"/>
        <v>106693.27338854727</v>
      </c>
      <c r="AP34" s="458">
        <f t="shared" si="97"/>
        <v>106693.27338854727</v>
      </c>
      <c r="AQ34" s="440">
        <f t="shared" si="97"/>
        <v>109036.96748849543</v>
      </c>
      <c r="AR34" s="440">
        <f t="shared" si="97"/>
        <v>112094.58180459293</v>
      </c>
      <c r="AS34" s="440">
        <f t="shared" si="97"/>
        <v>115313.12059793372</v>
      </c>
      <c r="AT34" s="440">
        <f t="shared" si="97"/>
        <v>118683.88566522935</v>
      </c>
      <c r="AU34" s="440">
        <f t="shared" si="97"/>
        <v>122198.14173085692</v>
      </c>
      <c r="AV34" s="440">
        <f t="shared" si="97"/>
        <v>125847.13495901351</v>
      </c>
      <c r="AW34" s="440">
        <f t="shared" si="97"/>
        <v>129622.11110096883</v>
      </c>
      <c r="AX34" s="440">
        <f t="shared" si="97"/>
        <v>133514.33323042499</v>
      </c>
      <c r="AY34" s="440">
        <f t="shared" si="97"/>
        <v>137515.09902249361</v>
      </c>
      <c r="AZ34" s="440">
        <f t="shared" si="97"/>
        <v>141615.7575344269</v>
      </c>
      <c r="BA34" s="440">
        <f t="shared" si="97"/>
        <v>145807.7254489745</v>
      </c>
      <c r="BB34" s="440">
        <f t="shared" si="97"/>
        <v>149748.03495421592</v>
      </c>
      <c r="BC34" s="458">
        <f t="shared" si="97"/>
        <v>149748.03495421595</v>
      </c>
      <c r="BD34" s="440">
        <f t="shared" si="97"/>
        <v>150524.22420323567</v>
      </c>
      <c r="BE34" s="440">
        <f t="shared" si="97"/>
        <v>152263.92741687893</v>
      </c>
      <c r="BF34" s="440">
        <f t="shared" si="97"/>
        <v>154189.88590297539</v>
      </c>
      <c r="BG34" s="440">
        <f t="shared" si="97"/>
        <v>156292.75658581368</v>
      </c>
      <c r="BH34" s="440">
        <f t="shared" si="97"/>
        <v>158563.19293083443</v>
      </c>
      <c r="BI34" s="440">
        <f t="shared" si="97"/>
        <v>160991.8639745572</v>
      </c>
      <c r="BJ34" s="440">
        <f t="shared" si="97"/>
        <v>163569.47277603231</v>
      </c>
      <c r="BK34" s="440">
        <f t="shared" si="97"/>
        <v>166286.77425013925</v>
      </c>
      <c r="BL34" s="440">
        <f t="shared" si="97"/>
        <v>169134.59234636594</v>
      </c>
      <c r="BM34" s="440">
        <f t="shared" si="97"/>
        <v>172103.83654006707</v>
      </c>
      <c r="BN34" s="440">
        <f t="shared" si="97"/>
        <v>175185.51760660228</v>
      </c>
      <c r="BO34" s="440">
        <f t="shared" si="97"/>
        <v>178004.5499429467</v>
      </c>
      <c r="BP34" s="458">
        <f t="shared" si="97"/>
        <v>178004.5499429467</v>
      </c>
      <c r="CF34" s="442" t="s">
        <v>1005</v>
      </c>
      <c r="CG34" s="13" t="s">
        <v>394</v>
      </c>
    </row>
    <row r="35" spans="1:85" s="65" customFormat="1" collapsed="1">
      <c r="A35" s="76" t="s">
        <v>721</v>
      </c>
      <c r="B35" s="285" t="s">
        <v>231</v>
      </c>
      <c r="C35" s="40"/>
      <c r="D35" s="65">
        <f>P35</f>
        <v>0.7</v>
      </c>
      <c r="E35" s="65">
        <f t="shared" ref="E35:O35" si="98">D35</f>
        <v>0.7</v>
      </c>
      <c r="F35" s="65">
        <f t="shared" si="98"/>
        <v>0.7</v>
      </c>
      <c r="G35" s="65">
        <f t="shared" si="98"/>
        <v>0.7</v>
      </c>
      <c r="H35" s="65">
        <f t="shared" si="98"/>
        <v>0.7</v>
      </c>
      <c r="I35" s="65">
        <f t="shared" si="98"/>
        <v>0.7</v>
      </c>
      <c r="J35" s="65">
        <f t="shared" si="98"/>
        <v>0.7</v>
      </c>
      <c r="K35" s="65">
        <f t="shared" si="98"/>
        <v>0.7</v>
      </c>
      <c r="L35" s="65">
        <f t="shared" si="98"/>
        <v>0.7</v>
      </c>
      <c r="M35" s="65">
        <f t="shared" si="98"/>
        <v>0.7</v>
      </c>
      <c r="N35" s="65">
        <f t="shared" si="98"/>
        <v>0.7</v>
      </c>
      <c r="O35" s="65">
        <f t="shared" si="98"/>
        <v>0.7</v>
      </c>
      <c r="P35" s="426">
        <f>Funnel!E72</f>
        <v>0.7</v>
      </c>
      <c r="Q35" s="65">
        <f>AC35</f>
        <v>0.7</v>
      </c>
      <c r="R35" s="65">
        <f t="shared" ref="R35:AB35" si="99">Q35</f>
        <v>0.7</v>
      </c>
      <c r="S35" s="65">
        <f t="shared" si="99"/>
        <v>0.7</v>
      </c>
      <c r="T35" s="65">
        <f t="shared" si="99"/>
        <v>0.7</v>
      </c>
      <c r="U35" s="65">
        <f t="shared" si="99"/>
        <v>0.7</v>
      </c>
      <c r="V35" s="65">
        <f t="shared" si="99"/>
        <v>0.7</v>
      </c>
      <c r="W35" s="65">
        <f t="shared" si="99"/>
        <v>0.7</v>
      </c>
      <c r="X35" s="65">
        <f t="shared" si="99"/>
        <v>0.7</v>
      </c>
      <c r="Y35" s="65">
        <f t="shared" si="99"/>
        <v>0.7</v>
      </c>
      <c r="Z35" s="65">
        <f t="shared" si="99"/>
        <v>0.7</v>
      </c>
      <c r="AA35" s="65">
        <f t="shared" si="99"/>
        <v>0.7</v>
      </c>
      <c r="AB35" s="65">
        <f t="shared" si="99"/>
        <v>0.7</v>
      </c>
      <c r="AC35" s="426">
        <f>Funnel!F72</f>
        <v>0.7</v>
      </c>
      <c r="AD35" s="65">
        <f>AP35</f>
        <v>0.7</v>
      </c>
      <c r="AE35" s="65">
        <f t="shared" ref="AE35:AO35" si="100">AD35</f>
        <v>0.7</v>
      </c>
      <c r="AF35" s="65">
        <f t="shared" si="100"/>
        <v>0.7</v>
      </c>
      <c r="AG35" s="65">
        <f t="shared" si="100"/>
        <v>0.7</v>
      </c>
      <c r="AH35" s="65">
        <f t="shared" si="100"/>
        <v>0.7</v>
      </c>
      <c r="AI35" s="65">
        <f t="shared" si="100"/>
        <v>0.7</v>
      </c>
      <c r="AJ35" s="65">
        <f t="shared" si="100"/>
        <v>0.7</v>
      </c>
      <c r="AK35" s="65">
        <f t="shared" si="100"/>
        <v>0.7</v>
      </c>
      <c r="AL35" s="65">
        <f t="shared" si="100"/>
        <v>0.7</v>
      </c>
      <c r="AM35" s="65">
        <f t="shared" si="100"/>
        <v>0.7</v>
      </c>
      <c r="AN35" s="65">
        <f t="shared" si="100"/>
        <v>0.7</v>
      </c>
      <c r="AO35" s="65">
        <f t="shared" si="100"/>
        <v>0.7</v>
      </c>
      <c r="AP35" s="426">
        <f>Funnel!G72</f>
        <v>0.7</v>
      </c>
      <c r="AQ35" s="65">
        <f>BC35</f>
        <v>0.7</v>
      </c>
      <c r="AR35" s="65">
        <f t="shared" ref="AR35:BB35" si="101">AQ35</f>
        <v>0.7</v>
      </c>
      <c r="AS35" s="65">
        <f t="shared" si="101"/>
        <v>0.7</v>
      </c>
      <c r="AT35" s="65">
        <f t="shared" si="101"/>
        <v>0.7</v>
      </c>
      <c r="AU35" s="65">
        <f t="shared" si="101"/>
        <v>0.7</v>
      </c>
      <c r="AV35" s="65">
        <f t="shared" si="101"/>
        <v>0.7</v>
      </c>
      <c r="AW35" s="65">
        <f t="shared" si="101"/>
        <v>0.7</v>
      </c>
      <c r="AX35" s="65">
        <f t="shared" si="101"/>
        <v>0.7</v>
      </c>
      <c r="AY35" s="65">
        <f t="shared" si="101"/>
        <v>0.7</v>
      </c>
      <c r="AZ35" s="65">
        <f t="shared" si="101"/>
        <v>0.7</v>
      </c>
      <c r="BA35" s="65">
        <f t="shared" si="101"/>
        <v>0.7</v>
      </c>
      <c r="BB35" s="65">
        <f t="shared" si="101"/>
        <v>0.7</v>
      </c>
      <c r="BC35" s="426">
        <f>Funnel!H72</f>
        <v>0.7</v>
      </c>
      <c r="BD35" s="65">
        <f>BP35</f>
        <v>0.7</v>
      </c>
      <c r="BE35" s="65">
        <f t="shared" ref="BE35:BO35" si="102">BD35</f>
        <v>0.7</v>
      </c>
      <c r="BF35" s="65">
        <f t="shared" si="102"/>
        <v>0.7</v>
      </c>
      <c r="BG35" s="65">
        <f t="shared" si="102"/>
        <v>0.7</v>
      </c>
      <c r="BH35" s="65">
        <f t="shared" si="102"/>
        <v>0.7</v>
      </c>
      <c r="BI35" s="65">
        <f t="shared" si="102"/>
        <v>0.7</v>
      </c>
      <c r="BJ35" s="65">
        <f t="shared" si="102"/>
        <v>0.7</v>
      </c>
      <c r="BK35" s="65">
        <f t="shared" si="102"/>
        <v>0.7</v>
      </c>
      <c r="BL35" s="65">
        <f t="shared" si="102"/>
        <v>0.7</v>
      </c>
      <c r="BM35" s="65">
        <f t="shared" si="102"/>
        <v>0.7</v>
      </c>
      <c r="BN35" s="65">
        <f t="shared" si="102"/>
        <v>0.7</v>
      </c>
      <c r="BO35" s="65">
        <f t="shared" si="102"/>
        <v>0.7</v>
      </c>
      <c r="BP35" s="426">
        <f>Funnel!I72</f>
        <v>0.7</v>
      </c>
      <c r="CF35" s="76" t="s">
        <v>1054</v>
      </c>
      <c r="CG35" s="285" t="s">
        <v>231</v>
      </c>
    </row>
    <row r="36" spans="1:85" s="60" customFormat="1" ht="15.6">
      <c r="A36" s="60" t="s">
        <v>720</v>
      </c>
      <c r="B36" s="12" t="s">
        <v>502</v>
      </c>
      <c r="C36" s="374">
        <v>0</v>
      </c>
      <c r="D36" s="60">
        <f t="shared" ref="D36:AI36" si="103">D20*D35</f>
        <v>0</v>
      </c>
      <c r="E36" s="60">
        <f t="shared" si="103"/>
        <v>0</v>
      </c>
      <c r="F36" s="60">
        <f t="shared" si="103"/>
        <v>0</v>
      </c>
      <c r="G36" s="60">
        <f t="shared" si="103"/>
        <v>0</v>
      </c>
      <c r="H36" s="60">
        <f t="shared" si="103"/>
        <v>0</v>
      </c>
      <c r="I36" s="60">
        <f t="shared" si="103"/>
        <v>0</v>
      </c>
      <c r="J36" s="60">
        <f t="shared" si="103"/>
        <v>0</v>
      </c>
      <c r="K36" s="60">
        <f t="shared" si="103"/>
        <v>0</v>
      </c>
      <c r="L36" s="60">
        <f t="shared" si="103"/>
        <v>52.432433751599994</v>
      </c>
      <c r="M36" s="60">
        <f t="shared" si="103"/>
        <v>107.63964708937019</v>
      </c>
      <c r="N36" s="60">
        <f t="shared" si="103"/>
        <v>165.55255890204194</v>
      </c>
      <c r="O36" s="60">
        <f t="shared" si="103"/>
        <v>223.03521696438671</v>
      </c>
      <c r="P36" s="372">
        <f t="shared" si="103"/>
        <v>223.03521696438671</v>
      </c>
      <c r="Q36" s="60">
        <f t="shared" si="103"/>
        <v>670.85927290143945</v>
      </c>
      <c r="R36" s="60">
        <f t="shared" si="103"/>
        <v>1118.0254219241542</v>
      </c>
      <c r="S36" s="60">
        <f t="shared" si="103"/>
        <v>1586.238500276472</v>
      </c>
      <c r="T36" s="60">
        <f t="shared" si="103"/>
        <v>2074.8724429100689</v>
      </c>
      <c r="U36" s="60">
        <f t="shared" si="103"/>
        <v>2583.2752489680606</v>
      </c>
      <c r="V36" s="60">
        <f t="shared" si="103"/>
        <v>3110.770480305282</v>
      </c>
      <c r="W36" s="60">
        <f t="shared" si="103"/>
        <v>3656.6588098628822</v>
      </c>
      <c r="X36" s="60">
        <f t="shared" si="103"/>
        <v>4220.2196148782105</v>
      </c>
      <c r="Y36" s="60">
        <f t="shared" si="103"/>
        <v>4800.7126097916753</v>
      </c>
      <c r="Z36" s="60">
        <f t="shared" si="103"/>
        <v>5397.3795136144308</v>
      </c>
      <c r="AA36" s="60">
        <f t="shared" si="103"/>
        <v>6009.4457464446541</v>
      </c>
      <c r="AB36" s="60">
        <f t="shared" si="103"/>
        <v>6607.7895307754989</v>
      </c>
      <c r="AC36" s="372">
        <f t="shared" si="103"/>
        <v>6607.7895307754989</v>
      </c>
      <c r="AD36" s="60">
        <f t="shared" si="103"/>
        <v>7894.3166349620615</v>
      </c>
      <c r="AE36" s="60">
        <f t="shared" si="103"/>
        <v>8550.060053944595</v>
      </c>
      <c r="AF36" s="60">
        <f t="shared" si="103"/>
        <v>9234.7530588993159</v>
      </c>
      <c r="AG36" s="60">
        <f t="shared" si="103"/>
        <v>9947.3201374106393</v>
      </c>
      <c r="AH36" s="60">
        <f t="shared" si="103"/>
        <v>10686.658485370264</v>
      </c>
      <c r="AI36" s="60">
        <f t="shared" si="103"/>
        <v>11451.64058102323</v>
      </c>
      <c r="AJ36" s="60">
        <f t="shared" ref="AJ36:BO36" si="104">AJ20*AJ35</f>
        <v>12241.116786058485</v>
      </c>
      <c r="AK36" s="60">
        <f t="shared" si="104"/>
        <v>13053.917965575571</v>
      </c>
      <c r="AL36" s="60">
        <f t="shared" si="104"/>
        <v>13888.858118803253</v>
      </c>
      <c r="AM36" s="60">
        <f t="shared" si="104"/>
        <v>14744.737012522088</v>
      </c>
      <c r="AN36" s="60">
        <f t="shared" si="104"/>
        <v>15620.342809250003</v>
      </c>
      <c r="AO36" s="60">
        <f t="shared" si="104"/>
        <v>16466.691428589569</v>
      </c>
      <c r="AP36" s="372">
        <f t="shared" si="104"/>
        <v>16466.691428589569</v>
      </c>
      <c r="AQ36" s="60">
        <f t="shared" si="104"/>
        <v>18661.720800740521</v>
      </c>
      <c r="AR36" s="60">
        <f t="shared" si="104"/>
        <v>19242.472937326442</v>
      </c>
      <c r="AS36" s="60">
        <f t="shared" si="104"/>
        <v>19854.420782831112</v>
      </c>
      <c r="AT36" s="60">
        <f t="shared" si="104"/>
        <v>20496.344073085114</v>
      </c>
      <c r="AU36" s="60">
        <f t="shared" si="104"/>
        <v>21167.001375903212</v>
      </c>
      <c r="AV36" s="60">
        <f t="shared" si="104"/>
        <v>21865.132986725013</v>
      </c>
      <c r="AW36" s="60">
        <f t="shared" si="104"/>
        <v>22589.463813471626</v>
      </c>
      <c r="AX36" s="60">
        <f t="shared" si="104"/>
        <v>23338.706242173917</v>
      </c>
      <c r="AY36" s="60">
        <f t="shared" si="104"/>
        <v>24111.562975160163</v>
      </c>
      <c r="AZ36" s="60">
        <f t="shared" si="104"/>
        <v>24906.729833850983</v>
      </c>
      <c r="BA36" s="60">
        <f t="shared" si="104"/>
        <v>25722.89851849648</v>
      </c>
      <c r="BB36" s="60">
        <f t="shared" si="104"/>
        <v>26499.571541660589</v>
      </c>
      <c r="BC36" s="372">
        <f t="shared" si="104"/>
        <v>26499.571541660589</v>
      </c>
      <c r="BD36" s="60">
        <f t="shared" si="104"/>
        <v>29542.835209697136</v>
      </c>
      <c r="BE36" s="60">
        <f t="shared" si="104"/>
        <v>29977.08867741629</v>
      </c>
      <c r="BF36" s="60">
        <f t="shared" si="104"/>
        <v>30450.83117167019</v>
      </c>
      <c r="BG36" s="60">
        <f t="shared" si="104"/>
        <v>30962.581979787938</v>
      </c>
      <c r="BH36" s="60">
        <f t="shared" si="104"/>
        <v>31510.84113480095</v>
      </c>
      <c r="BI36" s="60">
        <f t="shared" si="104"/>
        <v>32094.092906361504</v>
      </c>
      <c r="BJ36" s="60">
        <f t="shared" si="104"/>
        <v>32710.809242051244</v>
      </c>
      <c r="BK36" s="60">
        <f t="shared" si="104"/>
        <v>33359.453150020927</v>
      </c>
      <c r="BL36" s="60">
        <f t="shared" si="104"/>
        <v>34038.482014338762</v>
      </c>
      <c r="BM36" s="60">
        <f t="shared" si="104"/>
        <v>34746.350834884484</v>
      </c>
      <c r="BN36" s="60">
        <f t="shared" si="104"/>
        <v>35481.515384106955</v>
      </c>
      <c r="BO36" s="60">
        <f t="shared" si="104"/>
        <v>36168.02599128228</v>
      </c>
      <c r="BP36" s="372">
        <f t="shared" ref="BP36" si="105">BP20*BP35</f>
        <v>36168.02599128228</v>
      </c>
      <c r="CF36" s="60" t="s">
        <v>1055</v>
      </c>
      <c r="CG36" s="13" t="s">
        <v>965</v>
      </c>
    </row>
    <row r="37" spans="1:85" s="6" customFormat="1">
      <c r="A37" s="6" t="s">
        <v>719</v>
      </c>
      <c r="B37" s="13" t="s">
        <v>130</v>
      </c>
      <c r="D37" s="5"/>
      <c r="E37" s="5"/>
      <c r="F37" s="5"/>
      <c r="G37" s="5"/>
      <c r="H37" s="5"/>
      <c r="I37" s="5"/>
      <c r="J37" s="5"/>
      <c r="K37" s="5"/>
      <c r="L37" s="5">
        <f t="shared" ref="L37:AI37" si="106">L36/L22*1000000</f>
        <v>53030.303030303032</v>
      </c>
      <c r="M37" s="5">
        <f t="shared" si="106"/>
        <v>53030.303030303032</v>
      </c>
      <c r="N37" s="5">
        <f t="shared" si="106"/>
        <v>53030.303030303025</v>
      </c>
      <c r="O37" s="5">
        <f t="shared" si="106"/>
        <v>53030.303030303025</v>
      </c>
      <c r="P37" s="383">
        <f t="shared" si="106"/>
        <v>53030.303030303025</v>
      </c>
      <c r="Q37" s="5">
        <f t="shared" si="106"/>
        <v>58629.44162436547</v>
      </c>
      <c r="R37" s="5">
        <f t="shared" si="106"/>
        <v>58629.44162436547</v>
      </c>
      <c r="S37" s="5">
        <f t="shared" si="106"/>
        <v>58629.44162436547</v>
      </c>
      <c r="T37" s="5">
        <f t="shared" si="106"/>
        <v>58629.441624365463</v>
      </c>
      <c r="U37" s="5">
        <f t="shared" si="106"/>
        <v>58629.44162436547</v>
      </c>
      <c r="V37" s="5">
        <f t="shared" si="106"/>
        <v>58629.44162436547</v>
      </c>
      <c r="W37" s="5">
        <f t="shared" si="106"/>
        <v>58629.441624365478</v>
      </c>
      <c r="X37" s="5">
        <f t="shared" si="106"/>
        <v>58629.44162436547</v>
      </c>
      <c r="Y37" s="5">
        <f t="shared" si="106"/>
        <v>58629.441624365478</v>
      </c>
      <c r="Z37" s="5">
        <f t="shared" si="106"/>
        <v>58629.441624365478</v>
      </c>
      <c r="AA37" s="5">
        <f t="shared" si="106"/>
        <v>58629.441624365485</v>
      </c>
      <c r="AB37" s="5">
        <f t="shared" si="106"/>
        <v>58629.44162436547</v>
      </c>
      <c r="AC37" s="383">
        <f t="shared" si="106"/>
        <v>58629.44162436547</v>
      </c>
      <c r="AD37" s="5">
        <f t="shared" si="106"/>
        <v>64821.428571428572</v>
      </c>
      <c r="AE37" s="5">
        <f t="shared" si="106"/>
        <v>64821.428571428572</v>
      </c>
      <c r="AF37" s="5">
        <f t="shared" si="106"/>
        <v>64821.428571428587</v>
      </c>
      <c r="AG37" s="5">
        <f t="shared" si="106"/>
        <v>64821.428571428587</v>
      </c>
      <c r="AH37" s="5">
        <f t="shared" si="106"/>
        <v>64821.428571428587</v>
      </c>
      <c r="AI37" s="5">
        <f t="shared" si="106"/>
        <v>64821.428571428572</v>
      </c>
      <c r="AJ37" s="5">
        <f t="shared" ref="AJ37:BO37" si="107">AJ36/AJ22*1000000</f>
        <v>64821.428571428572</v>
      </c>
      <c r="AK37" s="5">
        <f t="shared" si="107"/>
        <v>64821.428571428587</v>
      </c>
      <c r="AL37" s="5">
        <f t="shared" si="107"/>
        <v>64821.428571428572</v>
      </c>
      <c r="AM37" s="5">
        <f t="shared" si="107"/>
        <v>64821.428571428587</v>
      </c>
      <c r="AN37" s="5">
        <f t="shared" si="107"/>
        <v>64821.428571428587</v>
      </c>
      <c r="AO37" s="5">
        <f t="shared" si="107"/>
        <v>64821.428571428587</v>
      </c>
      <c r="AP37" s="383">
        <f t="shared" si="107"/>
        <v>64821.428571428587</v>
      </c>
      <c r="AQ37" s="5">
        <f t="shared" si="107"/>
        <v>71669.23076923078</v>
      </c>
      <c r="AR37" s="5">
        <f t="shared" si="107"/>
        <v>71669.230769230795</v>
      </c>
      <c r="AS37" s="5">
        <f t="shared" si="107"/>
        <v>71669.23076923078</v>
      </c>
      <c r="AT37" s="5">
        <f t="shared" si="107"/>
        <v>71669.23076923078</v>
      </c>
      <c r="AU37" s="5">
        <f t="shared" si="107"/>
        <v>71669.23076923078</v>
      </c>
      <c r="AV37" s="5">
        <f t="shared" si="107"/>
        <v>71669.230769230766</v>
      </c>
      <c r="AW37" s="5">
        <f t="shared" si="107"/>
        <v>71669.23076923078</v>
      </c>
      <c r="AX37" s="5">
        <f t="shared" si="107"/>
        <v>71669.23076923078</v>
      </c>
      <c r="AY37" s="5">
        <f t="shared" si="107"/>
        <v>71669.230769230795</v>
      </c>
      <c r="AZ37" s="5">
        <f t="shared" si="107"/>
        <v>71669.230769230795</v>
      </c>
      <c r="BA37" s="5">
        <f t="shared" si="107"/>
        <v>71669.23076923078</v>
      </c>
      <c r="BB37" s="5">
        <f t="shared" si="107"/>
        <v>71669.23076923078</v>
      </c>
      <c r="BC37" s="383">
        <f t="shared" si="107"/>
        <v>71669.23076923078</v>
      </c>
      <c r="BD37" s="5">
        <f t="shared" si="107"/>
        <v>79242.525773195885</v>
      </c>
      <c r="BE37" s="5">
        <f t="shared" si="107"/>
        <v>79242.525773195885</v>
      </c>
      <c r="BF37" s="5">
        <f t="shared" si="107"/>
        <v>79242.525773195899</v>
      </c>
      <c r="BG37" s="5">
        <f t="shared" si="107"/>
        <v>79242.525773195899</v>
      </c>
      <c r="BH37" s="5">
        <f t="shared" si="107"/>
        <v>79242.525773195885</v>
      </c>
      <c r="BI37" s="5">
        <f t="shared" si="107"/>
        <v>79242.525773195885</v>
      </c>
      <c r="BJ37" s="5">
        <f t="shared" si="107"/>
        <v>79242.525773195885</v>
      </c>
      <c r="BK37" s="5">
        <f t="shared" si="107"/>
        <v>79242.525773195885</v>
      </c>
      <c r="BL37" s="5">
        <f t="shared" si="107"/>
        <v>79242.525773195899</v>
      </c>
      <c r="BM37" s="5">
        <f t="shared" si="107"/>
        <v>79242.525773195899</v>
      </c>
      <c r="BN37" s="5">
        <f t="shared" si="107"/>
        <v>79242.525773195899</v>
      </c>
      <c r="BO37" s="5">
        <f t="shared" si="107"/>
        <v>79242.525773195885</v>
      </c>
      <c r="BP37" s="383">
        <f t="shared" ref="BP37" si="108">BP36/BP22*1000000</f>
        <v>79242.525773195885</v>
      </c>
      <c r="CF37" s="6" t="s">
        <v>1056</v>
      </c>
      <c r="CG37" s="13" t="s">
        <v>966</v>
      </c>
    </row>
    <row r="38" spans="1:85" s="40" customFormat="1">
      <c r="A38" s="40" t="s">
        <v>718</v>
      </c>
      <c r="B38" s="285" t="s">
        <v>231</v>
      </c>
      <c r="L38" s="40">
        <f t="shared" ref="L38:AI38" si="109">L37/L19</f>
        <v>0.70707070707070707</v>
      </c>
      <c r="M38" s="40">
        <f t="shared" si="109"/>
        <v>0.70707070707070707</v>
      </c>
      <c r="N38" s="40">
        <f t="shared" si="109"/>
        <v>0.70707070707070696</v>
      </c>
      <c r="O38" s="40">
        <f t="shared" si="109"/>
        <v>0.70707070707070696</v>
      </c>
      <c r="P38" s="460">
        <f t="shared" si="109"/>
        <v>0.70707070707070696</v>
      </c>
      <c r="Q38" s="40">
        <f t="shared" si="109"/>
        <v>0.71065989847715727</v>
      </c>
      <c r="R38" s="40">
        <f t="shared" si="109"/>
        <v>0.71065989847715727</v>
      </c>
      <c r="S38" s="40">
        <f t="shared" si="109"/>
        <v>0.71065989847715727</v>
      </c>
      <c r="T38" s="40">
        <f t="shared" si="109"/>
        <v>0.71065989847715716</v>
      </c>
      <c r="U38" s="40">
        <f t="shared" si="109"/>
        <v>0.71065989847715727</v>
      </c>
      <c r="V38" s="40">
        <f t="shared" si="109"/>
        <v>0.71065989847715727</v>
      </c>
      <c r="W38" s="40">
        <f t="shared" si="109"/>
        <v>0.71065989847715727</v>
      </c>
      <c r="X38" s="40">
        <f t="shared" si="109"/>
        <v>0.71065989847715727</v>
      </c>
      <c r="Y38" s="40">
        <f t="shared" si="109"/>
        <v>0.71065989847715727</v>
      </c>
      <c r="Z38" s="40">
        <f t="shared" si="109"/>
        <v>0.71065989847715727</v>
      </c>
      <c r="AA38" s="40">
        <f t="shared" si="109"/>
        <v>0.71065989847715738</v>
      </c>
      <c r="AB38" s="40">
        <f t="shared" si="109"/>
        <v>0.71065989847715727</v>
      </c>
      <c r="AC38" s="460">
        <f t="shared" si="109"/>
        <v>0.71065989847715727</v>
      </c>
      <c r="AD38" s="40">
        <f t="shared" si="109"/>
        <v>0.71428571428571419</v>
      </c>
      <c r="AE38" s="40">
        <f t="shared" si="109"/>
        <v>0.71428571428571419</v>
      </c>
      <c r="AF38" s="40">
        <f t="shared" si="109"/>
        <v>0.7142857142857143</v>
      </c>
      <c r="AG38" s="40">
        <f t="shared" si="109"/>
        <v>0.7142857142857143</v>
      </c>
      <c r="AH38" s="40">
        <f t="shared" si="109"/>
        <v>0.7142857142857143</v>
      </c>
      <c r="AI38" s="40">
        <f t="shared" si="109"/>
        <v>0.71428571428571419</v>
      </c>
      <c r="AJ38" s="40">
        <f t="shared" ref="AJ38:BO38" si="110">AJ37/AJ19</f>
        <v>0.71428571428571419</v>
      </c>
      <c r="AK38" s="40">
        <f t="shared" si="110"/>
        <v>0.7142857142857143</v>
      </c>
      <c r="AL38" s="40">
        <f t="shared" si="110"/>
        <v>0.71428571428571419</v>
      </c>
      <c r="AM38" s="40">
        <f t="shared" si="110"/>
        <v>0.7142857142857143</v>
      </c>
      <c r="AN38" s="40">
        <f t="shared" si="110"/>
        <v>0.7142857142857143</v>
      </c>
      <c r="AO38" s="40">
        <f t="shared" si="110"/>
        <v>0.7142857142857143</v>
      </c>
      <c r="AP38" s="460">
        <f t="shared" si="110"/>
        <v>0.7142857142857143</v>
      </c>
      <c r="AQ38" s="40">
        <f t="shared" si="110"/>
        <v>0.71794871794871795</v>
      </c>
      <c r="AR38" s="40">
        <f t="shared" si="110"/>
        <v>0.71794871794871806</v>
      </c>
      <c r="AS38" s="40">
        <f t="shared" si="110"/>
        <v>0.71794871794871795</v>
      </c>
      <c r="AT38" s="40">
        <f t="shared" si="110"/>
        <v>0.71794871794871795</v>
      </c>
      <c r="AU38" s="40">
        <f t="shared" si="110"/>
        <v>0.71794871794871795</v>
      </c>
      <c r="AV38" s="40">
        <f t="shared" si="110"/>
        <v>0.71794871794871784</v>
      </c>
      <c r="AW38" s="40">
        <f t="shared" si="110"/>
        <v>0.71794871794871795</v>
      </c>
      <c r="AX38" s="40">
        <f t="shared" si="110"/>
        <v>0.71794871794871795</v>
      </c>
      <c r="AY38" s="40">
        <f t="shared" si="110"/>
        <v>0.71794871794871806</v>
      </c>
      <c r="AZ38" s="40">
        <f t="shared" si="110"/>
        <v>0.71794871794871806</v>
      </c>
      <c r="BA38" s="40">
        <f t="shared" si="110"/>
        <v>0.71794871794871795</v>
      </c>
      <c r="BB38" s="40">
        <f t="shared" si="110"/>
        <v>0.71794871794871795</v>
      </c>
      <c r="BC38" s="460">
        <f t="shared" si="110"/>
        <v>0.71794871794871795</v>
      </c>
      <c r="BD38" s="40">
        <f t="shared" si="110"/>
        <v>0.72164948453608235</v>
      </c>
      <c r="BE38" s="40">
        <f t="shared" si="110"/>
        <v>0.72164948453608235</v>
      </c>
      <c r="BF38" s="40">
        <f t="shared" si="110"/>
        <v>0.72164948453608246</v>
      </c>
      <c r="BG38" s="40">
        <f t="shared" si="110"/>
        <v>0.72164948453608246</v>
      </c>
      <c r="BH38" s="40">
        <f t="shared" si="110"/>
        <v>0.72164948453608235</v>
      </c>
      <c r="BI38" s="40">
        <f t="shared" si="110"/>
        <v>0.72164948453608235</v>
      </c>
      <c r="BJ38" s="40">
        <f t="shared" si="110"/>
        <v>0.72164948453608235</v>
      </c>
      <c r="BK38" s="40">
        <f t="shared" si="110"/>
        <v>0.72164948453608235</v>
      </c>
      <c r="BL38" s="40">
        <f t="shared" si="110"/>
        <v>0.72164948453608246</v>
      </c>
      <c r="BM38" s="40">
        <f t="shared" si="110"/>
        <v>0.72164948453608246</v>
      </c>
      <c r="BN38" s="40">
        <f t="shared" si="110"/>
        <v>0.72164948453608246</v>
      </c>
      <c r="BO38" s="40">
        <f t="shared" si="110"/>
        <v>0.72164948453608235</v>
      </c>
      <c r="BP38" s="460">
        <f t="shared" ref="BP38" si="111">BP37/BP19</f>
        <v>0.72164948453608235</v>
      </c>
      <c r="CF38" s="40" t="s">
        <v>1059</v>
      </c>
      <c r="CG38" s="285" t="s">
        <v>231</v>
      </c>
    </row>
    <row r="39" spans="1:85" s="365" customFormat="1" outlineLevel="1">
      <c r="A39" s="370" t="s">
        <v>717</v>
      </c>
      <c r="B39" s="454" t="s">
        <v>231</v>
      </c>
      <c r="C39" s="369">
        <f t="shared" ref="C39:AH39" si="112">C23</f>
        <v>0</v>
      </c>
      <c r="D39" s="369">
        <f t="shared" si="112"/>
        <v>8.3333333333333332E-3</v>
      </c>
      <c r="E39" s="369">
        <f t="shared" si="112"/>
        <v>1.6666666666666666E-2</v>
      </c>
      <c r="F39" s="369">
        <f t="shared" si="112"/>
        <v>2.5000000000000001E-2</v>
      </c>
      <c r="G39" s="369">
        <f t="shared" si="112"/>
        <v>3.3333333333333333E-2</v>
      </c>
      <c r="H39" s="369">
        <f t="shared" si="112"/>
        <v>4.1666666666666664E-2</v>
      </c>
      <c r="I39" s="369">
        <f t="shared" si="112"/>
        <v>4.9999999999999996E-2</v>
      </c>
      <c r="J39" s="369">
        <f t="shared" si="112"/>
        <v>5.8333333333333327E-2</v>
      </c>
      <c r="K39" s="369">
        <f t="shared" si="112"/>
        <v>6.6666666666666666E-2</v>
      </c>
      <c r="L39" s="369">
        <f t="shared" si="112"/>
        <v>7.4999999999999997E-2</v>
      </c>
      <c r="M39" s="369">
        <f t="shared" si="112"/>
        <v>8.3333333333333329E-2</v>
      </c>
      <c r="N39" s="369">
        <f t="shared" si="112"/>
        <v>9.166666666666666E-2</v>
      </c>
      <c r="O39" s="369">
        <f t="shared" si="112"/>
        <v>9.9999999999999992E-2</v>
      </c>
      <c r="P39" s="368">
        <f t="shared" si="112"/>
        <v>0.1</v>
      </c>
      <c r="Q39" s="369">
        <f t="shared" si="112"/>
        <v>0.10250000000000001</v>
      </c>
      <c r="R39" s="369">
        <f t="shared" si="112"/>
        <v>0.10500000000000001</v>
      </c>
      <c r="S39" s="369">
        <f t="shared" si="112"/>
        <v>0.10750000000000001</v>
      </c>
      <c r="T39" s="369">
        <f t="shared" si="112"/>
        <v>0.11000000000000001</v>
      </c>
      <c r="U39" s="369">
        <f t="shared" si="112"/>
        <v>0.11250000000000002</v>
      </c>
      <c r="V39" s="369">
        <f t="shared" si="112"/>
        <v>0.11500000000000002</v>
      </c>
      <c r="W39" s="369">
        <f t="shared" si="112"/>
        <v>0.11750000000000002</v>
      </c>
      <c r="X39" s="369">
        <f t="shared" si="112"/>
        <v>0.12000000000000002</v>
      </c>
      <c r="Y39" s="369">
        <f t="shared" si="112"/>
        <v>0.12250000000000003</v>
      </c>
      <c r="Z39" s="369">
        <f t="shared" si="112"/>
        <v>0.12500000000000003</v>
      </c>
      <c r="AA39" s="369">
        <f t="shared" si="112"/>
        <v>0.12750000000000003</v>
      </c>
      <c r="AB39" s="369">
        <f t="shared" si="112"/>
        <v>0.13000000000000003</v>
      </c>
      <c r="AC39" s="368">
        <f t="shared" si="112"/>
        <v>0.13</v>
      </c>
      <c r="AD39" s="369">
        <f t="shared" si="112"/>
        <v>0.13250000000000001</v>
      </c>
      <c r="AE39" s="369">
        <f t="shared" si="112"/>
        <v>0.13500000000000001</v>
      </c>
      <c r="AF39" s="369">
        <f t="shared" si="112"/>
        <v>0.13750000000000001</v>
      </c>
      <c r="AG39" s="369">
        <f t="shared" si="112"/>
        <v>0.14000000000000001</v>
      </c>
      <c r="AH39" s="369">
        <f t="shared" si="112"/>
        <v>0.14250000000000002</v>
      </c>
      <c r="AI39" s="369">
        <f t="shared" ref="AI39:BP39" si="113">AI23</f>
        <v>0.14500000000000002</v>
      </c>
      <c r="AJ39" s="369">
        <f t="shared" si="113"/>
        <v>0.14750000000000002</v>
      </c>
      <c r="AK39" s="369">
        <f t="shared" si="113"/>
        <v>0.15000000000000002</v>
      </c>
      <c r="AL39" s="369">
        <f t="shared" si="113"/>
        <v>0.15250000000000002</v>
      </c>
      <c r="AM39" s="369">
        <f t="shared" si="113"/>
        <v>0.15500000000000003</v>
      </c>
      <c r="AN39" s="369">
        <f t="shared" si="113"/>
        <v>0.15750000000000003</v>
      </c>
      <c r="AO39" s="369">
        <f t="shared" si="113"/>
        <v>0.16000000000000003</v>
      </c>
      <c r="AP39" s="368">
        <f t="shared" si="113"/>
        <v>0.16</v>
      </c>
      <c r="AQ39" s="369">
        <f t="shared" si="113"/>
        <v>0.16250000000000001</v>
      </c>
      <c r="AR39" s="369">
        <f t="shared" si="113"/>
        <v>0.16500000000000001</v>
      </c>
      <c r="AS39" s="369">
        <f t="shared" si="113"/>
        <v>0.16750000000000001</v>
      </c>
      <c r="AT39" s="369">
        <f t="shared" si="113"/>
        <v>0.17</v>
      </c>
      <c r="AU39" s="369">
        <f t="shared" si="113"/>
        <v>0.17250000000000001</v>
      </c>
      <c r="AV39" s="369">
        <f t="shared" si="113"/>
        <v>0.17500000000000002</v>
      </c>
      <c r="AW39" s="369">
        <f t="shared" si="113"/>
        <v>0.17750000000000002</v>
      </c>
      <c r="AX39" s="369">
        <f t="shared" si="113"/>
        <v>0.18000000000000002</v>
      </c>
      <c r="AY39" s="369">
        <f t="shared" si="113"/>
        <v>0.18250000000000002</v>
      </c>
      <c r="AZ39" s="369">
        <f t="shared" si="113"/>
        <v>0.18500000000000003</v>
      </c>
      <c r="BA39" s="369">
        <f t="shared" si="113"/>
        <v>0.18750000000000003</v>
      </c>
      <c r="BB39" s="369">
        <f t="shared" si="113"/>
        <v>0.19000000000000003</v>
      </c>
      <c r="BC39" s="368">
        <f t="shared" si="113"/>
        <v>0.19</v>
      </c>
      <c r="BD39" s="369">
        <f t="shared" si="113"/>
        <v>0.1925</v>
      </c>
      <c r="BE39" s="369">
        <f t="shared" si="113"/>
        <v>0.19500000000000001</v>
      </c>
      <c r="BF39" s="369">
        <f t="shared" si="113"/>
        <v>0.19750000000000001</v>
      </c>
      <c r="BG39" s="369">
        <f t="shared" si="113"/>
        <v>0.2</v>
      </c>
      <c r="BH39" s="369">
        <f t="shared" si="113"/>
        <v>0.20250000000000001</v>
      </c>
      <c r="BI39" s="369">
        <f t="shared" si="113"/>
        <v>0.20500000000000002</v>
      </c>
      <c r="BJ39" s="369">
        <f t="shared" si="113"/>
        <v>0.20750000000000002</v>
      </c>
      <c r="BK39" s="369">
        <f t="shared" si="113"/>
        <v>0.21000000000000002</v>
      </c>
      <c r="BL39" s="369">
        <f t="shared" si="113"/>
        <v>0.21250000000000002</v>
      </c>
      <c r="BM39" s="369">
        <f t="shared" si="113"/>
        <v>0.21500000000000002</v>
      </c>
      <c r="BN39" s="369">
        <f t="shared" si="113"/>
        <v>0.21750000000000003</v>
      </c>
      <c r="BO39" s="369">
        <f t="shared" si="113"/>
        <v>0.22000000000000003</v>
      </c>
      <c r="BP39" s="368">
        <f t="shared" si="113"/>
        <v>0.22</v>
      </c>
      <c r="CF39" s="370" t="s">
        <v>1057</v>
      </c>
      <c r="CG39" s="454" t="s">
        <v>231</v>
      </c>
    </row>
    <row r="40" spans="1:85" s="365" customFormat="1" outlineLevel="1">
      <c r="A40" s="370" t="s">
        <v>716</v>
      </c>
      <c r="B40" s="454" t="s">
        <v>231</v>
      </c>
      <c r="C40" s="369">
        <f t="shared" ref="C40:AH40" si="114">C24</f>
        <v>1</v>
      </c>
      <c r="D40" s="369">
        <f t="shared" si="114"/>
        <v>0.9916666666666667</v>
      </c>
      <c r="E40" s="369">
        <f t="shared" si="114"/>
        <v>0.98333333333333328</v>
      </c>
      <c r="F40" s="369">
        <f t="shared" si="114"/>
        <v>0.97499999999999998</v>
      </c>
      <c r="G40" s="369">
        <f t="shared" si="114"/>
        <v>0.96666666666666667</v>
      </c>
      <c r="H40" s="369">
        <f t="shared" si="114"/>
        <v>0.95833333333333337</v>
      </c>
      <c r="I40" s="369">
        <f t="shared" si="114"/>
        <v>0.95</v>
      </c>
      <c r="J40" s="369">
        <f t="shared" si="114"/>
        <v>0.94166666666666665</v>
      </c>
      <c r="K40" s="369">
        <f t="shared" si="114"/>
        <v>0.93333333333333335</v>
      </c>
      <c r="L40" s="369">
        <f t="shared" si="114"/>
        <v>0.92500000000000004</v>
      </c>
      <c r="M40" s="369">
        <f t="shared" si="114"/>
        <v>0.91666666666666663</v>
      </c>
      <c r="N40" s="369">
        <f t="shared" si="114"/>
        <v>0.90833333333333333</v>
      </c>
      <c r="O40" s="369">
        <f t="shared" si="114"/>
        <v>0.9</v>
      </c>
      <c r="P40" s="368">
        <f t="shared" si="114"/>
        <v>0.9</v>
      </c>
      <c r="Q40" s="369">
        <f t="shared" si="114"/>
        <v>0.89749999999999996</v>
      </c>
      <c r="R40" s="369">
        <f t="shared" si="114"/>
        <v>0.89500000000000002</v>
      </c>
      <c r="S40" s="369">
        <f t="shared" si="114"/>
        <v>0.89249999999999996</v>
      </c>
      <c r="T40" s="369">
        <f t="shared" si="114"/>
        <v>0.89</v>
      </c>
      <c r="U40" s="369">
        <f t="shared" si="114"/>
        <v>0.88749999999999996</v>
      </c>
      <c r="V40" s="369">
        <f t="shared" si="114"/>
        <v>0.88500000000000001</v>
      </c>
      <c r="W40" s="369">
        <f t="shared" si="114"/>
        <v>0.88249999999999995</v>
      </c>
      <c r="X40" s="369">
        <f t="shared" si="114"/>
        <v>0.88</v>
      </c>
      <c r="Y40" s="369">
        <f t="shared" si="114"/>
        <v>0.87749999999999995</v>
      </c>
      <c r="Z40" s="369">
        <f t="shared" si="114"/>
        <v>0.875</v>
      </c>
      <c r="AA40" s="369">
        <f t="shared" si="114"/>
        <v>0.87249999999999994</v>
      </c>
      <c r="AB40" s="369">
        <f t="shared" si="114"/>
        <v>0.87</v>
      </c>
      <c r="AC40" s="368">
        <f t="shared" si="114"/>
        <v>0.87</v>
      </c>
      <c r="AD40" s="369">
        <f t="shared" si="114"/>
        <v>0.86749999999999994</v>
      </c>
      <c r="AE40" s="369">
        <f t="shared" si="114"/>
        <v>0.86499999999999999</v>
      </c>
      <c r="AF40" s="369">
        <f t="shared" si="114"/>
        <v>0.86250000000000004</v>
      </c>
      <c r="AG40" s="369">
        <f t="shared" si="114"/>
        <v>0.86</v>
      </c>
      <c r="AH40" s="369">
        <f t="shared" si="114"/>
        <v>0.85749999999999993</v>
      </c>
      <c r="AI40" s="369">
        <f t="shared" ref="AI40:BP40" si="115">AI24</f>
        <v>0.85499999999999998</v>
      </c>
      <c r="AJ40" s="369">
        <f t="shared" si="115"/>
        <v>0.85250000000000004</v>
      </c>
      <c r="AK40" s="369">
        <f t="shared" si="115"/>
        <v>0.85</v>
      </c>
      <c r="AL40" s="369">
        <f t="shared" si="115"/>
        <v>0.84749999999999992</v>
      </c>
      <c r="AM40" s="369">
        <f t="shared" si="115"/>
        <v>0.84499999999999997</v>
      </c>
      <c r="AN40" s="369">
        <f t="shared" si="115"/>
        <v>0.84250000000000003</v>
      </c>
      <c r="AO40" s="369">
        <f t="shared" si="115"/>
        <v>0.84</v>
      </c>
      <c r="AP40" s="368">
        <f t="shared" si="115"/>
        <v>0.84</v>
      </c>
      <c r="AQ40" s="369">
        <f t="shared" si="115"/>
        <v>0.83750000000000002</v>
      </c>
      <c r="AR40" s="369">
        <f t="shared" si="115"/>
        <v>0.83499999999999996</v>
      </c>
      <c r="AS40" s="369">
        <f t="shared" si="115"/>
        <v>0.83250000000000002</v>
      </c>
      <c r="AT40" s="369">
        <f t="shared" si="115"/>
        <v>0.83</v>
      </c>
      <c r="AU40" s="369">
        <f t="shared" si="115"/>
        <v>0.82750000000000001</v>
      </c>
      <c r="AV40" s="369">
        <f t="shared" si="115"/>
        <v>0.82499999999999996</v>
      </c>
      <c r="AW40" s="369">
        <f t="shared" si="115"/>
        <v>0.82250000000000001</v>
      </c>
      <c r="AX40" s="369">
        <f t="shared" si="115"/>
        <v>0.82</v>
      </c>
      <c r="AY40" s="369">
        <f t="shared" si="115"/>
        <v>0.8175</v>
      </c>
      <c r="AZ40" s="369">
        <f t="shared" si="115"/>
        <v>0.81499999999999995</v>
      </c>
      <c r="BA40" s="369">
        <f t="shared" si="115"/>
        <v>0.8125</v>
      </c>
      <c r="BB40" s="369">
        <f t="shared" si="115"/>
        <v>0.80999999999999994</v>
      </c>
      <c r="BC40" s="368">
        <f t="shared" si="115"/>
        <v>0.81</v>
      </c>
      <c r="BD40" s="369">
        <f t="shared" si="115"/>
        <v>0.8075</v>
      </c>
      <c r="BE40" s="369">
        <f t="shared" si="115"/>
        <v>0.80499999999999994</v>
      </c>
      <c r="BF40" s="369">
        <f t="shared" si="115"/>
        <v>0.80249999999999999</v>
      </c>
      <c r="BG40" s="369">
        <f t="shared" si="115"/>
        <v>0.8</v>
      </c>
      <c r="BH40" s="369">
        <f t="shared" si="115"/>
        <v>0.79749999999999999</v>
      </c>
      <c r="BI40" s="369">
        <f t="shared" si="115"/>
        <v>0.79499999999999993</v>
      </c>
      <c r="BJ40" s="369">
        <f t="shared" si="115"/>
        <v>0.79249999999999998</v>
      </c>
      <c r="BK40" s="369">
        <f t="shared" si="115"/>
        <v>0.79</v>
      </c>
      <c r="BL40" s="369">
        <f t="shared" si="115"/>
        <v>0.78749999999999998</v>
      </c>
      <c r="BM40" s="369">
        <f t="shared" si="115"/>
        <v>0.78499999999999992</v>
      </c>
      <c r="BN40" s="369">
        <f t="shared" si="115"/>
        <v>0.78249999999999997</v>
      </c>
      <c r="BO40" s="369">
        <f t="shared" si="115"/>
        <v>0.78</v>
      </c>
      <c r="BP40" s="368">
        <f t="shared" si="115"/>
        <v>0.78</v>
      </c>
      <c r="CF40" s="370" t="s">
        <v>1058</v>
      </c>
      <c r="CG40" s="454" t="s">
        <v>231</v>
      </c>
    </row>
    <row r="41" spans="1:85" s="365" customFormat="1" outlineLevel="1">
      <c r="A41" s="367" t="s">
        <v>138</v>
      </c>
      <c r="B41" s="454" t="s">
        <v>231</v>
      </c>
      <c r="C41" s="369">
        <f t="shared" ref="C41:AH41" si="116">C25</f>
        <v>0.10000000000000009</v>
      </c>
      <c r="D41" s="369">
        <f t="shared" si="116"/>
        <v>0.10000000000000009</v>
      </c>
      <c r="E41" s="369">
        <f t="shared" si="116"/>
        <v>0.10000000000000009</v>
      </c>
      <c r="F41" s="369">
        <f t="shared" si="116"/>
        <v>0.10000000000000009</v>
      </c>
      <c r="G41" s="369">
        <f t="shared" si="116"/>
        <v>0.10000000000000009</v>
      </c>
      <c r="H41" s="369">
        <f t="shared" si="116"/>
        <v>0.10000000000000009</v>
      </c>
      <c r="I41" s="369">
        <f t="shared" si="116"/>
        <v>0.10000000000000009</v>
      </c>
      <c r="J41" s="369">
        <f t="shared" si="116"/>
        <v>0.10000000000000009</v>
      </c>
      <c r="K41" s="369">
        <f t="shared" si="116"/>
        <v>0.10000000000000009</v>
      </c>
      <c r="L41" s="369">
        <f t="shared" si="116"/>
        <v>0.10000000000000009</v>
      </c>
      <c r="M41" s="369">
        <f t="shared" si="116"/>
        <v>0.10000000000000009</v>
      </c>
      <c r="N41" s="369">
        <f t="shared" si="116"/>
        <v>0.10000000000000009</v>
      </c>
      <c r="O41" s="369">
        <f t="shared" si="116"/>
        <v>0.10000000000000009</v>
      </c>
      <c r="P41" s="368">
        <f t="shared" si="116"/>
        <v>0.10000000000000009</v>
      </c>
      <c r="Q41" s="369">
        <f t="shared" si="116"/>
        <v>0.10000000000000009</v>
      </c>
      <c r="R41" s="369">
        <f t="shared" si="116"/>
        <v>0.10000000000000009</v>
      </c>
      <c r="S41" s="369">
        <f t="shared" si="116"/>
        <v>0.10000000000000009</v>
      </c>
      <c r="T41" s="369">
        <f t="shared" si="116"/>
        <v>0.10000000000000009</v>
      </c>
      <c r="U41" s="369">
        <f t="shared" si="116"/>
        <v>0.10000000000000009</v>
      </c>
      <c r="V41" s="369">
        <f t="shared" si="116"/>
        <v>0.10000000000000009</v>
      </c>
      <c r="W41" s="369">
        <f t="shared" si="116"/>
        <v>0.10000000000000009</v>
      </c>
      <c r="X41" s="369">
        <f t="shared" si="116"/>
        <v>0.10000000000000009</v>
      </c>
      <c r="Y41" s="369">
        <f t="shared" si="116"/>
        <v>0.10000000000000009</v>
      </c>
      <c r="Z41" s="369">
        <f t="shared" si="116"/>
        <v>0.10000000000000009</v>
      </c>
      <c r="AA41" s="369">
        <f t="shared" si="116"/>
        <v>0.10000000000000009</v>
      </c>
      <c r="AB41" s="369">
        <f t="shared" si="116"/>
        <v>0.10000000000000009</v>
      </c>
      <c r="AC41" s="368">
        <f t="shared" si="116"/>
        <v>0.10000000000000009</v>
      </c>
      <c r="AD41" s="369">
        <f t="shared" si="116"/>
        <v>0.10000000000000009</v>
      </c>
      <c r="AE41" s="369">
        <f t="shared" si="116"/>
        <v>0.10000000000000009</v>
      </c>
      <c r="AF41" s="369">
        <f t="shared" si="116"/>
        <v>0.10000000000000009</v>
      </c>
      <c r="AG41" s="369">
        <f t="shared" si="116"/>
        <v>0.10000000000000009</v>
      </c>
      <c r="AH41" s="369">
        <f t="shared" si="116"/>
        <v>0.10000000000000009</v>
      </c>
      <c r="AI41" s="369">
        <f t="shared" ref="AI41:BP41" si="117">AI25</f>
        <v>0.10000000000000009</v>
      </c>
      <c r="AJ41" s="369">
        <f t="shared" si="117"/>
        <v>0.10000000000000009</v>
      </c>
      <c r="AK41" s="369">
        <f t="shared" si="117"/>
        <v>0.10000000000000009</v>
      </c>
      <c r="AL41" s="369">
        <f t="shared" si="117"/>
        <v>0.10000000000000009</v>
      </c>
      <c r="AM41" s="369">
        <f t="shared" si="117"/>
        <v>0.10000000000000009</v>
      </c>
      <c r="AN41" s="369">
        <f t="shared" si="117"/>
        <v>0.10000000000000009</v>
      </c>
      <c r="AO41" s="369">
        <f t="shared" si="117"/>
        <v>0.10000000000000009</v>
      </c>
      <c r="AP41" s="368">
        <f t="shared" si="117"/>
        <v>0.10000000000000009</v>
      </c>
      <c r="AQ41" s="369">
        <f t="shared" si="117"/>
        <v>0.10000000000000009</v>
      </c>
      <c r="AR41" s="369">
        <f t="shared" si="117"/>
        <v>0.10000000000000009</v>
      </c>
      <c r="AS41" s="369">
        <f t="shared" si="117"/>
        <v>0.10000000000000009</v>
      </c>
      <c r="AT41" s="369">
        <f t="shared" si="117"/>
        <v>0.10000000000000009</v>
      </c>
      <c r="AU41" s="369">
        <f t="shared" si="117"/>
        <v>0.10000000000000009</v>
      </c>
      <c r="AV41" s="369">
        <f t="shared" si="117"/>
        <v>0.10000000000000009</v>
      </c>
      <c r="AW41" s="369">
        <f t="shared" si="117"/>
        <v>0.10000000000000009</v>
      </c>
      <c r="AX41" s="369">
        <f t="shared" si="117"/>
        <v>0.10000000000000009</v>
      </c>
      <c r="AY41" s="369">
        <f t="shared" si="117"/>
        <v>0.10000000000000009</v>
      </c>
      <c r="AZ41" s="369">
        <f t="shared" si="117"/>
        <v>0.10000000000000009</v>
      </c>
      <c r="BA41" s="369">
        <f t="shared" si="117"/>
        <v>0.10000000000000009</v>
      </c>
      <c r="BB41" s="369">
        <f t="shared" si="117"/>
        <v>0.10000000000000009</v>
      </c>
      <c r="BC41" s="368">
        <f t="shared" si="117"/>
        <v>0.10000000000000009</v>
      </c>
      <c r="BD41" s="369">
        <f t="shared" si="117"/>
        <v>0.10000000000000009</v>
      </c>
      <c r="BE41" s="369">
        <f t="shared" si="117"/>
        <v>0.10000000000000009</v>
      </c>
      <c r="BF41" s="369">
        <f t="shared" si="117"/>
        <v>0.10000000000000009</v>
      </c>
      <c r="BG41" s="369">
        <f t="shared" si="117"/>
        <v>0.10000000000000009</v>
      </c>
      <c r="BH41" s="369">
        <f t="shared" si="117"/>
        <v>0.10000000000000009</v>
      </c>
      <c r="BI41" s="369">
        <f t="shared" si="117"/>
        <v>0.10000000000000009</v>
      </c>
      <c r="BJ41" s="369">
        <f t="shared" si="117"/>
        <v>0.10000000000000009</v>
      </c>
      <c r="BK41" s="369">
        <f t="shared" si="117"/>
        <v>0.10000000000000009</v>
      </c>
      <c r="BL41" s="369">
        <f t="shared" si="117"/>
        <v>0.10000000000000009</v>
      </c>
      <c r="BM41" s="369">
        <f t="shared" si="117"/>
        <v>0.10000000000000009</v>
      </c>
      <c r="BN41" s="369">
        <f t="shared" si="117"/>
        <v>0.10000000000000009</v>
      </c>
      <c r="BO41" s="369">
        <f t="shared" si="117"/>
        <v>0.10000000000000009</v>
      </c>
      <c r="BP41" s="368">
        <f t="shared" si="117"/>
        <v>0.10000000000000009</v>
      </c>
      <c r="CF41" s="367" t="s">
        <v>1002</v>
      </c>
      <c r="CG41" s="454" t="s">
        <v>231</v>
      </c>
    </row>
    <row r="42" spans="1:85" s="365" customFormat="1" outlineLevel="1">
      <c r="A42" s="367" t="s">
        <v>142</v>
      </c>
      <c r="B42" s="454" t="s">
        <v>231</v>
      </c>
      <c r="C42" s="369">
        <f t="shared" ref="C42:AH42" si="118">C26</f>
        <v>0.2</v>
      </c>
      <c r="D42" s="369">
        <f t="shared" si="118"/>
        <v>0.2</v>
      </c>
      <c r="E42" s="369">
        <f t="shared" si="118"/>
        <v>0.2</v>
      </c>
      <c r="F42" s="369">
        <f t="shared" si="118"/>
        <v>0.2</v>
      </c>
      <c r="G42" s="369">
        <f t="shared" si="118"/>
        <v>0.2</v>
      </c>
      <c r="H42" s="369">
        <f t="shared" si="118"/>
        <v>0.2</v>
      </c>
      <c r="I42" s="369">
        <f t="shared" si="118"/>
        <v>0.2</v>
      </c>
      <c r="J42" s="369">
        <f t="shared" si="118"/>
        <v>0.2</v>
      </c>
      <c r="K42" s="369">
        <f t="shared" si="118"/>
        <v>0.2</v>
      </c>
      <c r="L42" s="369">
        <f t="shared" si="118"/>
        <v>0.2</v>
      </c>
      <c r="M42" s="369">
        <f t="shared" si="118"/>
        <v>0.2</v>
      </c>
      <c r="N42" s="369">
        <f t="shared" si="118"/>
        <v>0.2</v>
      </c>
      <c r="O42" s="369">
        <f t="shared" si="118"/>
        <v>0.2</v>
      </c>
      <c r="P42" s="368">
        <f t="shared" si="118"/>
        <v>0.2</v>
      </c>
      <c r="Q42" s="369">
        <f t="shared" si="118"/>
        <v>0.2</v>
      </c>
      <c r="R42" s="369">
        <f t="shared" si="118"/>
        <v>0.2</v>
      </c>
      <c r="S42" s="369">
        <f t="shared" si="118"/>
        <v>0.2</v>
      </c>
      <c r="T42" s="369">
        <f t="shared" si="118"/>
        <v>0.2</v>
      </c>
      <c r="U42" s="369">
        <f t="shared" si="118"/>
        <v>0.2</v>
      </c>
      <c r="V42" s="369">
        <f t="shared" si="118"/>
        <v>0.2</v>
      </c>
      <c r="W42" s="369">
        <f t="shared" si="118"/>
        <v>0.2</v>
      </c>
      <c r="X42" s="369">
        <f t="shared" si="118"/>
        <v>0.2</v>
      </c>
      <c r="Y42" s="369">
        <f t="shared" si="118"/>
        <v>0.2</v>
      </c>
      <c r="Z42" s="369">
        <f t="shared" si="118"/>
        <v>0.2</v>
      </c>
      <c r="AA42" s="369">
        <f t="shared" si="118"/>
        <v>0.2</v>
      </c>
      <c r="AB42" s="369">
        <f t="shared" si="118"/>
        <v>0.2</v>
      </c>
      <c r="AC42" s="368">
        <f t="shared" si="118"/>
        <v>0.2</v>
      </c>
      <c r="AD42" s="369">
        <f t="shared" si="118"/>
        <v>0.2</v>
      </c>
      <c r="AE42" s="369">
        <f t="shared" si="118"/>
        <v>0.2</v>
      </c>
      <c r="AF42" s="369">
        <f t="shared" si="118"/>
        <v>0.2</v>
      </c>
      <c r="AG42" s="369">
        <f t="shared" si="118"/>
        <v>0.2</v>
      </c>
      <c r="AH42" s="369">
        <f t="shared" si="118"/>
        <v>0.2</v>
      </c>
      <c r="AI42" s="369">
        <f t="shared" ref="AI42:BP42" si="119">AI26</f>
        <v>0.2</v>
      </c>
      <c r="AJ42" s="369">
        <f t="shared" si="119"/>
        <v>0.2</v>
      </c>
      <c r="AK42" s="369">
        <f t="shared" si="119"/>
        <v>0.2</v>
      </c>
      <c r="AL42" s="369">
        <f t="shared" si="119"/>
        <v>0.2</v>
      </c>
      <c r="AM42" s="369">
        <f t="shared" si="119"/>
        <v>0.2</v>
      </c>
      <c r="AN42" s="369">
        <f t="shared" si="119"/>
        <v>0.2</v>
      </c>
      <c r="AO42" s="369">
        <f t="shared" si="119"/>
        <v>0.2</v>
      </c>
      <c r="AP42" s="368">
        <f t="shared" si="119"/>
        <v>0.2</v>
      </c>
      <c r="AQ42" s="369">
        <f t="shared" si="119"/>
        <v>0.2</v>
      </c>
      <c r="AR42" s="369">
        <f t="shared" si="119"/>
        <v>0.2</v>
      </c>
      <c r="AS42" s="369">
        <f t="shared" si="119"/>
        <v>0.2</v>
      </c>
      <c r="AT42" s="369">
        <f t="shared" si="119"/>
        <v>0.2</v>
      </c>
      <c r="AU42" s="369">
        <f t="shared" si="119"/>
        <v>0.2</v>
      </c>
      <c r="AV42" s="369">
        <f t="shared" si="119"/>
        <v>0.2</v>
      </c>
      <c r="AW42" s="369">
        <f t="shared" si="119"/>
        <v>0.2</v>
      </c>
      <c r="AX42" s="369">
        <f t="shared" si="119"/>
        <v>0.2</v>
      </c>
      <c r="AY42" s="369">
        <f t="shared" si="119"/>
        <v>0.2</v>
      </c>
      <c r="AZ42" s="369">
        <f t="shared" si="119"/>
        <v>0.2</v>
      </c>
      <c r="BA42" s="369">
        <f t="shared" si="119"/>
        <v>0.2</v>
      </c>
      <c r="BB42" s="369">
        <f t="shared" si="119"/>
        <v>0.2</v>
      </c>
      <c r="BC42" s="368">
        <f t="shared" si="119"/>
        <v>0.2</v>
      </c>
      <c r="BD42" s="369">
        <f t="shared" si="119"/>
        <v>0.2</v>
      </c>
      <c r="BE42" s="369">
        <f t="shared" si="119"/>
        <v>0.2</v>
      </c>
      <c r="BF42" s="369">
        <f t="shared" si="119"/>
        <v>0.2</v>
      </c>
      <c r="BG42" s="369">
        <f t="shared" si="119"/>
        <v>0.2</v>
      </c>
      <c r="BH42" s="369">
        <f t="shared" si="119"/>
        <v>0.2</v>
      </c>
      <c r="BI42" s="369">
        <f t="shared" si="119"/>
        <v>0.2</v>
      </c>
      <c r="BJ42" s="369">
        <f t="shared" si="119"/>
        <v>0.2</v>
      </c>
      <c r="BK42" s="369">
        <f t="shared" si="119"/>
        <v>0.2</v>
      </c>
      <c r="BL42" s="369">
        <f t="shared" si="119"/>
        <v>0.2</v>
      </c>
      <c r="BM42" s="369">
        <f t="shared" si="119"/>
        <v>0.2</v>
      </c>
      <c r="BN42" s="369">
        <f t="shared" si="119"/>
        <v>0.2</v>
      </c>
      <c r="BO42" s="369">
        <f t="shared" si="119"/>
        <v>0.2</v>
      </c>
      <c r="BP42" s="368">
        <f t="shared" si="119"/>
        <v>0.2</v>
      </c>
      <c r="CF42" s="367" t="s">
        <v>1003</v>
      </c>
      <c r="CG42" s="454" t="s">
        <v>231</v>
      </c>
    </row>
    <row r="43" spans="1:85" s="365" customFormat="1" outlineLevel="1">
      <c r="A43" s="367" t="s">
        <v>145</v>
      </c>
      <c r="B43" s="454" t="s">
        <v>231</v>
      </c>
      <c r="C43" s="369">
        <f t="shared" ref="C43:AH43" si="120">C27</f>
        <v>0.2</v>
      </c>
      <c r="D43" s="369">
        <f t="shared" si="120"/>
        <v>0.2</v>
      </c>
      <c r="E43" s="369">
        <f t="shared" si="120"/>
        <v>0.2</v>
      </c>
      <c r="F43" s="369">
        <f t="shared" si="120"/>
        <v>0.2</v>
      </c>
      <c r="G43" s="369">
        <f t="shared" si="120"/>
        <v>0.2</v>
      </c>
      <c r="H43" s="369">
        <f t="shared" si="120"/>
        <v>0.2</v>
      </c>
      <c r="I43" s="369">
        <f t="shared" si="120"/>
        <v>0.2</v>
      </c>
      <c r="J43" s="369">
        <f t="shared" si="120"/>
        <v>0.2</v>
      </c>
      <c r="K43" s="369">
        <f t="shared" si="120"/>
        <v>0.2</v>
      </c>
      <c r="L43" s="369">
        <f t="shared" si="120"/>
        <v>0.2</v>
      </c>
      <c r="M43" s="369">
        <f t="shared" si="120"/>
        <v>0.2</v>
      </c>
      <c r="N43" s="369">
        <f t="shared" si="120"/>
        <v>0.2</v>
      </c>
      <c r="O43" s="369">
        <f t="shared" si="120"/>
        <v>0.2</v>
      </c>
      <c r="P43" s="368">
        <f t="shared" si="120"/>
        <v>0.2</v>
      </c>
      <c r="Q43" s="369">
        <f t="shared" si="120"/>
        <v>0.2</v>
      </c>
      <c r="R43" s="369">
        <f t="shared" si="120"/>
        <v>0.2</v>
      </c>
      <c r="S43" s="369">
        <f t="shared" si="120"/>
        <v>0.2</v>
      </c>
      <c r="T43" s="369">
        <f t="shared" si="120"/>
        <v>0.2</v>
      </c>
      <c r="U43" s="369">
        <f t="shared" si="120"/>
        <v>0.2</v>
      </c>
      <c r="V43" s="369">
        <f t="shared" si="120"/>
        <v>0.2</v>
      </c>
      <c r="W43" s="369">
        <f t="shared" si="120"/>
        <v>0.2</v>
      </c>
      <c r="X43" s="369">
        <f t="shared" si="120"/>
        <v>0.2</v>
      </c>
      <c r="Y43" s="369">
        <f t="shared" si="120"/>
        <v>0.2</v>
      </c>
      <c r="Z43" s="369">
        <f t="shared" si="120"/>
        <v>0.2</v>
      </c>
      <c r="AA43" s="369">
        <f t="shared" si="120"/>
        <v>0.2</v>
      </c>
      <c r="AB43" s="369">
        <f t="shared" si="120"/>
        <v>0.2</v>
      </c>
      <c r="AC43" s="368">
        <f t="shared" si="120"/>
        <v>0.2</v>
      </c>
      <c r="AD43" s="369">
        <f t="shared" si="120"/>
        <v>0.2</v>
      </c>
      <c r="AE43" s="369">
        <f t="shared" si="120"/>
        <v>0.2</v>
      </c>
      <c r="AF43" s="369">
        <f t="shared" si="120"/>
        <v>0.2</v>
      </c>
      <c r="AG43" s="369">
        <f t="shared" si="120"/>
        <v>0.2</v>
      </c>
      <c r="AH43" s="369">
        <f t="shared" si="120"/>
        <v>0.2</v>
      </c>
      <c r="AI43" s="369">
        <f t="shared" ref="AI43:BP43" si="121">AI27</f>
        <v>0.2</v>
      </c>
      <c r="AJ43" s="369">
        <f t="shared" si="121"/>
        <v>0.2</v>
      </c>
      <c r="AK43" s="369">
        <f t="shared" si="121"/>
        <v>0.2</v>
      </c>
      <c r="AL43" s="369">
        <f t="shared" si="121"/>
        <v>0.2</v>
      </c>
      <c r="AM43" s="369">
        <f t="shared" si="121"/>
        <v>0.2</v>
      </c>
      <c r="AN43" s="369">
        <f t="shared" si="121"/>
        <v>0.2</v>
      </c>
      <c r="AO43" s="369">
        <f t="shared" si="121"/>
        <v>0.2</v>
      </c>
      <c r="AP43" s="368">
        <f t="shared" si="121"/>
        <v>0.2</v>
      </c>
      <c r="AQ43" s="369">
        <f t="shared" si="121"/>
        <v>0.2</v>
      </c>
      <c r="AR43" s="369">
        <f t="shared" si="121"/>
        <v>0.2</v>
      </c>
      <c r="AS43" s="369">
        <f t="shared" si="121"/>
        <v>0.2</v>
      </c>
      <c r="AT43" s="369">
        <f t="shared" si="121"/>
        <v>0.2</v>
      </c>
      <c r="AU43" s="369">
        <f t="shared" si="121"/>
        <v>0.2</v>
      </c>
      <c r="AV43" s="369">
        <f t="shared" si="121"/>
        <v>0.2</v>
      </c>
      <c r="AW43" s="369">
        <f t="shared" si="121"/>
        <v>0.2</v>
      </c>
      <c r="AX43" s="369">
        <f t="shared" si="121"/>
        <v>0.2</v>
      </c>
      <c r="AY43" s="369">
        <f t="shared" si="121"/>
        <v>0.2</v>
      </c>
      <c r="AZ43" s="369">
        <f t="shared" si="121"/>
        <v>0.2</v>
      </c>
      <c r="BA43" s="369">
        <f t="shared" si="121"/>
        <v>0.2</v>
      </c>
      <c r="BB43" s="369">
        <f t="shared" si="121"/>
        <v>0.2</v>
      </c>
      <c r="BC43" s="368">
        <f t="shared" si="121"/>
        <v>0.2</v>
      </c>
      <c r="BD43" s="369">
        <f t="shared" si="121"/>
        <v>0.2</v>
      </c>
      <c r="BE43" s="369">
        <f t="shared" si="121"/>
        <v>0.2</v>
      </c>
      <c r="BF43" s="369">
        <f t="shared" si="121"/>
        <v>0.2</v>
      </c>
      <c r="BG43" s="369">
        <f t="shared" si="121"/>
        <v>0.2</v>
      </c>
      <c r="BH43" s="369">
        <f t="shared" si="121"/>
        <v>0.2</v>
      </c>
      <c r="BI43" s="369">
        <f t="shared" si="121"/>
        <v>0.2</v>
      </c>
      <c r="BJ43" s="369">
        <f t="shared" si="121"/>
        <v>0.2</v>
      </c>
      <c r="BK43" s="369">
        <f t="shared" si="121"/>
        <v>0.2</v>
      </c>
      <c r="BL43" s="369">
        <f t="shared" si="121"/>
        <v>0.2</v>
      </c>
      <c r="BM43" s="369">
        <f t="shared" si="121"/>
        <v>0.2</v>
      </c>
      <c r="BN43" s="369">
        <f t="shared" si="121"/>
        <v>0.2</v>
      </c>
      <c r="BO43" s="369">
        <f t="shared" si="121"/>
        <v>0.2</v>
      </c>
      <c r="BP43" s="368">
        <f t="shared" si="121"/>
        <v>0.2</v>
      </c>
      <c r="CF43" s="367" t="s">
        <v>1004</v>
      </c>
      <c r="CG43" s="454" t="s">
        <v>231</v>
      </c>
    </row>
    <row r="44" spans="1:85" s="365" customFormat="1" outlineLevel="1">
      <c r="A44" s="367" t="s">
        <v>620</v>
      </c>
      <c r="B44" s="454" t="s">
        <v>231</v>
      </c>
      <c r="C44" s="369">
        <f t="shared" ref="C44:AH44" si="122">C28</f>
        <v>0.5</v>
      </c>
      <c r="D44" s="369">
        <f t="shared" si="122"/>
        <v>0.5</v>
      </c>
      <c r="E44" s="369">
        <f t="shared" si="122"/>
        <v>0.5</v>
      </c>
      <c r="F44" s="369">
        <f t="shared" si="122"/>
        <v>0.5</v>
      </c>
      <c r="G44" s="369">
        <f t="shared" si="122"/>
        <v>0.5</v>
      </c>
      <c r="H44" s="369">
        <f t="shared" si="122"/>
        <v>0.5</v>
      </c>
      <c r="I44" s="369">
        <f t="shared" si="122"/>
        <v>0.5</v>
      </c>
      <c r="J44" s="369">
        <f t="shared" si="122"/>
        <v>0.5</v>
      </c>
      <c r="K44" s="369">
        <f t="shared" si="122"/>
        <v>0.5</v>
      </c>
      <c r="L44" s="369">
        <f t="shared" si="122"/>
        <v>0.5</v>
      </c>
      <c r="M44" s="369">
        <f t="shared" si="122"/>
        <v>0.5</v>
      </c>
      <c r="N44" s="369">
        <f t="shared" si="122"/>
        <v>0.5</v>
      </c>
      <c r="O44" s="369">
        <f t="shared" si="122"/>
        <v>0.5</v>
      </c>
      <c r="P44" s="368">
        <f t="shared" si="122"/>
        <v>0.5</v>
      </c>
      <c r="Q44" s="369">
        <f t="shared" si="122"/>
        <v>0.5</v>
      </c>
      <c r="R44" s="369">
        <f t="shared" si="122"/>
        <v>0.5</v>
      </c>
      <c r="S44" s="369">
        <f t="shared" si="122"/>
        <v>0.5</v>
      </c>
      <c r="T44" s="369">
        <f t="shared" si="122"/>
        <v>0.5</v>
      </c>
      <c r="U44" s="369">
        <f t="shared" si="122"/>
        <v>0.5</v>
      </c>
      <c r="V44" s="369">
        <f t="shared" si="122"/>
        <v>0.5</v>
      </c>
      <c r="W44" s="369">
        <f t="shared" si="122"/>
        <v>0.5</v>
      </c>
      <c r="X44" s="369">
        <f t="shared" si="122"/>
        <v>0.5</v>
      </c>
      <c r="Y44" s="369">
        <f t="shared" si="122"/>
        <v>0.5</v>
      </c>
      <c r="Z44" s="369">
        <f t="shared" si="122"/>
        <v>0.5</v>
      </c>
      <c r="AA44" s="369">
        <f t="shared" si="122"/>
        <v>0.5</v>
      </c>
      <c r="AB44" s="369">
        <f t="shared" si="122"/>
        <v>0.5</v>
      </c>
      <c r="AC44" s="368">
        <f t="shared" si="122"/>
        <v>0.5</v>
      </c>
      <c r="AD44" s="369">
        <f t="shared" si="122"/>
        <v>0.5</v>
      </c>
      <c r="AE44" s="369">
        <f t="shared" si="122"/>
        <v>0.5</v>
      </c>
      <c r="AF44" s="369">
        <f t="shared" si="122"/>
        <v>0.5</v>
      </c>
      <c r="AG44" s="369">
        <f t="shared" si="122"/>
        <v>0.5</v>
      </c>
      <c r="AH44" s="369">
        <f t="shared" si="122"/>
        <v>0.5</v>
      </c>
      <c r="AI44" s="369">
        <f t="shared" ref="AI44:BP44" si="123">AI28</f>
        <v>0.5</v>
      </c>
      <c r="AJ44" s="369">
        <f t="shared" si="123"/>
        <v>0.5</v>
      </c>
      <c r="AK44" s="369">
        <f t="shared" si="123"/>
        <v>0.5</v>
      </c>
      <c r="AL44" s="369">
        <f t="shared" si="123"/>
        <v>0.5</v>
      </c>
      <c r="AM44" s="369">
        <f t="shared" si="123"/>
        <v>0.5</v>
      </c>
      <c r="AN44" s="369">
        <f t="shared" si="123"/>
        <v>0.5</v>
      </c>
      <c r="AO44" s="369">
        <f t="shared" si="123"/>
        <v>0.5</v>
      </c>
      <c r="AP44" s="368">
        <f t="shared" si="123"/>
        <v>0.5</v>
      </c>
      <c r="AQ44" s="369">
        <f t="shared" si="123"/>
        <v>0.5</v>
      </c>
      <c r="AR44" s="369">
        <f t="shared" si="123"/>
        <v>0.5</v>
      </c>
      <c r="AS44" s="369">
        <f t="shared" si="123"/>
        <v>0.5</v>
      </c>
      <c r="AT44" s="369">
        <f t="shared" si="123"/>
        <v>0.5</v>
      </c>
      <c r="AU44" s="369">
        <f t="shared" si="123"/>
        <v>0.5</v>
      </c>
      <c r="AV44" s="369">
        <f t="shared" si="123"/>
        <v>0.5</v>
      </c>
      <c r="AW44" s="369">
        <f t="shared" si="123"/>
        <v>0.5</v>
      </c>
      <c r="AX44" s="369">
        <f t="shared" si="123"/>
        <v>0.5</v>
      </c>
      <c r="AY44" s="369">
        <f t="shared" si="123"/>
        <v>0.5</v>
      </c>
      <c r="AZ44" s="369">
        <f t="shared" si="123"/>
        <v>0.5</v>
      </c>
      <c r="BA44" s="369">
        <f t="shared" si="123"/>
        <v>0.5</v>
      </c>
      <c r="BB44" s="369">
        <f t="shared" si="123"/>
        <v>0.5</v>
      </c>
      <c r="BC44" s="368">
        <f t="shared" si="123"/>
        <v>0.5</v>
      </c>
      <c r="BD44" s="369">
        <f t="shared" si="123"/>
        <v>0.5</v>
      </c>
      <c r="BE44" s="369">
        <f t="shared" si="123"/>
        <v>0.5</v>
      </c>
      <c r="BF44" s="369">
        <f t="shared" si="123"/>
        <v>0.5</v>
      </c>
      <c r="BG44" s="369">
        <f t="shared" si="123"/>
        <v>0.5</v>
      </c>
      <c r="BH44" s="369">
        <f t="shared" si="123"/>
        <v>0.5</v>
      </c>
      <c r="BI44" s="369">
        <f t="shared" si="123"/>
        <v>0.5</v>
      </c>
      <c r="BJ44" s="369">
        <f t="shared" si="123"/>
        <v>0.5</v>
      </c>
      <c r="BK44" s="369">
        <f t="shared" si="123"/>
        <v>0.5</v>
      </c>
      <c r="BL44" s="369">
        <f t="shared" si="123"/>
        <v>0.5</v>
      </c>
      <c r="BM44" s="369">
        <f t="shared" si="123"/>
        <v>0.5</v>
      </c>
      <c r="BN44" s="369">
        <f t="shared" si="123"/>
        <v>0.5</v>
      </c>
      <c r="BO44" s="369">
        <f t="shared" si="123"/>
        <v>0.5</v>
      </c>
      <c r="BP44" s="368">
        <f t="shared" si="123"/>
        <v>0.5</v>
      </c>
      <c r="CF44" s="367" t="s">
        <v>1005</v>
      </c>
      <c r="CG44" s="454" t="s">
        <v>231</v>
      </c>
    </row>
    <row r="45" spans="1:85" s="3" customFormat="1" outlineLevel="1">
      <c r="A45" s="398" t="s">
        <v>715</v>
      </c>
      <c r="B45" s="12" t="s">
        <v>502</v>
      </c>
      <c r="C45" s="5">
        <v>0</v>
      </c>
      <c r="D45" s="3">
        <f t="shared" ref="D45:O45" si="124">C45+D53+D60</f>
        <v>0</v>
      </c>
      <c r="E45" s="3">
        <f t="shared" si="124"/>
        <v>0</v>
      </c>
      <c r="F45" s="3">
        <f t="shared" si="124"/>
        <v>0</v>
      </c>
      <c r="G45" s="3">
        <f t="shared" si="124"/>
        <v>0</v>
      </c>
      <c r="H45" s="3">
        <f t="shared" si="124"/>
        <v>0</v>
      </c>
      <c r="I45" s="3">
        <f t="shared" si="124"/>
        <v>0</v>
      </c>
      <c r="J45" s="3">
        <f t="shared" si="124"/>
        <v>0</v>
      </c>
      <c r="K45" s="3">
        <f t="shared" si="124"/>
        <v>0</v>
      </c>
      <c r="L45" s="3">
        <f t="shared" si="124"/>
        <v>3.9324325313699995</v>
      </c>
      <c r="M45" s="3">
        <f t="shared" si="124"/>
        <v>8.9699705907808482</v>
      </c>
      <c r="N45" s="3">
        <f t="shared" si="124"/>
        <v>15.175651232687178</v>
      </c>
      <c r="O45" s="3">
        <f t="shared" si="124"/>
        <v>22.303521696438672</v>
      </c>
      <c r="P45" s="397">
        <f>O45</f>
        <v>22.303521696438672</v>
      </c>
      <c r="Q45" s="3">
        <f t="shared" ref="Q45:AB45" si="125">P45+Q53+Q60</f>
        <v>68.763075472397546</v>
      </c>
      <c r="R45" s="3">
        <f t="shared" si="125"/>
        <v>117.39266930203621</v>
      </c>
      <c r="S45" s="3">
        <f t="shared" si="125"/>
        <v>170.52063877972077</v>
      </c>
      <c r="T45" s="3">
        <f t="shared" si="125"/>
        <v>228.23596872010762</v>
      </c>
      <c r="U45" s="3">
        <f t="shared" si="125"/>
        <v>290.61846550890687</v>
      </c>
      <c r="V45" s="3">
        <f t="shared" si="125"/>
        <v>357.73860523510751</v>
      </c>
      <c r="W45" s="3">
        <f t="shared" si="125"/>
        <v>429.65741015888869</v>
      </c>
      <c r="X45" s="3">
        <f t="shared" si="125"/>
        <v>506.42635378538534</v>
      </c>
      <c r="Y45" s="3">
        <f t="shared" si="125"/>
        <v>588.08729469948037</v>
      </c>
      <c r="Z45" s="3">
        <f t="shared" si="125"/>
        <v>674.67243920180397</v>
      </c>
      <c r="AA45" s="3">
        <f t="shared" si="125"/>
        <v>766.20433267169358</v>
      </c>
      <c r="AB45" s="3">
        <f t="shared" si="125"/>
        <v>859.01263900081517</v>
      </c>
      <c r="AC45" s="397">
        <f>AB45</f>
        <v>859.01263900081517</v>
      </c>
      <c r="AD45" s="3">
        <f t="shared" ref="AD45:AO45" si="126">AC45+AD53+AD60</f>
        <v>1045.9969541324731</v>
      </c>
      <c r="AE45" s="3">
        <f t="shared" si="126"/>
        <v>1154.2581072825205</v>
      </c>
      <c r="AF45" s="3">
        <f t="shared" si="126"/>
        <v>1269.7785455986561</v>
      </c>
      <c r="AG45" s="3">
        <f t="shared" si="126"/>
        <v>1392.6248192374896</v>
      </c>
      <c r="AH45" s="3">
        <f t="shared" si="126"/>
        <v>1522.8488341652628</v>
      </c>
      <c r="AI45" s="3">
        <f t="shared" si="126"/>
        <v>1660.4878842483686</v>
      </c>
      <c r="AJ45" s="3">
        <f t="shared" si="126"/>
        <v>1805.5647259436266</v>
      </c>
      <c r="AK45" s="3">
        <f t="shared" si="126"/>
        <v>1958.0876948363359</v>
      </c>
      <c r="AL45" s="3">
        <f t="shared" si="126"/>
        <v>2118.0508631174966</v>
      </c>
      <c r="AM45" s="3">
        <f t="shared" si="126"/>
        <v>2285.4342369409242</v>
      </c>
      <c r="AN45" s="3">
        <f t="shared" si="126"/>
        <v>2460.2039924568762</v>
      </c>
      <c r="AO45" s="3">
        <f t="shared" si="126"/>
        <v>2634.6706285743317</v>
      </c>
      <c r="AP45" s="397">
        <f>AO45</f>
        <v>2634.6706285743317</v>
      </c>
      <c r="AQ45" s="3">
        <f t="shared" ref="AQ45:BB45" si="127">AP45+AQ53+AQ60</f>
        <v>3032.5296301203348</v>
      </c>
      <c r="AR45" s="3">
        <f t="shared" si="127"/>
        <v>3175.0080346588629</v>
      </c>
      <c r="AS45" s="3">
        <f t="shared" si="127"/>
        <v>3325.6154811242113</v>
      </c>
      <c r="AT45" s="3">
        <f t="shared" si="127"/>
        <v>3484.3784924244696</v>
      </c>
      <c r="AU45" s="3">
        <f t="shared" si="127"/>
        <v>3651.3077373433043</v>
      </c>
      <c r="AV45" s="3">
        <f t="shared" si="127"/>
        <v>3826.3982726768772</v>
      </c>
      <c r="AW45" s="3">
        <f t="shared" si="127"/>
        <v>4009.6298268912142</v>
      </c>
      <c r="AX45" s="3">
        <f t="shared" si="127"/>
        <v>4200.9671235913056</v>
      </c>
      <c r="AY45" s="3">
        <f t="shared" si="127"/>
        <v>4400.3602429667299</v>
      </c>
      <c r="AZ45" s="3">
        <f t="shared" si="127"/>
        <v>4607.7450192624328</v>
      </c>
      <c r="BA45" s="3">
        <f t="shared" si="127"/>
        <v>4823.0434722180908</v>
      </c>
      <c r="BB45" s="3">
        <f t="shared" si="127"/>
        <v>5034.9185929155128</v>
      </c>
      <c r="BC45" s="397">
        <f>BB45</f>
        <v>5034.9185929155128</v>
      </c>
      <c r="BD45" s="3">
        <f t="shared" ref="BD45:BO45" si="128">BC45+BD53+BD60</f>
        <v>5686.9957778666985</v>
      </c>
      <c r="BE45" s="3">
        <f t="shared" si="128"/>
        <v>5845.5322920961771</v>
      </c>
      <c r="BF45" s="3">
        <f t="shared" si="128"/>
        <v>6014.0391564048632</v>
      </c>
      <c r="BG45" s="3">
        <f t="shared" si="128"/>
        <v>6192.5163959575875</v>
      </c>
      <c r="BH45" s="3">
        <f t="shared" si="128"/>
        <v>6380.9453297971932</v>
      </c>
      <c r="BI45" s="3">
        <f t="shared" si="128"/>
        <v>6579.2890458041093</v>
      </c>
      <c r="BJ45" s="3">
        <f t="shared" si="128"/>
        <v>6787.4929177256327</v>
      </c>
      <c r="BK45" s="3">
        <f t="shared" si="128"/>
        <v>7005.4851615043954</v>
      </c>
      <c r="BL45" s="3">
        <f t="shared" si="128"/>
        <v>7233.1774280469881</v>
      </c>
      <c r="BM45" s="3">
        <f t="shared" si="128"/>
        <v>7470.4654295001646</v>
      </c>
      <c r="BN45" s="3">
        <f t="shared" si="128"/>
        <v>7717.229596043263</v>
      </c>
      <c r="BO45" s="3">
        <f t="shared" si="128"/>
        <v>7956.9657180821014</v>
      </c>
      <c r="BP45" s="397">
        <f>BO45</f>
        <v>7956.9657180821014</v>
      </c>
      <c r="CF45" s="398" t="s">
        <v>1060</v>
      </c>
      <c r="CG45" s="13" t="s">
        <v>965</v>
      </c>
    </row>
    <row r="46" spans="1:85" s="3" customFormat="1" outlineLevel="1" collapsed="1">
      <c r="A46" s="398" t="s">
        <v>714</v>
      </c>
      <c r="B46" s="12" t="s">
        <v>502</v>
      </c>
      <c r="C46" s="5">
        <v>0</v>
      </c>
      <c r="D46" s="3">
        <f t="shared" ref="D46:AI46" si="129">SUM(D47:D50)</f>
        <v>0</v>
      </c>
      <c r="E46" s="3">
        <f t="shared" si="129"/>
        <v>0</v>
      </c>
      <c r="F46" s="3">
        <f t="shared" si="129"/>
        <v>0</v>
      </c>
      <c r="G46" s="3">
        <f t="shared" si="129"/>
        <v>0</v>
      </c>
      <c r="H46" s="3">
        <f t="shared" si="129"/>
        <v>0</v>
      </c>
      <c r="I46" s="3">
        <f t="shared" si="129"/>
        <v>0</v>
      </c>
      <c r="J46" s="3">
        <f t="shared" si="129"/>
        <v>0</v>
      </c>
      <c r="K46" s="3">
        <f t="shared" si="129"/>
        <v>0</v>
      </c>
      <c r="L46" s="3">
        <f t="shared" si="129"/>
        <v>48.500001220230004</v>
      </c>
      <c r="M46" s="3">
        <f t="shared" si="129"/>
        <v>98.66967649858934</v>
      </c>
      <c r="N46" s="3">
        <f t="shared" si="129"/>
        <v>150.37690766935475</v>
      </c>
      <c r="O46" s="3">
        <f t="shared" si="129"/>
        <v>200.73169526794806</v>
      </c>
      <c r="P46" s="397">
        <f t="shared" si="129"/>
        <v>200.73169526794806</v>
      </c>
      <c r="Q46" s="3">
        <f t="shared" si="129"/>
        <v>602.09619742904192</v>
      </c>
      <c r="R46" s="3">
        <f t="shared" si="129"/>
        <v>1000.632752622118</v>
      </c>
      <c r="S46" s="3">
        <f t="shared" si="129"/>
        <v>1415.7178614967513</v>
      </c>
      <c r="T46" s="3">
        <f t="shared" si="129"/>
        <v>1846.6364741899615</v>
      </c>
      <c r="U46" s="3">
        <f t="shared" si="129"/>
        <v>2292.6567834591542</v>
      </c>
      <c r="V46" s="3">
        <f t="shared" si="129"/>
        <v>2753.0318750701745</v>
      </c>
      <c r="W46" s="3">
        <f t="shared" si="129"/>
        <v>3227.0013997039937</v>
      </c>
      <c r="X46" s="3">
        <f t="shared" si="129"/>
        <v>3713.7932610928256</v>
      </c>
      <c r="Y46" s="3">
        <f t="shared" si="129"/>
        <v>4212.6253150921948</v>
      </c>
      <c r="Z46" s="3">
        <f t="shared" si="129"/>
        <v>4722.7070744126268</v>
      </c>
      <c r="AA46" s="3">
        <f t="shared" si="129"/>
        <v>5243.2414137729611</v>
      </c>
      <c r="AB46" s="3">
        <f t="shared" si="129"/>
        <v>5748.7768917746853</v>
      </c>
      <c r="AC46" s="397">
        <f t="shared" si="129"/>
        <v>5748.7768917746853</v>
      </c>
      <c r="AD46" s="3">
        <f t="shared" si="129"/>
        <v>6848.3196808295888</v>
      </c>
      <c r="AE46" s="3">
        <f t="shared" si="129"/>
        <v>7395.8019466620754</v>
      </c>
      <c r="AF46" s="3">
        <f t="shared" si="129"/>
        <v>7964.9745133006609</v>
      </c>
      <c r="AG46" s="3">
        <f t="shared" si="129"/>
        <v>8554.6953181731515</v>
      </c>
      <c r="AH46" s="3">
        <f t="shared" si="129"/>
        <v>9163.8096512050033</v>
      </c>
      <c r="AI46" s="3">
        <f t="shared" si="129"/>
        <v>9791.1526967748614</v>
      </c>
      <c r="AJ46" s="3">
        <f t="shared" ref="AJ46:BO46" si="130">SUM(AJ47:AJ50)</f>
        <v>10435.55206011486</v>
      </c>
      <c r="AK46" s="3">
        <f t="shared" si="130"/>
        <v>11095.830270739236</v>
      </c>
      <c r="AL46" s="3">
        <f t="shared" si="130"/>
        <v>11770.807255685757</v>
      </c>
      <c r="AM46" s="3">
        <f t="shared" si="130"/>
        <v>12459.302775581164</v>
      </c>
      <c r="AN46" s="3">
        <f t="shared" si="130"/>
        <v>13160.138816793131</v>
      </c>
      <c r="AO46" s="3">
        <f t="shared" si="130"/>
        <v>13832.02080001524</v>
      </c>
      <c r="AP46" s="397">
        <f t="shared" si="130"/>
        <v>13832.02080001524</v>
      </c>
      <c r="AQ46" s="3">
        <f t="shared" si="130"/>
        <v>15629.191170620188</v>
      </c>
      <c r="AR46" s="3">
        <f t="shared" si="130"/>
        <v>16067.46490266758</v>
      </c>
      <c r="AS46" s="3">
        <f t="shared" si="130"/>
        <v>16528.8053017069</v>
      </c>
      <c r="AT46" s="3">
        <f t="shared" si="130"/>
        <v>17011.965580660646</v>
      </c>
      <c r="AU46" s="3">
        <f t="shared" si="130"/>
        <v>17515.693638559911</v>
      </c>
      <c r="AV46" s="3">
        <f t="shared" si="130"/>
        <v>18038.73471404814</v>
      </c>
      <c r="AW46" s="3">
        <f t="shared" si="130"/>
        <v>18579.833986580416</v>
      </c>
      <c r="AX46" s="3">
        <f t="shared" si="130"/>
        <v>19137.739118582613</v>
      </c>
      <c r="AY46" s="3">
        <f t="shared" si="130"/>
        <v>19711.202732193437</v>
      </c>
      <c r="AZ46" s="3">
        <f t="shared" si="130"/>
        <v>20298.984814588548</v>
      </c>
      <c r="BA46" s="3">
        <f t="shared" si="130"/>
        <v>20899.85504627839</v>
      </c>
      <c r="BB46" s="3">
        <f t="shared" si="130"/>
        <v>21464.652948745075</v>
      </c>
      <c r="BC46" s="397">
        <f t="shared" si="130"/>
        <v>21464.652948745075</v>
      </c>
      <c r="BD46" s="3">
        <f t="shared" si="130"/>
        <v>23855.839431830442</v>
      </c>
      <c r="BE46" s="3">
        <f t="shared" si="130"/>
        <v>24131.556385320117</v>
      </c>
      <c r="BF46" s="3">
        <f t="shared" si="130"/>
        <v>24436.792015265331</v>
      </c>
      <c r="BG46" s="3">
        <f t="shared" si="130"/>
        <v>24770.065583830354</v>
      </c>
      <c r="BH46" s="3">
        <f t="shared" si="130"/>
        <v>25129.895805003762</v>
      </c>
      <c r="BI46" s="3">
        <f t="shared" si="130"/>
        <v>25514.803860557397</v>
      </c>
      <c r="BJ46" s="3">
        <f t="shared" si="130"/>
        <v>25923.316324325613</v>
      </c>
      <c r="BK46" s="3">
        <f t="shared" si="130"/>
        <v>26353.967988516539</v>
      </c>
      <c r="BL46" s="3">
        <f t="shared" si="130"/>
        <v>26805.304586291779</v>
      </c>
      <c r="BM46" s="3">
        <f t="shared" si="130"/>
        <v>27275.885405384321</v>
      </c>
      <c r="BN46" s="3">
        <f t="shared" si="130"/>
        <v>27764.285788063695</v>
      </c>
      <c r="BO46" s="3">
        <f t="shared" si="130"/>
        <v>28211.060273200183</v>
      </c>
      <c r="BP46" s="397">
        <f t="shared" ref="BP46" si="131">SUM(BP47:BP50)</f>
        <v>28211.060273200183</v>
      </c>
      <c r="CF46" s="398" t="s">
        <v>1061</v>
      </c>
      <c r="CG46" s="13" t="s">
        <v>965</v>
      </c>
    </row>
    <row r="47" spans="1:85" s="440" customFormat="1" ht="10.199999999999999" outlineLevel="1">
      <c r="A47" s="442" t="s">
        <v>138</v>
      </c>
      <c r="B47" s="12" t="s">
        <v>502</v>
      </c>
      <c r="C47" s="440">
        <v>0</v>
      </c>
      <c r="D47" s="440">
        <f t="shared" ref="D47:O47" si="132">C47+D55+D62</f>
        <v>0</v>
      </c>
      <c r="E47" s="440">
        <f t="shared" si="132"/>
        <v>0</v>
      </c>
      <c r="F47" s="440">
        <f t="shared" si="132"/>
        <v>0</v>
      </c>
      <c r="G47" s="440">
        <f t="shared" si="132"/>
        <v>0</v>
      </c>
      <c r="H47" s="440">
        <f t="shared" si="132"/>
        <v>0</v>
      </c>
      <c r="I47" s="440">
        <f t="shared" si="132"/>
        <v>0</v>
      </c>
      <c r="J47" s="440">
        <f t="shared" si="132"/>
        <v>0</v>
      </c>
      <c r="K47" s="440">
        <f t="shared" si="132"/>
        <v>0</v>
      </c>
      <c r="L47" s="440">
        <f t="shared" si="132"/>
        <v>4.8500001220230038</v>
      </c>
      <c r="M47" s="440">
        <f t="shared" si="132"/>
        <v>9.8669676498589425</v>
      </c>
      <c r="N47" s="440">
        <f t="shared" si="132"/>
        <v>15.037690766935489</v>
      </c>
      <c r="O47" s="440">
        <f t="shared" si="132"/>
        <v>20.073169526794818</v>
      </c>
      <c r="P47" s="458">
        <f>O47</f>
        <v>20.073169526794818</v>
      </c>
      <c r="Q47" s="440">
        <f t="shared" ref="Q47:AB47" si="133">P47+Q55+Q62</f>
        <v>60.209619742904238</v>
      </c>
      <c r="R47" s="440">
        <f t="shared" si="133"/>
        <v>100.06327526221189</v>
      </c>
      <c r="S47" s="440">
        <f t="shared" si="133"/>
        <v>141.57178614967523</v>
      </c>
      <c r="T47" s="440">
        <f t="shared" si="133"/>
        <v>184.66364741899631</v>
      </c>
      <c r="U47" s="440">
        <f t="shared" si="133"/>
        <v>229.26567834591555</v>
      </c>
      <c r="V47" s="440">
        <f t="shared" si="133"/>
        <v>275.30318750701764</v>
      </c>
      <c r="W47" s="440">
        <f t="shared" si="133"/>
        <v>322.70013997039962</v>
      </c>
      <c r="X47" s="440">
        <f t="shared" si="133"/>
        <v>371.37932610928283</v>
      </c>
      <c r="Y47" s="440">
        <f t="shared" si="133"/>
        <v>421.26253150921985</v>
      </c>
      <c r="Z47" s="440">
        <f t="shared" si="133"/>
        <v>472.27070744126314</v>
      </c>
      <c r="AA47" s="440">
        <f t="shared" si="133"/>
        <v>524.32414137729643</v>
      </c>
      <c r="AB47" s="440">
        <f t="shared" si="133"/>
        <v>574.87768917746894</v>
      </c>
      <c r="AC47" s="458">
        <f>AB47</f>
        <v>574.87768917746894</v>
      </c>
      <c r="AD47" s="440">
        <f t="shared" ref="AD47:AO47" si="134">AC47+AD55+AD62</f>
        <v>684.83196808295941</v>
      </c>
      <c r="AE47" s="440">
        <f t="shared" si="134"/>
        <v>739.58019466620806</v>
      </c>
      <c r="AF47" s="440">
        <f t="shared" si="134"/>
        <v>796.49745133006672</v>
      </c>
      <c r="AG47" s="440">
        <f t="shared" si="134"/>
        <v>855.46953181731567</v>
      </c>
      <c r="AH47" s="440">
        <f t="shared" si="134"/>
        <v>916.38096512050095</v>
      </c>
      <c r="AI47" s="440">
        <f t="shared" si="134"/>
        <v>979.11526967748705</v>
      </c>
      <c r="AJ47" s="440">
        <f t="shared" si="134"/>
        <v>1043.5552060114867</v>
      </c>
      <c r="AK47" s="440">
        <f t="shared" si="134"/>
        <v>1109.5830270739243</v>
      </c>
      <c r="AL47" s="440">
        <f t="shared" si="134"/>
        <v>1177.0807255685763</v>
      </c>
      <c r="AM47" s="440">
        <f t="shared" si="134"/>
        <v>1245.9302775581177</v>
      </c>
      <c r="AN47" s="440">
        <f t="shared" si="134"/>
        <v>1316.0138816793142</v>
      </c>
      <c r="AO47" s="440">
        <f t="shared" si="134"/>
        <v>1383.202080001525</v>
      </c>
      <c r="AP47" s="458">
        <f>AO47</f>
        <v>1383.202080001525</v>
      </c>
      <c r="AQ47" s="440">
        <f t="shared" ref="AQ47:BB47" si="135">AP47+AQ55+AQ62</f>
        <v>1562.91911706202</v>
      </c>
      <c r="AR47" s="440">
        <f t="shared" si="135"/>
        <v>1606.7464902667591</v>
      </c>
      <c r="AS47" s="440">
        <f t="shared" si="135"/>
        <v>1652.8805301706911</v>
      </c>
      <c r="AT47" s="440">
        <f t="shared" si="135"/>
        <v>1701.1965580660658</v>
      </c>
      <c r="AU47" s="440">
        <f t="shared" si="135"/>
        <v>1751.5693638559926</v>
      </c>
      <c r="AV47" s="440">
        <f t="shared" si="135"/>
        <v>1803.8734714048155</v>
      </c>
      <c r="AW47" s="440">
        <f t="shared" si="135"/>
        <v>1857.9833986580429</v>
      </c>
      <c r="AX47" s="440">
        <f t="shared" si="135"/>
        <v>1913.7739118582626</v>
      </c>
      <c r="AY47" s="440">
        <f t="shared" si="135"/>
        <v>1971.1202732193453</v>
      </c>
      <c r="AZ47" s="440">
        <f t="shared" si="135"/>
        <v>2029.8984814588564</v>
      </c>
      <c r="BA47" s="440">
        <f t="shared" si="135"/>
        <v>2089.9855046278408</v>
      </c>
      <c r="BB47" s="440">
        <f t="shared" si="135"/>
        <v>2146.4652948745093</v>
      </c>
      <c r="BC47" s="458">
        <f>BB47</f>
        <v>2146.4652948745093</v>
      </c>
      <c r="BD47" s="440">
        <f t="shared" ref="BD47:BO47" si="136">BC47+BD55+BD62</f>
        <v>2385.5839431830454</v>
      </c>
      <c r="BE47" s="440">
        <f t="shared" si="136"/>
        <v>2413.1556385320137</v>
      </c>
      <c r="BF47" s="440">
        <f t="shared" si="136"/>
        <v>2443.6792015265351</v>
      </c>
      <c r="BG47" s="440">
        <f t="shared" si="136"/>
        <v>2477.0065583830369</v>
      </c>
      <c r="BH47" s="440">
        <f t="shared" si="136"/>
        <v>2512.989580500378</v>
      </c>
      <c r="BI47" s="440">
        <f t="shared" si="136"/>
        <v>2551.4803860557417</v>
      </c>
      <c r="BJ47" s="440">
        <f t="shared" si="136"/>
        <v>2592.3316324325633</v>
      </c>
      <c r="BK47" s="440">
        <f t="shared" si="136"/>
        <v>2635.3967988516561</v>
      </c>
      <c r="BL47" s="440">
        <f t="shared" si="136"/>
        <v>2680.53045862918</v>
      </c>
      <c r="BM47" s="440">
        <f t="shared" si="136"/>
        <v>2727.5885405384342</v>
      </c>
      <c r="BN47" s="440">
        <f t="shared" si="136"/>
        <v>2776.4285788063717</v>
      </c>
      <c r="BO47" s="440">
        <f t="shared" si="136"/>
        <v>2821.1060273200205</v>
      </c>
      <c r="BP47" s="458">
        <f>BO47</f>
        <v>2821.1060273200205</v>
      </c>
      <c r="CF47" s="442" t="s">
        <v>1002</v>
      </c>
      <c r="CG47" s="13" t="s">
        <v>965</v>
      </c>
    </row>
    <row r="48" spans="1:85" s="440" customFormat="1" ht="10.199999999999999" outlineLevel="1">
      <c r="A48" s="442" t="s">
        <v>142</v>
      </c>
      <c r="B48" s="12" t="s">
        <v>502</v>
      </c>
      <c r="C48" s="440">
        <v>0</v>
      </c>
      <c r="D48" s="440">
        <f t="shared" ref="D48:O48" si="137">C48+D56+D63</f>
        <v>0</v>
      </c>
      <c r="E48" s="440">
        <f t="shared" si="137"/>
        <v>0</v>
      </c>
      <c r="F48" s="440">
        <f t="shared" si="137"/>
        <v>0</v>
      </c>
      <c r="G48" s="440">
        <f t="shared" si="137"/>
        <v>0</v>
      </c>
      <c r="H48" s="440">
        <f t="shared" si="137"/>
        <v>0</v>
      </c>
      <c r="I48" s="440">
        <f t="shared" si="137"/>
        <v>0</v>
      </c>
      <c r="J48" s="440">
        <f t="shared" si="137"/>
        <v>0</v>
      </c>
      <c r="K48" s="440">
        <f t="shared" si="137"/>
        <v>0</v>
      </c>
      <c r="L48" s="440">
        <f t="shared" si="137"/>
        <v>9.7000002440460005</v>
      </c>
      <c r="M48" s="440">
        <f t="shared" si="137"/>
        <v>19.733935299717867</v>
      </c>
      <c r="N48" s="440">
        <f t="shared" si="137"/>
        <v>30.075381533870956</v>
      </c>
      <c r="O48" s="440">
        <f t="shared" si="137"/>
        <v>40.146339053589607</v>
      </c>
      <c r="P48" s="458">
        <f>O48</f>
        <v>40.146339053589607</v>
      </c>
      <c r="Q48" s="440">
        <f t="shared" ref="Q48:AB48" si="138">P48+Q56+Q63</f>
        <v>120.41923948580839</v>
      </c>
      <c r="R48" s="440">
        <f t="shared" si="138"/>
        <v>200.12655052442364</v>
      </c>
      <c r="S48" s="440">
        <f t="shared" si="138"/>
        <v>283.14357229935024</v>
      </c>
      <c r="T48" s="440">
        <f t="shared" si="138"/>
        <v>369.32729483799227</v>
      </c>
      <c r="U48" s="440">
        <f t="shared" si="138"/>
        <v>458.53135669183075</v>
      </c>
      <c r="V48" s="440">
        <f t="shared" si="138"/>
        <v>550.60637501403482</v>
      </c>
      <c r="W48" s="440">
        <f t="shared" si="138"/>
        <v>645.40027994079867</v>
      </c>
      <c r="X48" s="440">
        <f t="shared" si="138"/>
        <v>742.75865221856509</v>
      </c>
      <c r="Y48" s="440">
        <f t="shared" si="138"/>
        <v>842.52506301843903</v>
      </c>
      <c r="Z48" s="440">
        <f t="shared" si="138"/>
        <v>944.54141488252537</v>
      </c>
      <c r="AA48" s="440">
        <f t="shared" si="138"/>
        <v>1048.6482827545924</v>
      </c>
      <c r="AB48" s="440">
        <f t="shared" si="138"/>
        <v>1149.755378354937</v>
      </c>
      <c r="AC48" s="458">
        <f>AB48</f>
        <v>1149.755378354937</v>
      </c>
      <c r="AD48" s="440">
        <f t="shared" ref="AD48:AO48" si="139">AC48+AD56+AD63</f>
        <v>1369.6639361659177</v>
      </c>
      <c r="AE48" s="440">
        <f t="shared" si="139"/>
        <v>1479.160389332415</v>
      </c>
      <c r="AF48" s="440">
        <f t="shared" si="139"/>
        <v>1592.9949026601321</v>
      </c>
      <c r="AG48" s="440">
        <f t="shared" si="139"/>
        <v>1710.93906363463</v>
      </c>
      <c r="AH48" s="440">
        <f t="shared" si="139"/>
        <v>1832.7619302410003</v>
      </c>
      <c r="AI48" s="440">
        <f t="shared" si="139"/>
        <v>1958.2305393549725</v>
      </c>
      <c r="AJ48" s="440">
        <f t="shared" si="139"/>
        <v>2087.1104120229716</v>
      </c>
      <c r="AK48" s="440">
        <f t="shared" si="139"/>
        <v>2219.1660541478468</v>
      </c>
      <c r="AL48" s="440">
        <f t="shared" si="139"/>
        <v>2354.1614511371513</v>
      </c>
      <c r="AM48" s="440">
        <f t="shared" si="139"/>
        <v>2491.8605551162327</v>
      </c>
      <c r="AN48" s="440">
        <f t="shared" si="139"/>
        <v>2632.0277633586261</v>
      </c>
      <c r="AO48" s="440">
        <f t="shared" si="139"/>
        <v>2766.4041600030478</v>
      </c>
      <c r="AP48" s="458">
        <f>AO48</f>
        <v>2766.4041600030478</v>
      </c>
      <c r="AQ48" s="440">
        <f t="shared" ref="AQ48:BB48" si="140">AP48+AQ56+AQ63</f>
        <v>3125.8382341240372</v>
      </c>
      <c r="AR48" s="440">
        <f t="shared" si="140"/>
        <v>3213.4929805335159</v>
      </c>
      <c r="AS48" s="440">
        <f t="shared" si="140"/>
        <v>3305.7610603413796</v>
      </c>
      <c r="AT48" s="440">
        <f t="shared" si="140"/>
        <v>3402.3931161321289</v>
      </c>
      <c r="AU48" s="440">
        <f t="shared" si="140"/>
        <v>3503.1387277119816</v>
      </c>
      <c r="AV48" s="440">
        <f t="shared" si="140"/>
        <v>3607.7469428096274</v>
      </c>
      <c r="AW48" s="440">
        <f t="shared" si="140"/>
        <v>3715.9667973160822</v>
      </c>
      <c r="AX48" s="440">
        <f t="shared" si="140"/>
        <v>3827.5478237165221</v>
      </c>
      <c r="AY48" s="440">
        <f t="shared" si="140"/>
        <v>3942.2405464386861</v>
      </c>
      <c r="AZ48" s="440">
        <f t="shared" si="140"/>
        <v>4059.7969629177096</v>
      </c>
      <c r="BA48" s="440">
        <f t="shared" si="140"/>
        <v>4179.9710092556779</v>
      </c>
      <c r="BB48" s="440">
        <f t="shared" si="140"/>
        <v>4292.9305897490149</v>
      </c>
      <c r="BC48" s="458">
        <f>BB48</f>
        <v>4292.9305897490149</v>
      </c>
      <c r="BD48" s="440">
        <f t="shared" ref="BD48:BO48" si="141">BC48+BD56+BD63</f>
        <v>4771.1678863660882</v>
      </c>
      <c r="BE48" s="440">
        <f t="shared" si="141"/>
        <v>4826.3112770640237</v>
      </c>
      <c r="BF48" s="440">
        <f t="shared" si="141"/>
        <v>4887.3584030530656</v>
      </c>
      <c r="BG48" s="440">
        <f t="shared" si="141"/>
        <v>4954.0131167660702</v>
      </c>
      <c r="BH48" s="440">
        <f t="shared" si="141"/>
        <v>5025.9791610007524</v>
      </c>
      <c r="BI48" s="440">
        <f t="shared" si="141"/>
        <v>5102.9607721114789</v>
      </c>
      <c r="BJ48" s="440">
        <f t="shared" si="141"/>
        <v>5184.6632648651212</v>
      </c>
      <c r="BK48" s="440">
        <f t="shared" si="141"/>
        <v>5270.7935977033076</v>
      </c>
      <c r="BL48" s="440">
        <f t="shared" si="141"/>
        <v>5361.0609172583554</v>
      </c>
      <c r="BM48" s="440">
        <f t="shared" si="141"/>
        <v>5455.1770810768639</v>
      </c>
      <c r="BN48" s="440">
        <f t="shared" si="141"/>
        <v>5552.8571576127388</v>
      </c>
      <c r="BO48" s="440">
        <f t="shared" si="141"/>
        <v>5642.2120546400365</v>
      </c>
      <c r="BP48" s="458">
        <f>BO48</f>
        <v>5642.2120546400365</v>
      </c>
      <c r="CF48" s="442" t="s">
        <v>1003</v>
      </c>
      <c r="CG48" s="13" t="s">
        <v>965</v>
      </c>
    </row>
    <row r="49" spans="1:85" s="440" customFormat="1" ht="10.199999999999999" outlineLevel="1">
      <c r="A49" s="442" t="s">
        <v>145</v>
      </c>
      <c r="B49" s="12" t="s">
        <v>502</v>
      </c>
      <c r="C49" s="440">
        <v>0</v>
      </c>
      <c r="D49" s="440">
        <f t="shared" ref="D49:O49" si="142">C49+D57+D64</f>
        <v>0</v>
      </c>
      <c r="E49" s="440">
        <f t="shared" si="142"/>
        <v>0</v>
      </c>
      <c r="F49" s="440">
        <f t="shared" si="142"/>
        <v>0</v>
      </c>
      <c r="G49" s="440">
        <f t="shared" si="142"/>
        <v>0</v>
      </c>
      <c r="H49" s="440">
        <f t="shared" si="142"/>
        <v>0</v>
      </c>
      <c r="I49" s="440">
        <f t="shared" si="142"/>
        <v>0</v>
      </c>
      <c r="J49" s="440">
        <f t="shared" si="142"/>
        <v>0</v>
      </c>
      <c r="K49" s="440">
        <f t="shared" si="142"/>
        <v>0</v>
      </c>
      <c r="L49" s="440">
        <f t="shared" si="142"/>
        <v>9.7000002440460005</v>
      </c>
      <c r="M49" s="440">
        <f t="shared" si="142"/>
        <v>19.733935299717871</v>
      </c>
      <c r="N49" s="440">
        <f t="shared" si="142"/>
        <v>30.075381533870949</v>
      </c>
      <c r="O49" s="440">
        <f t="shared" si="142"/>
        <v>40.146339053589607</v>
      </c>
      <c r="P49" s="458">
        <f>O49</f>
        <v>40.146339053589607</v>
      </c>
      <c r="Q49" s="440">
        <f t="shared" ref="Q49:AB49" si="143">P49+Q57+Q64</f>
        <v>120.4192394858084</v>
      </c>
      <c r="R49" s="440">
        <f t="shared" si="143"/>
        <v>200.12655052442358</v>
      </c>
      <c r="S49" s="440">
        <f t="shared" si="143"/>
        <v>283.14357229935024</v>
      </c>
      <c r="T49" s="440">
        <f t="shared" si="143"/>
        <v>369.32729483799227</v>
      </c>
      <c r="U49" s="440">
        <f t="shared" si="143"/>
        <v>458.53135669183075</v>
      </c>
      <c r="V49" s="440">
        <f t="shared" si="143"/>
        <v>550.60637501403494</v>
      </c>
      <c r="W49" s="440">
        <f t="shared" si="143"/>
        <v>645.40027994079867</v>
      </c>
      <c r="X49" s="440">
        <f t="shared" si="143"/>
        <v>742.75865221856509</v>
      </c>
      <c r="Y49" s="440">
        <f t="shared" si="143"/>
        <v>842.52506301843891</v>
      </c>
      <c r="Z49" s="440">
        <f t="shared" si="143"/>
        <v>944.54141488252537</v>
      </c>
      <c r="AA49" s="440">
        <f t="shared" si="143"/>
        <v>1048.6482827545922</v>
      </c>
      <c r="AB49" s="440">
        <f t="shared" si="143"/>
        <v>1149.755378354937</v>
      </c>
      <c r="AC49" s="458">
        <f>AB49</f>
        <v>1149.755378354937</v>
      </c>
      <c r="AD49" s="440">
        <f t="shared" ref="AD49:AO49" si="144">AC49+AD57+AD64</f>
        <v>1369.6639361659177</v>
      </c>
      <c r="AE49" s="440">
        <f t="shared" si="144"/>
        <v>1479.160389332415</v>
      </c>
      <c r="AF49" s="440">
        <f t="shared" si="144"/>
        <v>1592.9949026601321</v>
      </c>
      <c r="AG49" s="440">
        <f t="shared" si="144"/>
        <v>1710.9390636346297</v>
      </c>
      <c r="AH49" s="440">
        <f t="shared" si="144"/>
        <v>1832.7619302410003</v>
      </c>
      <c r="AI49" s="440">
        <f t="shared" si="144"/>
        <v>1958.2305393549723</v>
      </c>
      <c r="AJ49" s="440">
        <f t="shared" si="144"/>
        <v>2087.1104120229716</v>
      </c>
      <c r="AK49" s="440">
        <f t="shared" si="144"/>
        <v>2219.1660541478468</v>
      </c>
      <c r="AL49" s="440">
        <f t="shared" si="144"/>
        <v>2354.1614511371513</v>
      </c>
      <c r="AM49" s="440">
        <f t="shared" si="144"/>
        <v>2491.8605551162323</v>
      </c>
      <c r="AN49" s="440">
        <f t="shared" si="144"/>
        <v>2632.0277633586261</v>
      </c>
      <c r="AO49" s="440">
        <f t="shared" si="144"/>
        <v>2766.4041600030478</v>
      </c>
      <c r="AP49" s="458">
        <f>AO49</f>
        <v>2766.4041600030478</v>
      </c>
      <c r="AQ49" s="440">
        <f t="shared" ref="AQ49:BB49" si="145">AP49+AQ57+AQ64</f>
        <v>3125.8382341240376</v>
      </c>
      <c r="AR49" s="440">
        <f t="shared" si="145"/>
        <v>3213.4929805335159</v>
      </c>
      <c r="AS49" s="440">
        <f t="shared" si="145"/>
        <v>3305.76106034138</v>
      </c>
      <c r="AT49" s="440">
        <f t="shared" si="145"/>
        <v>3402.3931161321289</v>
      </c>
      <c r="AU49" s="440">
        <f t="shared" si="145"/>
        <v>3503.1387277119816</v>
      </c>
      <c r="AV49" s="440">
        <f t="shared" si="145"/>
        <v>3607.7469428096274</v>
      </c>
      <c r="AW49" s="440">
        <f t="shared" si="145"/>
        <v>3715.9667973160826</v>
      </c>
      <c r="AX49" s="440">
        <f t="shared" si="145"/>
        <v>3827.5478237165225</v>
      </c>
      <c r="AY49" s="440">
        <f t="shared" si="145"/>
        <v>3942.2405464386866</v>
      </c>
      <c r="AZ49" s="440">
        <f t="shared" si="145"/>
        <v>4059.7969629177101</v>
      </c>
      <c r="BA49" s="440">
        <f t="shared" si="145"/>
        <v>4179.9710092556779</v>
      </c>
      <c r="BB49" s="440">
        <f t="shared" si="145"/>
        <v>4292.9305897490149</v>
      </c>
      <c r="BC49" s="458">
        <f>BB49</f>
        <v>4292.9305897490149</v>
      </c>
      <c r="BD49" s="440">
        <f t="shared" ref="BD49:BO49" si="146">BC49+BD57+BD64</f>
        <v>4771.1678863660882</v>
      </c>
      <c r="BE49" s="440">
        <f t="shared" si="146"/>
        <v>4826.3112770640228</v>
      </c>
      <c r="BF49" s="440">
        <f t="shared" si="146"/>
        <v>4887.3584030530656</v>
      </c>
      <c r="BG49" s="440">
        <f t="shared" si="146"/>
        <v>4954.0131167660702</v>
      </c>
      <c r="BH49" s="440">
        <f t="shared" si="146"/>
        <v>5025.9791610007524</v>
      </c>
      <c r="BI49" s="440">
        <f t="shared" si="146"/>
        <v>5102.9607721114789</v>
      </c>
      <c r="BJ49" s="440">
        <f t="shared" si="146"/>
        <v>5184.6632648651221</v>
      </c>
      <c r="BK49" s="440">
        <f t="shared" si="146"/>
        <v>5270.7935977033076</v>
      </c>
      <c r="BL49" s="440">
        <f t="shared" si="146"/>
        <v>5361.0609172583554</v>
      </c>
      <c r="BM49" s="440">
        <f t="shared" si="146"/>
        <v>5455.1770810768649</v>
      </c>
      <c r="BN49" s="440">
        <f t="shared" si="146"/>
        <v>5552.8571576127388</v>
      </c>
      <c r="BO49" s="440">
        <f t="shared" si="146"/>
        <v>5642.2120546400365</v>
      </c>
      <c r="BP49" s="458">
        <f>BO49</f>
        <v>5642.2120546400365</v>
      </c>
      <c r="CF49" s="442" t="s">
        <v>1004</v>
      </c>
      <c r="CG49" s="13" t="s">
        <v>965</v>
      </c>
    </row>
    <row r="50" spans="1:85" s="440" customFormat="1" ht="10.199999999999999" outlineLevel="1">
      <c r="A50" s="442" t="s">
        <v>620</v>
      </c>
      <c r="B50" s="12" t="s">
        <v>502</v>
      </c>
      <c r="C50" s="440">
        <v>0</v>
      </c>
      <c r="D50" s="440">
        <f t="shared" ref="D50:O50" si="147">C50+D58+D65</f>
        <v>0</v>
      </c>
      <c r="E50" s="440">
        <f t="shared" si="147"/>
        <v>0</v>
      </c>
      <c r="F50" s="440">
        <f t="shared" si="147"/>
        <v>0</v>
      </c>
      <c r="G50" s="440">
        <f t="shared" si="147"/>
        <v>0</v>
      </c>
      <c r="H50" s="440">
        <f t="shared" si="147"/>
        <v>0</v>
      </c>
      <c r="I50" s="440">
        <f t="shared" si="147"/>
        <v>0</v>
      </c>
      <c r="J50" s="440">
        <f t="shared" si="147"/>
        <v>0</v>
      </c>
      <c r="K50" s="440">
        <f t="shared" si="147"/>
        <v>0</v>
      </c>
      <c r="L50" s="440">
        <f t="shared" si="147"/>
        <v>24.250000610114999</v>
      </c>
      <c r="M50" s="440">
        <f t="shared" si="147"/>
        <v>49.334838249294663</v>
      </c>
      <c r="N50" s="440">
        <f t="shared" si="147"/>
        <v>75.188453834677375</v>
      </c>
      <c r="O50" s="440">
        <f t="shared" si="147"/>
        <v>100.36584763397401</v>
      </c>
      <c r="P50" s="458">
        <f>O50</f>
        <v>100.36584763397401</v>
      </c>
      <c r="Q50" s="440">
        <f t="shared" ref="Q50:AB50" si="148">P50+Q58+Q65</f>
        <v>301.04809871452096</v>
      </c>
      <c r="R50" s="440">
        <f t="shared" si="148"/>
        <v>500.31637631105895</v>
      </c>
      <c r="S50" s="440">
        <f t="shared" si="148"/>
        <v>707.85893074837554</v>
      </c>
      <c r="T50" s="440">
        <f t="shared" si="148"/>
        <v>923.31823709498065</v>
      </c>
      <c r="U50" s="440">
        <f t="shared" si="148"/>
        <v>1146.3283917295769</v>
      </c>
      <c r="V50" s="440">
        <f t="shared" si="148"/>
        <v>1376.5159375350872</v>
      </c>
      <c r="W50" s="440">
        <f t="shared" si="148"/>
        <v>1613.5006998519966</v>
      </c>
      <c r="X50" s="440">
        <f t="shared" si="148"/>
        <v>1856.8966305464126</v>
      </c>
      <c r="Y50" s="440">
        <f t="shared" si="148"/>
        <v>2106.3126575460974</v>
      </c>
      <c r="Z50" s="440">
        <f t="shared" si="148"/>
        <v>2361.3535372063134</v>
      </c>
      <c r="AA50" s="440">
        <f t="shared" si="148"/>
        <v>2621.6207068864801</v>
      </c>
      <c r="AB50" s="440">
        <f t="shared" si="148"/>
        <v>2874.3884458873422</v>
      </c>
      <c r="AC50" s="458">
        <f>AB50</f>
        <v>2874.3884458873422</v>
      </c>
      <c r="AD50" s="440">
        <f t="shared" ref="AD50:AO50" si="149">AC50+AD58+AD65</f>
        <v>3424.159840414794</v>
      </c>
      <c r="AE50" s="440">
        <f t="shared" si="149"/>
        <v>3697.9009733310372</v>
      </c>
      <c r="AF50" s="440">
        <f t="shared" si="149"/>
        <v>3982.48725665033</v>
      </c>
      <c r="AG50" s="440">
        <f t="shared" si="149"/>
        <v>4277.3476590865748</v>
      </c>
      <c r="AH50" s="440">
        <f t="shared" si="149"/>
        <v>4581.9048256025008</v>
      </c>
      <c r="AI50" s="440">
        <f t="shared" si="149"/>
        <v>4895.5763483874307</v>
      </c>
      <c r="AJ50" s="440">
        <f t="shared" si="149"/>
        <v>5217.7760300574291</v>
      </c>
      <c r="AK50" s="440">
        <f t="shared" si="149"/>
        <v>5547.915135369617</v>
      </c>
      <c r="AL50" s="440">
        <f t="shared" si="149"/>
        <v>5885.4036278428775</v>
      </c>
      <c r="AM50" s="440">
        <f t="shared" si="149"/>
        <v>6229.6513877905818</v>
      </c>
      <c r="AN50" s="440">
        <f t="shared" si="149"/>
        <v>6580.0694083965645</v>
      </c>
      <c r="AO50" s="440">
        <f t="shared" si="149"/>
        <v>6916.010400007619</v>
      </c>
      <c r="AP50" s="458">
        <f>AO50</f>
        <v>6916.010400007619</v>
      </c>
      <c r="AQ50" s="440">
        <f t="shared" ref="AQ50:BB50" si="150">AP50+AQ58+AQ65</f>
        <v>7814.5955853100932</v>
      </c>
      <c r="AR50" s="440">
        <f t="shared" si="150"/>
        <v>8033.732451333788</v>
      </c>
      <c r="AS50" s="440">
        <f t="shared" si="150"/>
        <v>8264.4026508534498</v>
      </c>
      <c r="AT50" s="440">
        <f t="shared" si="150"/>
        <v>8505.9827903303212</v>
      </c>
      <c r="AU50" s="440">
        <f t="shared" si="150"/>
        <v>8757.8468192799537</v>
      </c>
      <c r="AV50" s="440">
        <f t="shared" si="150"/>
        <v>9019.367357024068</v>
      </c>
      <c r="AW50" s="440">
        <f t="shared" si="150"/>
        <v>9289.9169932902059</v>
      </c>
      <c r="AX50" s="440">
        <f t="shared" si="150"/>
        <v>9568.8695592913064</v>
      </c>
      <c r="AY50" s="440">
        <f t="shared" si="150"/>
        <v>9855.6013660967183</v>
      </c>
      <c r="AZ50" s="440">
        <f t="shared" si="150"/>
        <v>10149.492407294274</v>
      </c>
      <c r="BA50" s="440">
        <f t="shared" si="150"/>
        <v>10449.927523139195</v>
      </c>
      <c r="BB50" s="440">
        <f t="shared" si="150"/>
        <v>10732.326474372538</v>
      </c>
      <c r="BC50" s="458">
        <f>BB50</f>
        <v>10732.326474372538</v>
      </c>
      <c r="BD50" s="440">
        <f t="shared" ref="BD50:BO50" si="151">BC50+BD58+BD65</f>
        <v>11927.919715915219</v>
      </c>
      <c r="BE50" s="440">
        <f t="shared" si="151"/>
        <v>12065.778192660056</v>
      </c>
      <c r="BF50" s="440">
        <f t="shared" si="151"/>
        <v>12218.396007632664</v>
      </c>
      <c r="BG50" s="440">
        <f t="shared" si="151"/>
        <v>12385.032791915175</v>
      </c>
      <c r="BH50" s="440">
        <f t="shared" si="151"/>
        <v>12564.947902501879</v>
      </c>
      <c r="BI50" s="440">
        <f t="shared" si="151"/>
        <v>12757.401930278696</v>
      </c>
      <c r="BJ50" s="440">
        <f t="shared" si="151"/>
        <v>12961.658162162805</v>
      </c>
      <c r="BK50" s="440">
        <f t="shared" si="151"/>
        <v>13176.983994258268</v>
      </c>
      <c r="BL50" s="440">
        <f t="shared" si="151"/>
        <v>13402.652293145888</v>
      </c>
      <c r="BM50" s="440">
        <f t="shared" si="151"/>
        <v>13637.942702692158</v>
      </c>
      <c r="BN50" s="440">
        <f t="shared" si="151"/>
        <v>13882.142894031846</v>
      </c>
      <c r="BO50" s="440">
        <f t="shared" si="151"/>
        <v>14105.530136600089</v>
      </c>
      <c r="BP50" s="458">
        <f>BO50</f>
        <v>14105.530136600089</v>
      </c>
      <c r="CF50" s="442" t="s">
        <v>1005</v>
      </c>
      <c r="CG50" s="13" t="s">
        <v>965</v>
      </c>
    </row>
    <row r="51" spans="1:85" s="388" customFormat="1" ht="10.199999999999999" outlineLevel="1">
      <c r="A51" s="459" t="s">
        <v>508</v>
      </c>
      <c r="D51" s="388">
        <f t="shared" ref="D51:AI51" si="152">D36-D45-D46</f>
        <v>0</v>
      </c>
      <c r="E51" s="388">
        <f t="shared" si="152"/>
        <v>0</v>
      </c>
      <c r="F51" s="388">
        <f t="shared" si="152"/>
        <v>0</v>
      </c>
      <c r="G51" s="388">
        <f t="shared" si="152"/>
        <v>0</v>
      </c>
      <c r="H51" s="388">
        <f t="shared" si="152"/>
        <v>0</v>
      </c>
      <c r="I51" s="388">
        <f t="shared" si="152"/>
        <v>0</v>
      </c>
      <c r="J51" s="388">
        <f t="shared" si="152"/>
        <v>0</v>
      </c>
      <c r="K51" s="388">
        <f t="shared" si="152"/>
        <v>0</v>
      </c>
      <c r="L51" s="388">
        <f t="shared" si="152"/>
        <v>0</v>
      </c>
      <c r="M51" s="388">
        <f t="shared" si="152"/>
        <v>0</v>
      </c>
      <c r="N51" s="388">
        <f t="shared" si="152"/>
        <v>0</v>
      </c>
      <c r="O51" s="388">
        <f t="shared" si="152"/>
        <v>0</v>
      </c>
      <c r="P51" s="387">
        <f t="shared" si="152"/>
        <v>0</v>
      </c>
      <c r="Q51" s="388">
        <f t="shared" si="152"/>
        <v>0</v>
      </c>
      <c r="R51" s="388">
        <f t="shared" si="152"/>
        <v>0</v>
      </c>
      <c r="S51" s="388">
        <f t="shared" si="152"/>
        <v>0</v>
      </c>
      <c r="T51" s="388">
        <f t="shared" si="152"/>
        <v>0</v>
      </c>
      <c r="U51" s="388">
        <f t="shared" si="152"/>
        <v>0</v>
      </c>
      <c r="V51" s="388">
        <f t="shared" si="152"/>
        <v>0</v>
      </c>
      <c r="W51" s="388">
        <f t="shared" si="152"/>
        <v>0</v>
      </c>
      <c r="X51" s="388">
        <f t="shared" si="152"/>
        <v>0</v>
      </c>
      <c r="Y51" s="388">
        <f t="shared" si="152"/>
        <v>0</v>
      </c>
      <c r="Z51" s="388">
        <f t="shared" si="152"/>
        <v>0</v>
      </c>
      <c r="AA51" s="388">
        <f t="shared" si="152"/>
        <v>0</v>
      </c>
      <c r="AB51" s="388">
        <f t="shared" si="152"/>
        <v>0</v>
      </c>
      <c r="AC51" s="387">
        <f t="shared" si="152"/>
        <v>0</v>
      </c>
      <c r="AD51" s="388">
        <f t="shared" si="152"/>
        <v>0</v>
      </c>
      <c r="AE51" s="388">
        <f t="shared" si="152"/>
        <v>0</v>
      </c>
      <c r="AF51" s="388">
        <f t="shared" si="152"/>
        <v>0</v>
      </c>
      <c r="AG51" s="388">
        <f t="shared" si="152"/>
        <v>0</v>
      </c>
      <c r="AH51" s="388">
        <f t="shared" si="152"/>
        <v>0</v>
      </c>
      <c r="AI51" s="388">
        <f t="shared" si="152"/>
        <v>0</v>
      </c>
      <c r="AJ51" s="388">
        <f t="shared" ref="AJ51:BP51" si="153">AJ36-AJ45-AJ46</f>
        <v>0</v>
      </c>
      <c r="AK51" s="388">
        <f t="shared" si="153"/>
        <v>0</v>
      </c>
      <c r="AL51" s="388">
        <f t="shared" si="153"/>
        <v>0</v>
      </c>
      <c r="AM51" s="388">
        <f t="shared" si="153"/>
        <v>0</v>
      </c>
      <c r="AN51" s="388">
        <f t="shared" si="153"/>
        <v>0</v>
      </c>
      <c r="AO51" s="388">
        <f t="shared" si="153"/>
        <v>0</v>
      </c>
      <c r="AP51" s="387">
        <f t="shared" si="153"/>
        <v>0</v>
      </c>
      <c r="AQ51" s="388">
        <f t="shared" si="153"/>
        <v>0</v>
      </c>
      <c r="AR51" s="388">
        <f t="shared" si="153"/>
        <v>0</v>
      </c>
      <c r="AS51" s="388">
        <f t="shared" si="153"/>
        <v>0</v>
      </c>
      <c r="AT51" s="388">
        <f t="shared" si="153"/>
        <v>0</v>
      </c>
      <c r="AU51" s="388">
        <f t="shared" si="153"/>
        <v>0</v>
      </c>
      <c r="AV51" s="388">
        <f t="shared" si="153"/>
        <v>0</v>
      </c>
      <c r="AW51" s="388">
        <f t="shared" si="153"/>
        <v>0</v>
      </c>
      <c r="AX51" s="388">
        <f t="shared" si="153"/>
        <v>0</v>
      </c>
      <c r="AY51" s="388">
        <f t="shared" si="153"/>
        <v>0</v>
      </c>
      <c r="AZ51" s="388">
        <f t="shared" si="153"/>
        <v>0</v>
      </c>
      <c r="BA51" s="388">
        <f t="shared" si="153"/>
        <v>0</v>
      </c>
      <c r="BB51" s="388">
        <f t="shared" si="153"/>
        <v>0</v>
      </c>
      <c r="BC51" s="387">
        <f t="shared" si="153"/>
        <v>0</v>
      </c>
      <c r="BD51" s="388">
        <f t="shared" si="153"/>
        <v>0</v>
      </c>
      <c r="BE51" s="388">
        <f t="shared" si="153"/>
        <v>0</v>
      </c>
      <c r="BF51" s="388">
        <f t="shared" si="153"/>
        <v>0</v>
      </c>
      <c r="BG51" s="388">
        <f t="shared" si="153"/>
        <v>0</v>
      </c>
      <c r="BH51" s="388">
        <f t="shared" si="153"/>
        <v>0</v>
      </c>
      <c r="BI51" s="388">
        <f t="shared" si="153"/>
        <v>0</v>
      </c>
      <c r="BJ51" s="388">
        <f t="shared" si="153"/>
        <v>0</v>
      </c>
      <c r="BK51" s="388">
        <f t="shared" si="153"/>
        <v>0</v>
      </c>
      <c r="BL51" s="388">
        <f t="shared" si="153"/>
        <v>0</v>
      </c>
      <c r="BM51" s="388">
        <f t="shared" si="153"/>
        <v>0</v>
      </c>
      <c r="BN51" s="388">
        <f t="shared" si="153"/>
        <v>0</v>
      </c>
      <c r="BO51" s="388">
        <f t="shared" si="153"/>
        <v>0</v>
      </c>
      <c r="BP51" s="387">
        <f t="shared" si="153"/>
        <v>0</v>
      </c>
      <c r="CF51" s="459" t="s">
        <v>913</v>
      </c>
    </row>
    <row r="52" spans="1:85" s="60" customFormat="1" ht="15.6">
      <c r="A52" s="60" t="s">
        <v>713</v>
      </c>
      <c r="B52" s="12" t="s">
        <v>502</v>
      </c>
      <c r="C52" s="374"/>
      <c r="D52" s="60">
        <f t="shared" ref="D52:O52" si="154">D53+D54</f>
        <v>0</v>
      </c>
      <c r="E52" s="60">
        <f t="shared" si="154"/>
        <v>0</v>
      </c>
      <c r="F52" s="60">
        <f t="shared" si="154"/>
        <v>0</v>
      </c>
      <c r="G52" s="60">
        <f t="shared" si="154"/>
        <v>0</v>
      </c>
      <c r="H52" s="60">
        <f t="shared" si="154"/>
        <v>0</v>
      </c>
      <c r="I52" s="60">
        <f t="shared" si="154"/>
        <v>0</v>
      </c>
      <c r="J52" s="60">
        <f t="shared" si="154"/>
        <v>0</v>
      </c>
      <c r="K52" s="60">
        <f t="shared" si="154"/>
        <v>0</v>
      </c>
      <c r="L52" s="60">
        <f t="shared" si="154"/>
        <v>52.432433751600001</v>
      </c>
      <c r="M52" s="60">
        <f t="shared" si="154"/>
        <v>59.401443923774927</v>
      </c>
      <c r="N52" s="60">
        <f t="shared" si="154"/>
        <v>66.526575238318813</v>
      </c>
      <c r="O52" s="60">
        <f t="shared" si="154"/>
        <v>70.735676915375592</v>
      </c>
      <c r="P52" s="372">
        <f t="shared" ref="P52:P65" si="155">SUM(D52:O52)</f>
        <v>249.09612982906933</v>
      </c>
      <c r="Q52" s="60">
        <f t="shared" ref="Q52:AB52" si="156">Q53+Q54</f>
        <v>465.68545956228411</v>
      </c>
      <c r="R52" s="60">
        <f t="shared" si="156"/>
        <v>500.89685216267435</v>
      </c>
      <c r="S52" s="60">
        <f t="shared" si="156"/>
        <v>557.76846746152853</v>
      </c>
      <c r="T52" s="60">
        <f t="shared" si="156"/>
        <v>615.70816982345377</v>
      </c>
      <c r="U52" s="60">
        <f t="shared" si="156"/>
        <v>674.64043347703375</v>
      </c>
      <c r="V52" s="60">
        <f t="shared" si="156"/>
        <v>734.489130366513</v>
      </c>
      <c r="W52" s="60">
        <f t="shared" si="156"/>
        <v>795.17769892306478</v>
      </c>
      <c r="X52" s="60">
        <f t="shared" si="156"/>
        <v>856.62931189385984</v>
      </c>
      <c r="Y52" s="60">
        <f t="shared" si="156"/>
        <v>918.7670427104805</v>
      </c>
      <c r="Z52" s="60">
        <f t="shared" si="156"/>
        <v>981.51402988978452</v>
      </c>
      <c r="AA52" s="60">
        <f t="shared" si="156"/>
        <v>1044.7936389738247</v>
      </c>
      <c r="AB52" s="60">
        <f t="shared" si="156"/>
        <v>1080.1970025403866</v>
      </c>
      <c r="AC52" s="372">
        <f t="shared" ref="AC52:AC65" si="157">SUM(Q52:AB52)</f>
        <v>9226.2672377848885</v>
      </c>
      <c r="AD52" s="60">
        <f t="shared" ref="AD52:AO52" si="158">AD53+AD54</f>
        <v>1816.4167596420004</v>
      </c>
      <c r="AE52" s="60">
        <f t="shared" si="158"/>
        <v>1288.8730952708211</v>
      </c>
      <c r="AF52" s="60">
        <f t="shared" si="158"/>
        <v>1370.4909468649357</v>
      </c>
      <c r="AG52" s="60">
        <f t="shared" si="158"/>
        <v>1453.3674254549028</v>
      </c>
      <c r="AH52" s="60">
        <f t="shared" si="158"/>
        <v>1537.3897374282203</v>
      </c>
      <c r="AI52" s="60">
        <f t="shared" si="158"/>
        <v>1622.4454345822478</v>
      </c>
      <c r="AJ52" s="60">
        <f t="shared" si="158"/>
        <v>1708.4226464932813</v>
      </c>
      <c r="AK52" s="60">
        <f t="shared" si="158"/>
        <v>1795.2103070271</v>
      </c>
      <c r="AL52" s="60">
        <f t="shared" si="158"/>
        <v>1882.6983743813107</v>
      </c>
      <c r="AM52" s="60">
        <f t="shared" si="158"/>
        <v>1970.7780440846861</v>
      </c>
      <c r="AN52" s="60">
        <f t="shared" si="158"/>
        <v>2059.3419544151607</v>
      </c>
      <c r="AO52" s="60">
        <f t="shared" si="158"/>
        <v>2100.5211299386451</v>
      </c>
      <c r="AP52" s="372">
        <f t="shared" ref="AP52:AP65" si="159">SUM(AD52:AO52)</f>
        <v>20605.955855583314</v>
      </c>
      <c r="AQ52" s="60">
        <f t="shared" ref="AQ52:BB52" si="160">AQ53+AQ54</f>
        <v>3517.3046938666948</v>
      </c>
      <c r="AR52" s="60">
        <f t="shared" si="160"/>
        <v>2079.4567907537244</v>
      </c>
      <c r="AS52" s="60">
        <f t="shared" si="160"/>
        <v>2157.4658559111303</v>
      </c>
      <c r="AT52" s="60">
        <f t="shared" si="160"/>
        <v>2236.7710030115427</v>
      </c>
      <c r="AU52" s="60">
        <f t="shared" si="160"/>
        <v>2317.2538776450288</v>
      </c>
      <c r="AV52" s="60">
        <f t="shared" si="160"/>
        <v>2398.7972762300483</v>
      </c>
      <c r="AW52" s="60">
        <f t="shared" si="160"/>
        <v>2481.2853669507458</v>
      </c>
      <c r="AX52" s="60">
        <f t="shared" si="160"/>
        <v>2564.6039015400538</v>
      </c>
      <c r="AY52" s="60">
        <f t="shared" si="160"/>
        <v>2648.6404174614127</v>
      </c>
      <c r="AZ52" s="60">
        <f t="shared" si="160"/>
        <v>2733.2844300879096</v>
      </c>
      <c r="BA52" s="60">
        <f t="shared" si="160"/>
        <v>2818.427614524845</v>
      </c>
      <c r="BB52" s="60">
        <f t="shared" si="160"/>
        <v>2844.7762009272533</v>
      </c>
      <c r="BC52" s="372">
        <f t="shared" ref="BC52:BC65" si="161">SUM(AQ52:BB52)</f>
        <v>30798.067428910388</v>
      </c>
      <c r="BD52" s="60">
        <f t="shared" ref="BD52:BO52" si="162">BD53+BD54</f>
        <v>5174.0500497489084</v>
      </c>
      <c r="BE52" s="60">
        <f t="shared" si="162"/>
        <v>2810.0103150234163</v>
      </c>
      <c r="BF52" s="60">
        <f t="shared" si="162"/>
        <v>2884.6914859804906</v>
      </c>
      <c r="BG52" s="60">
        <f t="shared" si="162"/>
        <v>2961.0761012573607</v>
      </c>
      <c r="BH52" s="60">
        <f t="shared" si="162"/>
        <v>3039.026860942623</v>
      </c>
      <c r="BI52" s="60">
        <f t="shared" si="162"/>
        <v>3118.4083534981169</v>
      </c>
      <c r="BJ52" s="60">
        <f t="shared" si="162"/>
        <v>3199.0872861678531</v>
      </c>
      <c r="BK52" s="60">
        <f t="shared" si="162"/>
        <v>3280.9327025250072</v>
      </c>
      <c r="BL52" s="60">
        <f t="shared" si="162"/>
        <v>3363.816186861045</v>
      </c>
      <c r="BM52" s="60">
        <f t="shared" si="162"/>
        <v>3447.6120551790073</v>
      </c>
      <c r="BN52" s="60">
        <f t="shared" si="162"/>
        <v>3532.1975326100701</v>
      </c>
      <c r="BO52" s="60">
        <f t="shared" si="162"/>
        <v>3543.0436349495662</v>
      </c>
      <c r="BP52" s="372">
        <f t="shared" ref="BP52:BP65" si="163">SUM(BD52:BO52)</f>
        <v>40353.952564743464</v>
      </c>
      <c r="CF52" s="60" t="s">
        <v>1062</v>
      </c>
      <c r="CG52" s="13" t="s">
        <v>965</v>
      </c>
    </row>
    <row r="53" spans="1:85" s="3" customFormat="1" outlineLevel="1">
      <c r="A53" s="398" t="s">
        <v>712</v>
      </c>
      <c r="B53" s="12" t="s">
        <v>502</v>
      </c>
      <c r="C53" s="5"/>
      <c r="D53" s="3">
        <f t="shared" ref="D53:O53" si="164">D36*D39-C45-D60</f>
        <v>0</v>
      </c>
      <c r="E53" s="3">
        <f t="shared" si="164"/>
        <v>0</v>
      </c>
      <c r="F53" s="3">
        <f t="shared" si="164"/>
        <v>0</v>
      </c>
      <c r="G53" s="3">
        <f t="shared" si="164"/>
        <v>0</v>
      </c>
      <c r="H53" s="3">
        <f t="shared" si="164"/>
        <v>0</v>
      </c>
      <c r="I53" s="3">
        <f t="shared" si="164"/>
        <v>0</v>
      </c>
      <c r="J53" s="3">
        <f t="shared" si="164"/>
        <v>0</v>
      </c>
      <c r="K53" s="3">
        <f t="shared" si="164"/>
        <v>0</v>
      </c>
      <c r="L53" s="3">
        <f t="shared" si="164"/>
        <v>3.9324325313699995</v>
      </c>
      <c r="M53" s="3">
        <f t="shared" si="164"/>
        <v>5.3652407703583496</v>
      </c>
      <c r="N53" s="3">
        <f t="shared" si="164"/>
        <v>6.9531781911380657</v>
      </c>
      <c r="O53" s="3">
        <f t="shared" si="164"/>
        <v>8.3925080664754219</v>
      </c>
      <c r="P53" s="397">
        <f t="shared" si="155"/>
        <v>24.643359559341835</v>
      </c>
      <c r="Q53" s="3">
        <f t="shared" ref="Q53:AB53" si="165">Q36*Q39-P45-Q60</f>
        <v>48.318180583995428</v>
      </c>
      <c r="R53" s="3">
        <f t="shared" si="165"/>
        <v>54.359850119005131</v>
      </c>
      <c r="S53" s="3">
        <f t="shared" si="165"/>
        <v>62.910691919520907</v>
      </c>
      <c r="T53" s="3">
        <f t="shared" si="165"/>
        <v>71.925383172030251</v>
      </c>
      <c r="U53" s="3">
        <f t="shared" si="165"/>
        <v>81.402160848808208</v>
      </c>
      <c r="V53" s="3">
        <f t="shared" si="165"/>
        <v>91.338345185276211</v>
      </c>
      <c r="W53" s="3">
        <f t="shared" si="165"/>
        <v>101.73035536004019</v>
      </c>
      <c r="X53" s="3">
        <f t="shared" si="165"/>
        <v>112.57372780640404</v>
      </c>
      <c r="Y53" s="3">
        <f t="shared" si="165"/>
        <v>123.86313706287713</v>
      </c>
      <c r="Z53" s="3">
        <f t="shared" si="165"/>
        <v>135.59241906061362</v>
      </c>
      <c r="AA53" s="3">
        <f t="shared" si="165"/>
        <v>147.75459673670662</v>
      </c>
      <c r="AB53" s="3">
        <f t="shared" si="165"/>
        <v>156.65866738509595</v>
      </c>
      <c r="AC53" s="397">
        <f t="shared" si="157"/>
        <v>1188.4275152403736</v>
      </c>
      <c r="AD53" s="3">
        <f t="shared" ref="AD53:AO53" si="166">AD36*AD39-AC45-AD60</f>
        <v>258.56870171505921</v>
      </c>
      <c r="AE53" s="3">
        <f t="shared" si="166"/>
        <v>195.42756599441998</v>
      </c>
      <c r="AF53" s="3">
        <f t="shared" si="166"/>
        <v>211.70861392301231</v>
      </c>
      <c r="AG53" s="3">
        <f t="shared" si="166"/>
        <v>228.6611524387215</v>
      </c>
      <c r="AH53" s="3">
        <f t="shared" si="166"/>
        <v>246.27608319756396</v>
      </c>
      <c r="AI53" s="3">
        <f t="shared" si="166"/>
        <v>264.54311959687766</v>
      </c>
      <c r="AJ53" s="3">
        <f t="shared" si="166"/>
        <v>283.45083204928875</v>
      </c>
      <c r="AK53" s="3">
        <f t="shared" si="166"/>
        <v>302.98669605467819</v>
      </c>
      <c r="AL53" s="3">
        <f t="shared" si="166"/>
        <v>323.13714285085541</v>
      </c>
      <c r="AM53" s="3">
        <f t="shared" si="166"/>
        <v>343.8876124165522</v>
      </c>
      <c r="AN53" s="3">
        <f t="shared" si="166"/>
        <v>365.22260859436238</v>
      </c>
      <c r="AO53" s="3">
        <f t="shared" si="166"/>
        <v>379.48363548886175</v>
      </c>
      <c r="AP53" s="397">
        <f t="shared" si="159"/>
        <v>3403.3537643202535</v>
      </c>
      <c r="AQ53" s="3">
        <f t="shared" ref="AQ53:BB53" si="167">AQ36*AQ39-AP45-AQ60</f>
        <v>617.4148872605308</v>
      </c>
      <c r="AR53" s="3">
        <f t="shared" si="167"/>
        <v>395.189207048556</v>
      </c>
      <c r="AS53" s="3">
        <f t="shared" si="167"/>
        <v>415.19144935358696</v>
      </c>
      <c r="AT53" s="3">
        <f t="shared" si="167"/>
        <v>435.89763472727589</v>
      </c>
      <c r="AU53" s="3">
        <f t="shared" si="167"/>
        <v>457.29411928754047</v>
      </c>
      <c r="AV53" s="3">
        <f t="shared" si="167"/>
        <v>479.36618011218206</v>
      </c>
      <c r="AW53" s="3">
        <f t="shared" si="167"/>
        <v>502.09807693741004</v>
      </c>
      <c r="AX53" s="3">
        <f t="shared" si="167"/>
        <v>525.47311560769253</v>
      </c>
      <c r="AY53" s="3">
        <f t="shared" si="167"/>
        <v>549.47371300803297</v>
      </c>
      <c r="AZ53" s="3">
        <f t="shared" si="167"/>
        <v>574.08146320959713</v>
      </c>
      <c r="BA53" s="3">
        <f t="shared" si="167"/>
        <v>599.27720456086058</v>
      </c>
      <c r="BB53" s="3">
        <f t="shared" si="167"/>
        <v>613.79541004892963</v>
      </c>
      <c r="BC53" s="397">
        <f t="shared" si="161"/>
        <v>6164.552461162195</v>
      </c>
      <c r="BD53" s="3">
        <f t="shared" ref="BD53:BO53" si="168">BD36*BD39-BC45-BD60</f>
        <v>1071.6537343608118</v>
      </c>
      <c r="BE53" s="3">
        <f t="shared" si="168"/>
        <v>632.45282905170347</v>
      </c>
      <c r="BF53" s="3">
        <f t="shared" si="168"/>
        <v>655.63455531670081</v>
      </c>
      <c r="BG53" s="3">
        <f t="shared" si="168"/>
        <v>679.6471692531295</v>
      </c>
      <c r="BH53" s="3">
        <f t="shared" si="168"/>
        <v>704.47196683607126</v>
      </c>
      <c r="BI53" s="3">
        <f t="shared" si="168"/>
        <v>730.08916015668217</v>
      </c>
      <c r="BJ53" s="3">
        <f t="shared" si="168"/>
        <v>756.47795907186674</v>
      </c>
      <c r="BK53" s="3">
        <f t="shared" si="168"/>
        <v>783.6166535892321</v>
      </c>
      <c r="BL53" s="3">
        <f t="shared" si="168"/>
        <v>811.48269666795898</v>
      </c>
      <c r="BM53" s="3">
        <f t="shared" si="168"/>
        <v>840.05278712375889</v>
      </c>
      <c r="BN53" s="3">
        <f t="shared" si="168"/>
        <v>869.30295233477955</v>
      </c>
      <c r="BO53" s="3">
        <f t="shared" si="168"/>
        <v>882.83858837577782</v>
      </c>
      <c r="BP53" s="397">
        <f t="shared" si="163"/>
        <v>9417.7210521384732</v>
      </c>
      <c r="CF53" s="398" t="s">
        <v>1065</v>
      </c>
      <c r="CG53" s="13" t="s">
        <v>965</v>
      </c>
    </row>
    <row r="54" spans="1:85" s="3" customFormat="1" outlineLevel="1">
      <c r="A54" s="398" t="s">
        <v>711</v>
      </c>
      <c r="B54" s="12" t="s">
        <v>502</v>
      </c>
      <c r="C54" s="5"/>
      <c r="D54" s="3">
        <f t="shared" ref="D54:O54" si="169">SUM(D55:D58)</f>
        <v>0</v>
      </c>
      <c r="E54" s="3">
        <f t="shared" si="169"/>
        <v>0</v>
      </c>
      <c r="F54" s="3">
        <f t="shared" si="169"/>
        <v>0</v>
      </c>
      <c r="G54" s="3">
        <f t="shared" si="169"/>
        <v>0</v>
      </c>
      <c r="H54" s="3">
        <f t="shared" si="169"/>
        <v>0</v>
      </c>
      <c r="I54" s="3">
        <f t="shared" si="169"/>
        <v>0</v>
      </c>
      <c r="J54" s="3">
        <f t="shared" si="169"/>
        <v>0</v>
      </c>
      <c r="K54" s="3">
        <f t="shared" si="169"/>
        <v>0</v>
      </c>
      <c r="L54" s="3">
        <f t="shared" si="169"/>
        <v>48.500001220230004</v>
      </c>
      <c r="M54" s="3">
        <f t="shared" si="169"/>
        <v>54.036203153416579</v>
      </c>
      <c r="N54" s="3">
        <f t="shared" si="169"/>
        <v>59.573397047180741</v>
      </c>
      <c r="O54" s="3">
        <f t="shared" si="169"/>
        <v>62.34316884890017</v>
      </c>
      <c r="P54" s="397">
        <f t="shared" si="155"/>
        <v>224.45277026972749</v>
      </c>
      <c r="Q54" s="3">
        <f t="shared" ref="Q54:AB54" si="170">SUM(Q55:Q58)</f>
        <v>417.36727897828871</v>
      </c>
      <c r="R54" s="3">
        <f t="shared" si="170"/>
        <v>446.53700204366919</v>
      </c>
      <c r="S54" s="3">
        <f t="shared" si="170"/>
        <v>494.85777554200763</v>
      </c>
      <c r="T54" s="3">
        <f t="shared" si="170"/>
        <v>543.78278665142352</v>
      </c>
      <c r="U54" s="3">
        <f t="shared" si="170"/>
        <v>593.23827262822556</v>
      </c>
      <c r="V54" s="3">
        <f t="shared" si="170"/>
        <v>643.15078518123676</v>
      </c>
      <c r="W54" s="3">
        <f t="shared" si="170"/>
        <v>693.44734356302456</v>
      </c>
      <c r="X54" s="3">
        <f t="shared" si="170"/>
        <v>744.05558408745583</v>
      </c>
      <c r="Y54" s="3">
        <f t="shared" si="170"/>
        <v>794.90390564760332</v>
      </c>
      <c r="Z54" s="3">
        <f t="shared" si="170"/>
        <v>845.92161082917096</v>
      </c>
      <c r="AA54" s="3">
        <f t="shared" si="170"/>
        <v>897.03904223711811</v>
      </c>
      <c r="AB54" s="3">
        <f t="shared" si="170"/>
        <v>923.53833515529061</v>
      </c>
      <c r="AC54" s="397">
        <f t="shared" si="157"/>
        <v>8037.8397225445151</v>
      </c>
      <c r="AD54" s="3">
        <f t="shared" ref="AD54:AO54" si="171">SUM(AD55:AD58)</f>
        <v>1557.8480579269412</v>
      </c>
      <c r="AE54" s="3">
        <f t="shared" si="171"/>
        <v>1093.445529276401</v>
      </c>
      <c r="AF54" s="3">
        <f t="shared" si="171"/>
        <v>1158.7823329419234</v>
      </c>
      <c r="AG54" s="3">
        <f t="shared" si="171"/>
        <v>1224.7062730161813</v>
      </c>
      <c r="AH54" s="3">
        <f t="shared" si="171"/>
        <v>1291.1136542306563</v>
      </c>
      <c r="AI54" s="3">
        <f t="shared" si="171"/>
        <v>1357.9023149853701</v>
      </c>
      <c r="AJ54" s="3">
        <f t="shared" si="171"/>
        <v>1424.9718144439926</v>
      </c>
      <c r="AK54" s="3">
        <f t="shared" si="171"/>
        <v>1492.2236109724217</v>
      </c>
      <c r="AL54" s="3">
        <f t="shared" si="171"/>
        <v>1559.5612315304552</v>
      </c>
      <c r="AM54" s="3">
        <f t="shared" si="171"/>
        <v>1626.8904316681339</v>
      </c>
      <c r="AN54" s="3">
        <f t="shared" si="171"/>
        <v>1694.1193458207983</v>
      </c>
      <c r="AO54" s="3">
        <f t="shared" si="171"/>
        <v>1721.0374944497835</v>
      </c>
      <c r="AP54" s="397">
        <f t="shared" si="159"/>
        <v>17202.602091263059</v>
      </c>
      <c r="AQ54" s="3">
        <f t="shared" ref="AQ54:BB54" si="172">SUM(AQ55:AQ58)</f>
        <v>2899.8898066061638</v>
      </c>
      <c r="AR54" s="3">
        <f t="shared" si="172"/>
        <v>1684.2675837051684</v>
      </c>
      <c r="AS54" s="3">
        <f t="shared" si="172"/>
        <v>1742.2744065575432</v>
      </c>
      <c r="AT54" s="3">
        <f t="shared" si="172"/>
        <v>1800.8733682842667</v>
      </c>
      <c r="AU54" s="3">
        <f t="shared" si="172"/>
        <v>1859.9597583574882</v>
      </c>
      <c r="AV54" s="3">
        <f t="shared" si="172"/>
        <v>1919.4310961178662</v>
      </c>
      <c r="AW54" s="3">
        <f t="shared" si="172"/>
        <v>1979.1872900133358</v>
      </c>
      <c r="AX54" s="3">
        <f t="shared" si="172"/>
        <v>2039.1307859323615</v>
      </c>
      <c r="AY54" s="3">
        <f t="shared" si="172"/>
        <v>2099.1667044533797</v>
      </c>
      <c r="AZ54" s="3">
        <f t="shared" si="172"/>
        <v>2159.2029668783125</v>
      </c>
      <c r="BA54" s="3">
        <f t="shared" si="172"/>
        <v>2219.1504099639842</v>
      </c>
      <c r="BB54" s="3">
        <f t="shared" si="172"/>
        <v>2230.9807908783237</v>
      </c>
      <c r="BC54" s="397">
        <f t="shared" si="161"/>
        <v>24633.514967748193</v>
      </c>
      <c r="BD54" s="3">
        <f t="shared" ref="BD54:BO54" si="173">SUM(BD55:BD58)</f>
        <v>4102.3963153880968</v>
      </c>
      <c r="BE54" s="3">
        <f t="shared" si="173"/>
        <v>2177.5574859717126</v>
      </c>
      <c r="BF54" s="3">
        <f t="shared" si="173"/>
        <v>2229.0569306637899</v>
      </c>
      <c r="BG54" s="3">
        <f t="shared" si="173"/>
        <v>2281.4289320042312</v>
      </c>
      <c r="BH54" s="3">
        <f t="shared" si="173"/>
        <v>2334.5548941065517</v>
      </c>
      <c r="BI54" s="3">
        <f t="shared" si="173"/>
        <v>2388.3191933414346</v>
      </c>
      <c r="BJ54" s="3">
        <f t="shared" si="173"/>
        <v>2442.6093270959864</v>
      </c>
      <c r="BK54" s="3">
        <f t="shared" si="173"/>
        <v>2497.3160489357751</v>
      </c>
      <c r="BL54" s="3">
        <f t="shared" si="173"/>
        <v>2552.3334901930862</v>
      </c>
      <c r="BM54" s="3">
        <f t="shared" si="173"/>
        <v>2607.5592680552481</v>
      </c>
      <c r="BN54" s="3">
        <f t="shared" si="173"/>
        <v>2662.8945802752905</v>
      </c>
      <c r="BO54" s="3">
        <f t="shared" si="173"/>
        <v>2660.2050465737884</v>
      </c>
      <c r="BP54" s="397">
        <f t="shared" si="163"/>
        <v>30936.231512604991</v>
      </c>
      <c r="CF54" s="398" t="s">
        <v>1064</v>
      </c>
      <c r="CG54" s="13" t="s">
        <v>965</v>
      </c>
    </row>
    <row r="55" spans="1:85" s="440" customFormat="1" ht="10.199999999999999" outlineLevel="1">
      <c r="A55" s="442" t="s">
        <v>138</v>
      </c>
      <c r="B55" s="12" t="s">
        <v>502</v>
      </c>
      <c r="D55" s="373">
        <f t="shared" ref="D55:O55" si="174">D36*D40*D41-C47-D62</f>
        <v>0</v>
      </c>
      <c r="E55" s="373">
        <f t="shared" si="174"/>
        <v>0</v>
      </c>
      <c r="F55" s="373">
        <f t="shared" si="174"/>
        <v>0</v>
      </c>
      <c r="G55" s="373">
        <f t="shared" si="174"/>
        <v>0</v>
      </c>
      <c r="H55" s="373">
        <f t="shared" si="174"/>
        <v>0</v>
      </c>
      <c r="I55" s="373">
        <f t="shared" si="174"/>
        <v>0</v>
      </c>
      <c r="J55" s="373">
        <f t="shared" si="174"/>
        <v>0</v>
      </c>
      <c r="K55" s="373">
        <f t="shared" si="174"/>
        <v>0</v>
      </c>
      <c r="L55" s="373">
        <f t="shared" si="174"/>
        <v>4.8500001220230038</v>
      </c>
      <c r="M55" s="373">
        <f t="shared" si="174"/>
        <v>5.9869675522405394</v>
      </c>
      <c r="N55" s="373">
        <f t="shared" si="174"/>
        <v>7.1441166470483353</v>
      </c>
      <c r="O55" s="373">
        <f t="shared" si="174"/>
        <v>8.0430169132464293</v>
      </c>
      <c r="P55" s="458">
        <f t="shared" si="155"/>
        <v>26.024101234558309</v>
      </c>
      <c r="Q55" s="373">
        <f t="shared" ref="Q55:AB55" si="175">Q36*Q40*Q41-P47-Q62</f>
        <v>44.151084121468386</v>
      </c>
      <c r="R55" s="373">
        <f t="shared" si="175"/>
        <v>51.895579467888496</v>
      </c>
      <c r="S55" s="373">
        <f t="shared" si="175"/>
        <v>61.521165939905728</v>
      </c>
      <c r="T55" s="373">
        <f t="shared" si="175"/>
        <v>71.406218499256113</v>
      </c>
      <c r="U55" s="373">
        <f t="shared" si="175"/>
        <v>81.534760410718533</v>
      </c>
      <c r="V55" s="373">
        <f t="shared" si="175"/>
        <v>91.890644830285254</v>
      </c>
      <c r="W55" s="373">
        <f t="shared" si="175"/>
        <v>102.45758996478551</v>
      </c>
      <c r="X55" s="373">
        <f t="shared" si="175"/>
        <v>113.21921413296313</v>
      </c>
      <c r="Y55" s="373">
        <f t="shared" si="175"/>
        <v>124.15907062179359</v>
      </c>
      <c r="Z55" s="373">
        <f t="shared" si="175"/>
        <v>135.26068223388722</v>
      </c>
      <c r="AA55" s="373">
        <f t="shared" si="175"/>
        <v>146.5075754242859</v>
      </c>
      <c r="AB55" s="373">
        <f t="shared" si="175"/>
        <v>155.41837607563178</v>
      </c>
      <c r="AC55" s="458">
        <f t="shared" si="157"/>
        <v>1179.4219617228696</v>
      </c>
      <c r="AD55" s="373">
        <f t="shared" ref="AD55:AO55" si="176">AD36*AD40*AD41-AC47-AD62</f>
        <v>224.92981674098428</v>
      </c>
      <c r="AE55" s="373">
        <f t="shared" si="176"/>
        <v>191.71462019984054</v>
      </c>
      <c r="AF55" s="373">
        <f t="shared" si="176"/>
        <v>204.83329559710029</v>
      </c>
      <c r="AG55" s="373">
        <f t="shared" si="176"/>
        <v>218.2715707532623</v>
      </c>
      <c r="AH55" s="373">
        <f t="shared" si="176"/>
        <v>232.00533966664841</v>
      </c>
      <c r="AI55" s="373">
        <f t="shared" si="176"/>
        <v>246.0104975810863</v>
      </c>
      <c r="AJ55" s="373">
        <f t="shared" si="176"/>
        <v>260.2629902694971</v>
      </c>
      <c r="AK55" s="373">
        <f t="shared" si="176"/>
        <v>274.73886226473496</v>
      </c>
      <c r="AL55" s="373">
        <f t="shared" si="176"/>
        <v>289.41430390943708</v>
      </c>
      <c r="AM55" s="373">
        <f t="shared" si="176"/>
        <v>304.26569710325646</v>
      </c>
      <c r="AN55" s="373">
        <f t="shared" si="176"/>
        <v>319.26965963281998</v>
      </c>
      <c r="AO55" s="373">
        <f t="shared" si="176"/>
        <v>330.39097465807367</v>
      </c>
      <c r="AP55" s="458">
        <f t="shared" si="159"/>
        <v>3096.1076283767416</v>
      </c>
      <c r="AQ55" s="373">
        <f t="shared" ref="AQ55:BB55" si="177">AQ36*AQ40*AQ41-AP47-AQ62</f>
        <v>456.35745306079997</v>
      </c>
      <c r="AR55" s="373">
        <f t="shared" si="177"/>
        <v>356.41119661714316</v>
      </c>
      <c r="AS55" s="373">
        <f t="shared" si="177"/>
        <v>367.48333795728411</v>
      </c>
      <c r="AT55" s="373">
        <f t="shared" si="177"/>
        <v>378.89213392951291</v>
      </c>
      <c r="AU55" s="373">
        <f t="shared" si="177"/>
        <v>390.61211740313979</v>
      </c>
      <c r="AV55" s="373">
        <f t="shared" si="177"/>
        <v>402.61798032002122</v>
      </c>
      <c r="AW55" s="373">
        <f t="shared" si="177"/>
        <v>414.8846215341905</v>
      </c>
      <c r="AX55" s="373">
        <f t="shared" si="177"/>
        <v>427.38719293182857</v>
      </c>
      <c r="AY55" s="373">
        <f t="shared" si="177"/>
        <v>440.10114373273501</v>
      </c>
      <c r="AZ55" s="373">
        <f t="shared" si="177"/>
        <v>453.00226288338035</v>
      </c>
      <c r="BA55" s="373">
        <f t="shared" si="177"/>
        <v>466.06671946075568</v>
      </c>
      <c r="BB55" s="373">
        <f t="shared" si="177"/>
        <v>474.47689117223666</v>
      </c>
      <c r="BC55" s="458">
        <f t="shared" si="161"/>
        <v>5028.2930510030283</v>
      </c>
      <c r="BD55" s="373">
        <f t="shared" ref="BD55:BO55" si="178">BD36*BD40*BD41-BC47-BD62</f>
        <v>668.41170728343855</v>
      </c>
      <c r="BE55" s="373">
        <f t="shared" si="178"/>
        <v>504.68848398557731</v>
      </c>
      <c r="BF55" s="373">
        <f t="shared" si="178"/>
        <v>513.15469070092422</v>
      </c>
      <c r="BG55" s="373">
        <f t="shared" si="178"/>
        <v>522.06319716180928</v>
      </c>
      <c r="BH55" s="373">
        <f t="shared" si="178"/>
        <v>531.38433379394849</v>
      </c>
      <c r="BI55" s="373">
        <f t="shared" si="178"/>
        <v>541.08872165543937</v>
      </c>
      <c r="BJ55" s="373">
        <f t="shared" si="178"/>
        <v>551.14732358796994</v>
      </c>
      <c r="BK55" s="373">
        <f t="shared" si="178"/>
        <v>561.53149290560543</v>
      </c>
      <c r="BL55" s="373">
        <f t="shared" si="178"/>
        <v>572.2130195478552</v>
      </c>
      <c r="BM55" s="373">
        <f t="shared" si="178"/>
        <v>583.16417363509026</v>
      </c>
      <c r="BN55" s="373">
        <f t="shared" si="178"/>
        <v>594.35774637562429</v>
      </c>
      <c r="BO55" s="373">
        <f t="shared" si="178"/>
        <v>599.9631642749232</v>
      </c>
      <c r="BP55" s="458">
        <f t="shared" si="163"/>
        <v>6743.1680549082048</v>
      </c>
      <c r="CF55" s="442" t="s">
        <v>1002</v>
      </c>
      <c r="CG55" s="13" t="s">
        <v>965</v>
      </c>
    </row>
    <row r="56" spans="1:85" s="440" customFormat="1" ht="10.199999999999999" outlineLevel="1">
      <c r="A56" s="442" t="s">
        <v>142</v>
      </c>
      <c r="B56" s="12" t="s">
        <v>502</v>
      </c>
      <c r="D56" s="373">
        <f t="shared" ref="D56:O56" si="179">D36*D40*D42-C48-D63</f>
        <v>0</v>
      </c>
      <c r="E56" s="373">
        <f t="shared" si="179"/>
        <v>0</v>
      </c>
      <c r="F56" s="373">
        <f t="shared" si="179"/>
        <v>0</v>
      </c>
      <c r="G56" s="373">
        <f t="shared" si="179"/>
        <v>0</v>
      </c>
      <c r="H56" s="373">
        <f t="shared" si="179"/>
        <v>0</v>
      </c>
      <c r="I56" s="373">
        <f t="shared" si="179"/>
        <v>0</v>
      </c>
      <c r="J56" s="373">
        <f t="shared" si="179"/>
        <v>0</v>
      </c>
      <c r="K56" s="373">
        <f t="shared" si="179"/>
        <v>0</v>
      </c>
      <c r="L56" s="373">
        <f t="shared" si="179"/>
        <v>9.7000002440460005</v>
      </c>
      <c r="M56" s="373">
        <f t="shared" si="179"/>
        <v>11.11171286056587</v>
      </c>
      <c r="N56" s="373">
        <f t="shared" si="179"/>
        <v>12.534105711899516</v>
      </c>
      <c r="O56" s="373">
        <f t="shared" si="179"/>
        <v>13.412666579037644</v>
      </c>
      <c r="P56" s="458">
        <f t="shared" si="155"/>
        <v>46.75848539554903</v>
      </c>
      <c r="Q56" s="373">
        <f t="shared" ref="Q56:AB56" si="180">Q36*Q40*Q42-P48-Q63</f>
        <v>84.733604771506521</v>
      </c>
      <c r="R56" s="373">
        <f t="shared" si="180"/>
        <v>93.087226537038376</v>
      </c>
      <c r="S56" s="373">
        <f t="shared" si="180"/>
        <v>105.25330516652923</v>
      </c>
      <c r="T56" s="373">
        <f t="shared" si="180"/>
        <v>117.64411946079206</v>
      </c>
      <c r="U56" s="373">
        <f t="shared" si="180"/>
        <v>130.24042794694873</v>
      </c>
      <c r="V56" s="373">
        <f t="shared" si="180"/>
        <v>143.0229468435187</v>
      </c>
      <c r="W56" s="373">
        <f t="shared" si="180"/>
        <v>155.97239103943437</v>
      </c>
      <c r="X56" s="373">
        <f t="shared" si="180"/>
        <v>169.06951449341071</v>
      </c>
      <c r="Y56" s="373">
        <f t="shared" si="180"/>
        <v>182.29514993527005</v>
      </c>
      <c r="Z56" s="373">
        <f t="shared" si="180"/>
        <v>195.63024775502402</v>
      </c>
      <c r="AA56" s="373">
        <f t="shared" si="180"/>
        <v>209.05591397012518</v>
      </c>
      <c r="AB56" s="373">
        <f t="shared" si="180"/>
        <v>217.62357146196592</v>
      </c>
      <c r="AC56" s="458">
        <f t="shared" si="157"/>
        <v>1803.6284193815636</v>
      </c>
      <c r="AD56" s="373">
        <f t="shared" ref="AD56:AO56" si="181">AD36*AD40*AD42-AC48-AD63</f>
        <v>347.65915540597371</v>
      </c>
      <c r="AE56" s="373">
        <f t="shared" si="181"/>
        <v>261.68133496271037</v>
      </c>
      <c r="AF56" s="373">
        <f t="shared" si="181"/>
        <v>278.18566769798542</v>
      </c>
      <c r="AG56" s="373">
        <f t="shared" si="181"/>
        <v>294.94359460340144</v>
      </c>
      <c r="AH56" s="373">
        <f t="shared" si="181"/>
        <v>311.92720701021813</v>
      </c>
      <c r="AI56" s="373">
        <f t="shared" si="181"/>
        <v>329.10882358519422</v>
      </c>
      <c r="AJ56" s="373">
        <f t="shared" si="181"/>
        <v>346.46104370744047</v>
      </c>
      <c r="AK56" s="373">
        <f t="shared" si="181"/>
        <v>363.95679901631649</v>
      </c>
      <c r="AL56" s="373">
        <f t="shared" si="181"/>
        <v>381.56940300573189</v>
      </c>
      <c r="AM56" s="373">
        <f t="shared" si="181"/>
        <v>399.27259854987602</v>
      </c>
      <c r="AN56" s="373">
        <f t="shared" si="181"/>
        <v>417.0406032553081</v>
      </c>
      <c r="AO56" s="373">
        <f t="shared" si="181"/>
        <v>426.82392590649124</v>
      </c>
      <c r="AP56" s="458">
        <f t="shared" si="159"/>
        <v>4158.6301567066475</v>
      </c>
      <c r="AQ56" s="373">
        <f t="shared" ref="AQ56:BB56" si="182">AQ36*AQ40*AQ42-AP48-AQ63</f>
        <v>666.81231412132843</v>
      </c>
      <c r="AR56" s="373">
        <f t="shared" si="182"/>
        <v>434.97010575659402</v>
      </c>
      <c r="AS56" s="373">
        <f t="shared" si="182"/>
        <v>449.32285542269915</v>
      </c>
      <c r="AT56" s="373">
        <f t="shared" si="182"/>
        <v>463.93884027312475</v>
      </c>
      <c r="AU56" s="373">
        <f t="shared" si="182"/>
        <v>478.78929115008924</v>
      </c>
      <c r="AV56" s="373">
        <f t="shared" si="182"/>
        <v>493.84585151008821</v>
      </c>
      <c r="AW56" s="373">
        <f t="shared" si="182"/>
        <v>509.08062592974716</v>
      </c>
      <c r="AX56" s="373">
        <f t="shared" si="182"/>
        <v>524.46622610222721</v>
      </c>
      <c r="AY56" s="373">
        <f t="shared" si="182"/>
        <v>539.9758142462224</v>
      </c>
      <c r="AZ56" s="373">
        <f t="shared" si="182"/>
        <v>555.58314386109964</v>
      </c>
      <c r="BA56" s="373">
        <f t="shared" si="182"/>
        <v>571.26259777326936</v>
      </c>
      <c r="BB56" s="373">
        <f t="shared" si="182"/>
        <v>577.4008037439678</v>
      </c>
      <c r="BC56" s="458">
        <f t="shared" si="161"/>
        <v>6265.448469890458</v>
      </c>
      <c r="BD56" s="373">
        <f t="shared" ref="BD56:BO56" si="183">BD36*BD40*BD42-BC48-BD63</f>
        <v>955.22958436696376</v>
      </c>
      <c r="BE56" s="373">
        <f t="shared" si="183"/>
        <v>585.27315584972212</v>
      </c>
      <c r="BF56" s="373">
        <f t="shared" si="183"/>
        <v>597.30393455171111</v>
      </c>
      <c r="BG56" s="373">
        <f t="shared" si="183"/>
        <v>609.69453627445637</v>
      </c>
      <c r="BH56" s="373">
        <f t="shared" si="183"/>
        <v>622.41194609757883</v>
      </c>
      <c r="BI56" s="373">
        <f t="shared" si="183"/>
        <v>635.42374011081017</v>
      </c>
      <c r="BJ56" s="373">
        <f t="shared" si="183"/>
        <v>648.69813409936296</v>
      </c>
      <c r="BK56" s="373">
        <f t="shared" si="183"/>
        <v>662.20402893431094</v>
      </c>
      <c r="BL56" s="373">
        <f t="shared" si="183"/>
        <v>675.91105263319309</v>
      </c>
      <c r="BM56" s="373">
        <f t="shared" si="183"/>
        <v>689.78959906943692</v>
      </c>
      <c r="BN56" s="373">
        <f t="shared" si="183"/>
        <v>703.81086332219297</v>
      </c>
      <c r="BO56" s="373">
        <f t="shared" si="183"/>
        <v>706.33902565093535</v>
      </c>
      <c r="BP56" s="458">
        <f t="shared" si="163"/>
        <v>8092.0896009606759</v>
      </c>
      <c r="CF56" s="442" t="s">
        <v>1003</v>
      </c>
      <c r="CG56" s="13" t="s">
        <v>965</v>
      </c>
    </row>
    <row r="57" spans="1:85" s="440" customFormat="1" ht="10.199999999999999" outlineLevel="1">
      <c r="A57" s="442" t="s">
        <v>145</v>
      </c>
      <c r="B57" s="12" t="s">
        <v>502</v>
      </c>
      <c r="D57" s="373">
        <f t="shared" ref="D57:O57" si="184">D36*D40*D43-C49-D64</f>
        <v>0</v>
      </c>
      <c r="E57" s="373">
        <f t="shared" si="184"/>
        <v>0</v>
      </c>
      <c r="F57" s="373">
        <f t="shared" si="184"/>
        <v>0</v>
      </c>
      <c r="G57" s="373">
        <f t="shared" si="184"/>
        <v>0</v>
      </c>
      <c r="H57" s="373">
        <f t="shared" si="184"/>
        <v>0</v>
      </c>
      <c r="I57" s="373">
        <f t="shared" si="184"/>
        <v>0</v>
      </c>
      <c r="J57" s="373">
        <f t="shared" si="184"/>
        <v>0</v>
      </c>
      <c r="K57" s="373">
        <f t="shared" si="184"/>
        <v>0</v>
      </c>
      <c r="L57" s="373">
        <f t="shared" si="184"/>
        <v>9.7000002440460005</v>
      </c>
      <c r="M57" s="373">
        <f t="shared" si="184"/>
        <v>10.84226840934237</v>
      </c>
      <c r="N57" s="373">
        <f t="shared" si="184"/>
        <v>11.985940842462904</v>
      </c>
      <c r="O57" s="373">
        <f t="shared" si="184"/>
        <v>12.577239314207903</v>
      </c>
      <c r="P57" s="458">
        <f t="shared" si="155"/>
        <v>45.105448810059173</v>
      </c>
      <c r="Q57" s="373">
        <f t="shared" ref="Q57:AB57" si="185">Q36*Q40*Q43-P49-Q64</f>
        <v>83.618428686684595</v>
      </c>
      <c r="R57" s="373">
        <f t="shared" si="185"/>
        <v>89.742247662432561</v>
      </c>
      <c r="S57" s="373">
        <f t="shared" si="185"/>
        <v>99.694234318628617</v>
      </c>
      <c r="T57" s="373">
        <f t="shared" si="185"/>
        <v>109.77902023025455</v>
      </c>
      <c r="U57" s="373">
        <f t="shared" si="185"/>
        <v>119.98133642367117</v>
      </c>
      <c r="V57" s="373">
        <f t="shared" si="185"/>
        <v>130.28596471319008</v>
      </c>
      <c r="W57" s="373">
        <f t="shared" si="185"/>
        <v>140.67776951126663</v>
      </c>
      <c r="X57" s="373">
        <f t="shared" si="185"/>
        <v>151.14172893949964</v>
      </c>
      <c r="Y57" s="373">
        <f t="shared" si="185"/>
        <v>161.66296515142102</v>
      </c>
      <c r="Z57" s="373">
        <f t="shared" si="185"/>
        <v>172.22677378228968</v>
      </c>
      <c r="AA57" s="373">
        <f t="shared" si="185"/>
        <v>182.81865244561058</v>
      </c>
      <c r="AB57" s="373">
        <f t="shared" si="185"/>
        <v>188.4944524965608</v>
      </c>
      <c r="AC57" s="458">
        <f t="shared" si="157"/>
        <v>1630.12357436151</v>
      </c>
      <c r="AD57" s="373">
        <f t="shared" ref="AD57:AO57" si="186">AD36*AD40*AD43-AC49-AD64</f>
        <v>315.72150600722546</v>
      </c>
      <c r="AE57" s="373">
        <f t="shared" si="186"/>
        <v>223.6351145136571</v>
      </c>
      <c r="AF57" s="373">
        <f t="shared" si="186"/>
        <v>237.09787910541834</v>
      </c>
      <c r="AG57" s="373">
        <f t="shared" si="186"/>
        <v>250.69373619617556</v>
      </c>
      <c r="AH57" s="373">
        <f t="shared" si="186"/>
        <v>264.40112190925635</v>
      </c>
      <c r="AI57" s="373">
        <f t="shared" si="186"/>
        <v>278.19876996738867</v>
      </c>
      <c r="AJ57" s="373">
        <f t="shared" si="186"/>
        <v>292.06575094758028</v>
      </c>
      <c r="AK57" s="373">
        <f t="shared" si="186"/>
        <v>305.98150979345621</v>
      </c>
      <c r="AL57" s="373">
        <f t="shared" si="186"/>
        <v>319.92590150162505</v>
      </c>
      <c r="AM57" s="373">
        <f t="shared" si="186"/>
        <v>333.87922490717733</v>
      </c>
      <c r="AN57" s="373">
        <f t="shared" si="186"/>
        <v>347.82225450207983</v>
      </c>
      <c r="AO57" s="373">
        <f t="shared" si="186"/>
        <v>353.71204359097385</v>
      </c>
      <c r="AP57" s="458">
        <f t="shared" si="159"/>
        <v>3523.1348129420139</v>
      </c>
      <c r="AQ57" s="373">
        <f t="shared" ref="AQ57:BB57" si="187">AQ36*AQ40*AQ43-AP49-AQ64</f>
        <v>589.96775412124384</v>
      </c>
      <c r="AR57" s="373">
        <f t="shared" si="187"/>
        <v>348.14126591981477</v>
      </c>
      <c r="AS57" s="373">
        <f t="shared" si="187"/>
        <v>360.05916151899038</v>
      </c>
      <c r="AT57" s="373">
        <f t="shared" si="187"/>
        <v>372.1121441525305</v>
      </c>
      <c r="AU57" s="373">
        <f t="shared" si="187"/>
        <v>384.27837125753013</v>
      </c>
      <c r="AV57" s="373">
        <f t="shared" si="187"/>
        <v>396.53644240697759</v>
      </c>
      <c r="AW57" s="373">
        <f t="shared" si="187"/>
        <v>408.86543307392418</v>
      </c>
      <c r="AX57" s="373">
        <f t="shared" si="187"/>
        <v>421.2449261767801</v>
      </c>
      <c r="AY57" s="373">
        <f t="shared" si="187"/>
        <v>433.65504136520758</v>
      </c>
      <c r="AZ57" s="373">
        <f t="shared" si="187"/>
        <v>446.0764620155802</v>
      </c>
      <c r="BA57" s="373">
        <f t="shared" si="187"/>
        <v>458.4904599144437</v>
      </c>
      <c r="BB57" s="373">
        <f t="shared" si="187"/>
        <v>461.29049793131009</v>
      </c>
      <c r="BC57" s="458">
        <f t="shared" si="161"/>
        <v>5080.7179598543325</v>
      </c>
      <c r="BD57" s="373">
        <f t="shared" ref="BD57:BO57" si="188">BD36*BD40*BD43-BC49-BD64</f>
        <v>835.9815124294912</v>
      </c>
      <c r="BE57" s="373">
        <f t="shared" si="188"/>
        <v>452.74071456177523</v>
      </c>
      <c r="BF57" s="373">
        <f t="shared" si="188"/>
        <v>463.23973241104466</v>
      </c>
      <c r="BG57" s="373">
        <f t="shared" si="188"/>
        <v>473.93458063409344</v>
      </c>
      <c r="BH57" s="373">
        <f t="shared" si="188"/>
        <v>484.80047063185464</v>
      </c>
      <c r="BI57" s="373">
        <f t="shared" si="188"/>
        <v>495.81320786078925</v>
      </c>
      <c r="BJ57" s="373">
        <f t="shared" si="188"/>
        <v>506.949223762933</v>
      </c>
      <c r="BK57" s="373">
        <f t="shared" si="188"/>
        <v>518.18560491027893</v>
      </c>
      <c r="BL57" s="373">
        <f t="shared" si="188"/>
        <v>529.50011936365672</v>
      </c>
      <c r="BM57" s="373">
        <f t="shared" si="188"/>
        <v>540.87124025670482</v>
      </c>
      <c r="BN57" s="373">
        <f t="shared" si="188"/>
        <v>552.27816662561258</v>
      </c>
      <c r="BO57" s="373">
        <f t="shared" si="188"/>
        <v>552.09299349502589</v>
      </c>
      <c r="BP57" s="458">
        <f t="shared" si="163"/>
        <v>6406.38756694326</v>
      </c>
      <c r="CF57" s="442" t="s">
        <v>1004</v>
      </c>
      <c r="CG57" s="13" t="s">
        <v>965</v>
      </c>
    </row>
    <row r="58" spans="1:85" s="440" customFormat="1" ht="10.199999999999999" outlineLevel="1">
      <c r="A58" s="442" t="s">
        <v>620</v>
      </c>
      <c r="B58" s="12" t="s">
        <v>502</v>
      </c>
      <c r="D58" s="373">
        <f t="shared" ref="D58:O58" si="189">D36*D40*D44-C50-D65</f>
        <v>0</v>
      </c>
      <c r="E58" s="373">
        <f t="shared" si="189"/>
        <v>0</v>
      </c>
      <c r="F58" s="373">
        <f t="shared" si="189"/>
        <v>0</v>
      </c>
      <c r="G58" s="373">
        <f t="shared" si="189"/>
        <v>0</v>
      </c>
      <c r="H58" s="373">
        <f t="shared" si="189"/>
        <v>0</v>
      </c>
      <c r="I58" s="373">
        <f t="shared" si="189"/>
        <v>0</v>
      </c>
      <c r="J58" s="373">
        <f t="shared" si="189"/>
        <v>0</v>
      </c>
      <c r="K58" s="373">
        <f t="shared" si="189"/>
        <v>0</v>
      </c>
      <c r="L58" s="373">
        <f t="shared" si="189"/>
        <v>24.250000610114999</v>
      </c>
      <c r="M58" s="373">
        <f t="shared" si="189"/>
        <v>26.095254331267796</v>
      </c>
      <c r="N58" s="373">
        <f t="shared" si="189"/>
        <v>27.90923384576999</v>
      </c>
      <c r="O58" s="373">
        <f t="shared" si="189"/>
        <v>28.310246042408195</v>
      </c>
      <c r="P58" s="458">
        <f t="shared" si="155"/>
        <v>106.56473482956098</v>
      </c>
      <c r="Q58" s="373">
        <f t="shared" ref="Q58:AB58" si="190">Q36*Q40*Q44-P50-Q65</f>
        <v>204.86416139862922</v>
      </c>
      <c r="R58" s="373">
        <f t="shared" si="190"/>
        <v>211.81194837630974</v>
      </c>
      <c r="S58" s="373">
        <f t="shared" si="190"/>
        <v>228.38907011694405</v>
      </c>
      <c r="T58" s="373">
        <f t="shared" si="190"/>
        <v>244.95342846112075</v>
      </c>
      <c r="U58" s="373">
        <f t="shared" si="190"/>
        <v>261.48174784688706</v>
      </c>
      <c r="V58" s="373">
        <f t="shared" si="190"/>
        <v>277.95122879424275</v>
      </c>
      <c r="W58" s="373">
        <f t="shared" si="190"/>
        <v>294.33959304753802</v>
      </c>
      <c r="X58" s="373">
        <f t="shared" si="190"/>
        <v>310.62512652158244</v>
      </c>
      <c r="Y58" s="373">
        <f t="shared" si="190"/>
        <v>326.78671993911871</v>
      </c>
      <c r="Z58" s="373">
        <f t="shared" si="190"/>
        <v>342.80390705797004</v>
      </c>
      <c r="AA58" s="373">
        <f t="shared" si="190"/>
        <v>358.65690039709642</v>
      </c>
      <c r="AB58" s="373">
        <f t="shared" si="190"/>
        <v>362.00193512113208</v>
      </c>
      <c r="AC58" s="458">
        <f t="shared" si="157"/>
        <v>3424.6657670785708</v>
      </c>
      <c r="AD58" s="373">
        <f t="shared" ref="AD58:AO58" si="191">AD36*AD40*AD44-AC50-AD65</f>
        <v>669.53757977275768</v>
      </c>
      <c r="AE58" s="373">
        <f t="shared" si="191"/>
        <v>416.41445960019303</v>
      </c>
      <c r="AF58" s="373">
        <f t="shared" si="191"/>
        <v>438.66549054141933</v>
      </c>
      <c r="AG58" s="373">
        <f t="shared" si="191"/>
        <v>460.7973714633419</v>
      </c>
      <c r="AH58" s="373">
        <f t="shared" si="191"/>
        <v>482.77998564453321</v>
      </c>
      <c r="AI58" s="373">
        <f t="shared" si="191"/>
        <v>504.58422385170081</v>
      </c>
      <c r="AJ58" s="373">
        <f t="shared" si="191"/>
        <v>526.18202951947467</v>
      </c>
      <c r="AK58" s="373">
        <f t="shared" si="191"/>
        <v>547.54643989791407</v>
      </c>
      <c r="AL58" s="373">
        <f t="shared" si="191"/>
        <v>568.65162311366123</v>
      </c>
      <c r="AM58" s="373">
        <f t="shared" si="191"/>
        <v>589.47291110782407</v>
      </c>
      <c r="AN58" s="373">
        <f t="shared" si="191"/>
        <v>609.98682843059032</v>
      </c>
      <c r="AO58" s="373">
        <f t="shared" si="191"/>
        <v>610.1105502942446</v>
      </c>
      <c r="AP58" s="458">
        <f t="shared" si="159"/>
        <v>6424.7294932376553</v>
      </c>
      <c r="AQ58" s="373">
        <f t="shared" ref="AQ58:BB58" si="192">AQ36*AQ40*AQ44-AP50-AQ65</f>
        <v>1186.7522853027917</v>
      </c>
      <c r="AR58" s="373">
        <f t="shared" si="192"/>
        <v>544.74501541161635</v>
      </c>
      <c r="AS58" s="373">
        <f t="shared" si="192"/>
        <v>565.40905165856952</v>
      </c>
      <c r="AT58" s="373">
        <f t="shared" si="192"/>
        <v>585.93024992909841</v>
      </c>
      <c r="AU58" s="373">
        <f t="shared" si="192"/>
        <v>606.27997854672913</v>
      </c>
      <c r="AV58" s="373">
        <f t="shared" si="192"/>
        <v>626.43082188077904</v>
      </c>
      <c r="AW58" s="373">
        <f t="shared" si="192"/>
        <v>646.35660947547399</v>
      </c>
      <c r="AX58" s="373">
        <f t="shared" si="192"/>
        <v>666.03244072152563</v>
      </c>
      <c r="AY58" s="373">
        <f t="shared" si="192"/>
        <v>685.43470510921452</v>
      </c>
      <c r="AZ58" s="373">
        <f t="shared" si="192"/>
        <v>704.54109811825231</v>
      </c>
      <c r="BA58" s="373">
        <f t="shared" si="192"/>
        <v>723.33063281551551</v>
      </c>
      <c r="BB58" s="373">
        <f t="shared" si="192"/>
        <v>717.81259803080923</v>
      </c>
      <c r="BC58" s="458">
        <f t="shared" si="161"/>
        <v>8259.0554870003762</v>
      </c>
      <c r="BD58" s="373">
        <f t="shared" ref="BD58:BO58" si="193">BD36*BD40*BD44-BC50-BD65</f>
        <v>1642.7735113082038</v>
      </c>
      <c r="BE58" s="373">
        <f t="shared" si="193"/>
        <v>634.85513157463811</v>
      </c>
      <c r="BF58" s="373">
        <f t="shared" si="193"/>
        <v>655.3585730001098</v>
      </c>
      <c r="BG58" s="373">
        <f t="shared" si="193"/>
        <v>675.73661793387214</v>
      </c>
      <c r="BH58" s="373">
        <f t="shared" si="193"/>
        <v>695.95814358316966</v>
      </c>
      <c r="BI58" s="373">
        <f t="shared" si="193"/>
        <v>715.99352371439568</v>
      </c>
      <c r="BJ58" s="373">
        <f t="shared" si="193"/>
        <v>735.81464564572059</v>
      </c>
      <c r="BK58" s="373">
        <f t="shared" si="193"/>
        <v>755.39492218557962</v>
      </c>
      <c r="BL58" s="373">
        <f t="shared" si="193"/>
        <v>774.70929864838115</v>
      </c>
      <c r="BM58" s="373">
        <f t="shared" si="193"/>
        <v>793.73425509401613</v>
      </c>
      <c r="BN58" s="373">
        <f t="shared" si="193"/>
        <v>812.44780395186035</v>
      </c>
      <c r="BO58" s="373">
        <f t="shared" si="193"/>
        <v>801.80986315290409</v>
      </c>
      <c r="BP58" s="458">
        <f t="shared" si="163"/>
        <v>9694.5862897928509</v>
      </c>
      <c r="CF58" s="442" t="s">
        <v>1005</v>
      </c>
      <c r="CG58" s="13" t="s">
        <v>965</v>
      </c>
    </row>
    <row r="59" spans="1:85" s="60" customFormat="1" ht="15.6">
      <c r="A59" s="60" t="s">
        <v>147</v>
      </c>
      <c r="B59" s="12" t="s">
        <v>502</v>
      </c>
      <c r="C59" s="374"/>
      <c r="D59" s="60">
        <f t="shared" ref="D59:O59" si="194">D60+D61</f>
        <v>0</v>
      </c>
      <c r="E59" s="60">
        <f t="shared" si="194"/>
        <v>0</v>
      </c>
      <c r="F59" s="60">
        <f t="shared" si="194"/>
        <v>0</v>
      </c>
      <c r="G59" s="60">
        <f t="shared" si="194"/>
        <v>0</v>
      </c>
      <c r="H59" s="60">
        <f t="shared" si="194"/>
        <v>0</v>
      </c>
      <c r="I59" s="60">
        <f t="shared" si="194"/>
        <v>0</v>
      </c>
      <c r="J59" s="60">
        <f t="shared" si="194"/>
        <v>0</v>
      </c>
      <c r="K59" s="60">
        <f t="shared" si="194"/>
        <v>0</v>
      </c>
      <c r="L59" s="60">
        <f t="shared" si="194"/>
        <v>0</v>
      </c>
      <c r="M59" s="60">
        <f t="shared" si="194"/>
        <v>-4.1942305860047249</v>
      </c>
      <c r="N59" s="60">
        <f t="shared" si="194"/>
        <v>-8.6136634256470543</v>
      </c>
      <c r="O59" s="60">
        <f t="shared" si="194"/>
        <v>-13.253018853030827</v>
      </c>
      <c r="P59" s="372">
        <f t="shared" si="155"/>
        <v>-26.060912864682606</v>
      </c>
      <c r="Q59" s="60">
        <f t="shared" ref="Q59:AB59" si="195">Q60+Q61</f>
        <v>-17.861403625231304</v>
      </c>
      <c r="R59" s="60">
        <f t="shared" si="195"/>
        <v>-53.730703139959545</v>
      </c>
      <c r="S59" s="60">
        <f t="shared" si="195"/>
        <v>-89.555389109210779</v>
      </c>
      <c r="T59" s="60">
        <f t="shared" si="195"/>
        <v>-127.07422718985664</v>
      </c>
      <c r="U59" s="60">
        <f t="shared" si="195"/>
        <v>-166.23762741904204</v>
      </c>
      <c r="V59" s="60">
        <f t="shared" si="195"/>
        <v>-206.99389902929147</v>
      </c>
      <c r="W59" s="60">
        <f t="shared" si="195"/>
        <v>-249.28936936546455</v>
      </c>
      <c r="X59" s="60">
        <f t="shared" si="195"/>
        <v>-293.06850687853137</v>
      </c>
      <c r="Y59" s="60">
        <f t="shared" si="195"/>
        <v>-338.27404779701573</v>
      </c>
      <c r="Z59" s="60">
        <f t="shared" si="195"/>
        <v>-384.84712606702897</v>
      </c>
      <c r="AA59" s="60">
        <f t="shared" si="195"/>
        <v>-432.72740614360151</v>
      </c>
      <c r="AB59" s="60">
        <f t="shared" si="195"/>
        <v>-481.85321820954113</v>
      </c>
      <c r="AC59" s="372">
        <f t="shared" si="157"/>
        <v>-2841.5129239737753</v>
      </c>
      <c r="AD59" s="60">
        <f t="shared" ref="AD59:AO59" si="196">AD60+AD61</f>
        <v>-529.88965545543874</v>
      </c>
      <c r="AE59" s="60">
        <f t="shared" si="196"/>
        <v>-633.12967628828721</v>
      </c>
      <c r="AF59" s="60">
        <f t="shared" si="196"/>
        <v>-685.79794191021449</v>
      </c>
      <c r="AG59" s="60">
        <f t="shared" si="196"/>
        <v>-740.8003469435796</v>
      </c>
      <c r="AH59" s="60">
        <f t="shared" si="196"/>
        <v>-798.05138946859472</v>
      </c>
      <c r="AI59" s="60">
        <f t="shared" si="196"/>
        <v>-857.46333892928192</v>
      </c>
      <c r="AJ59" s="60">
        <f t="shared" si="196"/>
        <v>-918.94644145802681</v>
      </c>
      <c r="AK59" s="60">
        <f t="shared" si="196"/>
        <v>-982.40912751001463</v>
      </c>
      <c r="AL59" s="60">
        <f t="shared" si="196"/>
        <v>-1047.7582211536283</v>
      </c>
      <c r="AM59" s="60">
        <f t="shared" si="196"/>
        <v>-1114.8991503658503</v>
      </c>
      <c r="AN59" s="60">
        <f t="shared" si="196"/>
        <v>-1183.7361576872422</v>
      </c>
      <c r="AO59" s="60">
        <f t="shared" si="196"/>
        <v>-1254.1725105990811</v>
      </c>
      <c r="AP59" s="372">
        <f t="shared" si="159"/>
        <v>-10747.05395776924</v>
      </c>
      <c r="AQ59" s="60">
        <f t="shared" ref="AQ59:BB59" si="197">AQ60+AQ61</f>
        <v>-1322.2753217157426</v>
      </c>
      <c r="AR59" s="60">
        <f t="shared" si="197"/>
        <v>-1498.7046541678042</v>
      </c>
      <c r="AS59" s="60">
        <f t="shared" si="197"/>
        <v>-1545.5180104064596</v>
      </c>
      <c r="AT59" s="60">
        <f t="shared" si="197"/>
        <v>-1594.8477127575402</v>
      </c>
      <c r="AU59" s="60">
        <f t="shared" si="197"/>
        <v>-1646.5965748269296</v>
      </c>
      <c r="AV59" s="60">
        <f t="shared" si="197"/>
        <v>-1700.6656654082462</v>
      </c>
      <c r="AW59" s="60">
        <f t="shared" si="197"/>
        <v>-1756.9545402041331</v>
      </c>
      <c r="AX59" s="60">
        <f t="shared" si="197"/>
        <v>-1815.3614728377622</v>
      </c>
      <c r="AY59" s="60">
        <f t="shared" si="197"/>
        <v>-1875.7836844751673</v>
      </c>
      <c r="AZ59" s="60">
        <f t="shared" si="197"/>
        <v>-1938.1175713970929</v>
      </c>
      <c r="BA59" s="60">
        <f t="shared" si="197"/>
        <v>-2002.2589298793453</v>
      </c>
      <c r="BB59" s="60">
        <f t="shared" si="197"/>
        <v>-2068.103177763146</v>
      </c>
      <c r="BC59" s="372">
        <f t="shared" si="161"/>
        <v>-20765.187315839372</v>
      </c>
      <c r="BD59" s="60">
        <f t="shared" ref="BD59:BO59" si="198">BD60+BD61</f>
        <v>-2130.7863817123589</v>
      </c>
      <c r="BE59" s="60">
        <f t="shared" si="198"/>
        <v>-2375.7568473042629</v>
      </c>
      <c r="BF59" s="60">
        <f t="shared" si="198"/>
        <v>-2410.948991726591</v>
      </c>
      <c r="BG59" s="60">
        <f t="shared" si="198"/>
        <v>-2449.3252931396137</v>
      </c>
      <c r="BH59" s="60">
        <f t="shared" si="198"/>
        <v>-2490.7677059296079</v>
      </c>
      <c r="BI59" s="60">
        <f t="shared" si="198"/>
        <v>-2535.156581937566</v>
      </c>
      <c r="BJ59" s="60">
        <f t="shared" si="198"/>
        <v>-2582.3709504781127</v>
      </c>
      <c r="BK59" s="60">
        <f t="shared" si="198"/>
        <v>-2632.2887945553171</v>
      </c>
      <c r="BL59" s="60">
        <f t="shared" si="198"/>
        <v>-2684.7873225432127</v>
      </c>
      <c r="BM59" s="60">
        <f t="shared" si="198"/>
        <v>-2739.743234633288</v>
      </c>
      <c r="BN59" s="60">
        <f t="shared" si="198"/>
        <v>-2797.0329833875976</v>
      </c>
      <c r="BO59" s="60">
        <f t="shared" si="198"/>
        <v>-2856.5330277742387</v>
      </c>
      <c r="BP59" s="372">
        <f t="shared" si="163"/>
        <v>-30685.498115121769</v>
      </c>
      <c r="CF59" s="60" t="s">
        <v>1063</v>
      </c>
      <c r="CG59" s="13" t="s">
        <v>965</v>
      </c>
    </row>
    <row r="60" spans="1:85" s="3" customFormat="1" outlineLevel="1">
      <c r="A60" s="398" t="s">
        <v>710</v>
      </c>
      <c r="B60" s="12" t="s">
        <v>502</v>
      </c>
      <c r="C60" s="5"/>
      <c r="D60" s="3">
        <f t="shared" ref="D60:O60" si="199">C45*D67</f>
        <v>0</v>
      </c>
      <c r="E60" s="3">
        <f t="shared" si="199"/>
        <v>0</v>
      </c>
      <c r="F60" s="3">
        <f t="shared" si="199"/>
        <v>0</v>
      </c>
      <c r="G60" s="3">
        <f t="shared" si="199"/>
        <v>0</v>
      </c>
      <c r="H60" s="3">
        <f t="shared" si="199"/>
        <v>0</v>
      </c>
      <c r="I60" s="3">
        <f t="shared" si="199"/>
        <v>0</v>
      </c>
      <c r="J60" s="3">
        <f t="shared" si="199"/>
        <v>0</v>
      </c>
      <c r="K60" s="3">
        <f t="shared" si="199"/>
        <v>0</v>
      </c>
      <c r="L60" s="3">
        <f t="shared" si="199"/>
        <v>0</v>
      </c>
      <c r="M60" s="3">
        <f t="shared" si="199"/>
        <v>-0.32770271094749992</v>
      </c>
      <c r="N60" s="3">
        <f t="shared" si="199"/>
        <v>-0.74749754923173728</v>
      </c>
      <c r="O60" s="3">
        <f t="shared" si="199"/>
        <v>-1.2646376027239314</v>
      </c>
      <c r="P60" s="397">
        <f t="shared" si="155"/>
        <v>-2.3398378629031686</v>
      </c>
      <c r="Q60" s="3">
        <f t="shared" ref="Q60:AB60" si="200">P45*Q67</f>
        <v>-1.858626808036556</v>
      </c>
      <c r="R60" s="3">
        <f t="shared" si="200"/>
        <v>-5.7302562893664621</v>
      </c>
      <c r="S60" s="3">
        <f t="shared" si="200"/>
        <v>-9.7827224418363503</v>
      </c>
      <c r="T60" s="3">
        <f t="shared" si="200"/>
        <v>-14.210053231643396</v>
      </c>
      <c r="U60" s="3">
        <f t="shared" si="200"/>
        <v>-19.019664060008967</v>
      </c>
      <c r="V60" s="3">
        <f t="shared" si="200"/>
        <v>-24.21820545907557</v>
      </c>
      <c r="W60" s="3">
        <f t="shared" si="200"/>
        <v>-29.811550436258958</v>
      </c>
      <c r="X60" s="3">
        <f t="shared" si="200"/>
        <v>-35.804784179907386</v>
      </c>
      <c r="Y60" s="3">
        <f t="shared" si="200"/>
        <v>-42.202196148782107</v>
      </c>
      <c r="Z60" s="3">
        <f t="shared" si="200"/>
        <v>-49.007274558290028</v>
      </c>
      <c r="AA60" s="3">
        <f t="shared" si="200"/>
        <v>-56.222703266816993</v>
      </c>
      <c r="AB60" s="3">
        <f t="shared" si="200"/>
        <v>-63.85036105597446</v>
      </c>
      <c r="AC60" s="397">
        <f t="shared" si="157"/>
        <v>-351.71839793599725</v>
      </c>
      <c r="AD60" s="3">
        <f t="shared" ref="AD60:AO60" si="201">AC45*AD67</f>
        <v>-71.584386583401255</v>
      </c>
      <c r="AE60" s="3">
        <f t="shared" si="201"/>
        <v>-87.166412844372758</v>
      </c>
      <c r="AF60" s="3">
        <f t="shared" si="201"/>
        <v>-96.188175606876712</v>
      </c>
      <c r="AG60" s="3">
        <f t="shared" si="201"/>
        <v>-105.81487879988801</v>
      </c>
      <c r="AH60" s="3">
        <f t="shared" si="201"/>
        <v>-116.05206826979079</v>
      </c>
      <c r="AI60" s="3">
        <f t="shared" si="201"/>
        <v>-126.9040695137719</v>
      </c>
      <c r="AJ60" s="3">
        <f t="shared" si="201"/>
        <v>-138.3739903540307</v>
      </c>
      <c r="AK60" s="3">
        <f t="shared" si="201"/>
        <v>-150.46372716196888</v>
      </c>
      <c r="AL60" s="3">
        <f t="shared" si="201"/>
        <v>-163.17397456969465</v>
      </c>
      <c r="AM60" s="3">
        <f t="shared" si="201"/>
        <v>-176.50423859312471</v>
      </c>
      <c r="AN60" s="3">
        <f t="shared" si="201"/>
        <v>-190.45285307841033</v>
      </c>
      <c r="AO60" s="3">
        <f t="shared" si="201"/>
        <v>-205.01699937140634</v>
      </c>
      <c r="AP60" s="397">
        <f t="shared" si="159"/>
        <v>-1627.695774746737</v>
      </c>
      <c r="AQ60" s="3">
        <f t="shared" ref="AQ60:BB60" si="202">AP45*AQ67</f>
        <v>-219.55588571452762</v>
      </c>
      <c r="AR60" s="3">
        <f t="shared" si="202"/>
        <v>-252.71080251002789</v>
      </c>
      <c r="AS60" s="3">
        <f t="shared" si="202"/>
        <v>-264.58400288823856</v>
      </c>
      <c r="AT60" s="3">
        <f t="shared" si="202"/>
        <v>-277.13462342701757</v>
      </c>
      <c r="AU60" s="3">
        <f t="shared" si="202"/>
        <v>-290.36487436870578</v>
      </c>
      <c r="AV60" s="3">
        <f t="shared" si="202"/>
        <v>-304.27564477860869</v>
      </c>
      <c r="AW60" s="3">
        <f t="shared" si="202"/>
        <v>-318.8665227230731</v>
      </c>
      <c r="AX60" s="3">
        <f t="shared" si="202"/>
        <v>-334.13581890760116</v>
      </c>
      <c r="AY60" s="3">
        <f t="shared" si="202"/>
        <v>-350.08059363260878</v>
      </c>
      <c r="AZ60" s="3">
        <f t="shared" si="202"/>
        <v>-366.69668691389415</v>
      </c>
      <c r="BA60" s="3">
        <f t="shared" si="202"/>
        <v>-383.97875160520272</v>
      </c>
      <c r="BB60" s="3">
        <f t="shared" si="202"/>
        <v>-401.92028935150756</v>
      </c>
      <c r="BC60" s="397">
        <f t="shared" si="161"/>
        <v>-3764.3044968210138</v>
      </c>
      <c r="BD60" s="3">
        <f t="shared" ref="BD60:BO60" si="203">BC45*BD67</f>
        <v>-419.57654940962607</v>
      </c>
      <c r="BE60" s="3">
        <f t="shared" si="203"/>
        <v>-473.91631482222488</v>
      </c>
      <c r="BF60" s="3">
        <f t="shared" si="203"/>
        <v>-487.12769100801472</v>
      </c>
      <c r="BG60" s="3">
        <f t="shared" si="203"/>
        <v>-501.16992970040525</v>
      </c>
      <c r="BH60" s="3">
        <f t="shared" si="203"/>
        <v>-516.04303299646563</v>
      </c>
      <c r="BI60" s="3">
        <f t="shared" si="203"/>
        <v>-531.74544414976606</v>
      </c>
      <c r="BJ60" s="3">
        <f t="shared" si="203"/>
        <v>-548.27408715034244</v>
      </c>
      <c r="BK60" s="3">
        <f t="shared" si="203"/>
        <v>-565.62440981046939</v>
      </c>
      <c r="BL60" s="3">
        <f t="shared" si="203"/>
        <v>-583.79043012536624</v>
      </c>
      <c r="BM60" s="3">
        <f t="shared" si="203"/>
        <v>-602.76478567058234</v>
      </c>
      <c r="BN60" s="3">
        <f t="shared" si="203"/>
        <v>-622.53878579168031</v>
      </c>
      <c r="BO60" s="3">
        <f t="shared" si="203"/>
        <v>-643.10246633693851</v>
      </c>
      <c r="BP60" s="397">
        <f t="shared" si="163"/>
        <v>-6495.6739269718819</v>
      </c>
      <c r="CF60" s="398" t="s">
        <v>1066</v>
      </c>
      <c r="CG60" s="13" t="s">
        <v>965</v>
      </c>
    </row>
    <row r="61" spans="1:85" s="3" customFormat="1" outlineLevel="1">
      <c r="A61" s="398" t="s">
        <v>709</v>
      </c>
      <c r="B61" s="12" t="s">
        <v>502</v>
      </c>
      <c r="C61" s="5"/>
      <c r="D61" s="3">
        <f t="shared" ref="D61:O61" si="204">SUM(D62:D65)</f>
        <v>0</v>
      </c>
      <c r="E61" s="3">
        <f t="shared" si="204"/>
        <v>0</v>
      </c>
      <c r="F61" s="3">
        <f t="shared" si="204"/>
        <v>0</v>
      </c>
      <c r="G61" s="3">
        <f t="shared" si="204"/>
        <v>0</v>
      </c>
      <c r="H61" s="3">
        <f t="shared" si="204"/>
        <v>0</v>
      </c>
      <c r="I61" s="3">
        <f t="shared" si="204"/>
        <v>0</v>
      </c>
      <c r="J61" s="3">
        <f t="shared" si="204"/>
        <v>0</v>
      </c>
      <c r="K61" s="3">
        <f t="shared" si="204"/>
        <v>0</v>
      </c>
      <c r="L61" s="3">
        <f t="shared" si="204"/>
        <v>0</v>
      </c>
      <c r="M61" s="3">
        <f t="shared" si="204"/>
        <v>-3.8665278750572254</v>
      </c>
      <c r="N61" s="3">
        <f t="shared" si="204"/>
        <v>-7.8661658764153177</v>
      </c>
      <c r="O61" s="3">
        <f t="shared" si="204"/>
        <v>-11.988381250306896</v>
      </c>
      <c r="P61" s="397">
        <f t="shared" si="155"/>
        <v>-23.72107500177944</v>
      </c>
      <c r="Q61" s="3">
        <f t="shared" ref="Q61:AB61" si="205">SUM(Q62:Q65)</f>
        <v>-16.00277681719475</v>
      </c>
      <c r="R61" s="3">
        <f t="shared" si="205"/>
        <v>-48.000446850593079</v>
      </c>
      <c r="S61" s="3">
        <f t="shared" si="205"/>
        <v>-79.772666667374423</v>
      </c>
      <c r="T61" s="3">
        <f t="shared" si="205"/>
        <v>-112.86417395821324</v>
      </c>
      <c r="U61" s="3">
        <f t="shared" si="205"/>
        <v>-147.21796335903306</v>
      </c>
      <c r="V61" s="3">
        <f t="shared" si="205"/>
        <v>-182.77569357021591</v>
      </c>
      <c r="W61" s="3">
        <f t="shared" si="205"/>
        <v>-219.4778189292056</v>
      </c>
      <c r="X61" s="3">
        <f t="shared" si="205"/>
        <v>-257.26372269862395</v>
      </c>
      <c r="Y61" s="3">
        <f t="shared" si="205"/>
        <v>-296.07185164823363</v>
      </c>
      <c r="Z61" s="3">
        <f t="shared" si="205"/>
        <v>-335.83985150873895</v>
      </c>
      <c r="AA61" s="3">
        <f t="shared" si="205"/>
        <v>-376.50470287678451</v>
      </c>
      <c r="AB61" s="3">
        <f t="shared" si="205"/>
        <v>-418.00285715356665</v>
      </c>
      <c r="AC61" s="397">
        <f t="shared" si="157"/>
        <v>-2489.7945260377778</v>
      </c>
      <c r="AD61" s="3">
        <f t="shared" ref="AD61:AO61" si="206">SUM(AD62:AD65)</f>
        <v>-458.30526887203746</v>
      </c>
      <c r="AE61" s="3">
        <f t="shared" si="206"/>
        <v>-545.96326344391446</v>
      </c>
      <c r="AF61" s="3">
        <f t="shared" si="206"/>
        <v>-589.60976630333778</v>
      </c>
      <c r="AG61" s="3">
        <f t="shared" si="206"/>
        <v>-634.98546814369161</v>
      </c>
      <c r="AH61" s="3">
        <f t="shared" si="206"/>
        <v>-681.99932119880395</v>
      </c>
      <c r="AI61" s="3">
        <f t="shared" si="206"/>
        <v>-730.55926941551002</v>
      </c>
      <c r="AJ61" s="3">
        <f t="shared" si="206"/>
        <v>-780.57245110399606</v>
      </c>
      <c r="AK61" s="3">
        <f t="shared" si="206"/>
        <v>-831.94540034804572</v>
      </c>
      <c r="AL61" s="3">
        <f t="shared" si="206"/>
        <v>-884.58424658393358</v>
      </c>
      <c r="AM61" s="3">
        <f t="shared" si="206"/>
        <v>-938.39491177272566</v>
      </c>
      <c r="AN61" s="3">
        <f t="shared" si="206"/>
        <v>-993.28330460883194</v>
      </c>
      <c r="AO61" s="3">
        <f t="shared" si="206"/>
        <v>-1049.1555112276747</v>
      </c>
      <c r="AP61" s="397">
        <f t="shared" si="159"/>
        <v>-9119.3581830225012</v>
      </c>
      <c r="AQ61" s="3">
        <f t="shared" ref="AQ61:BB61" si="207">SUM(AQ62:AQ65)</f>
        <v>-1102.7194360012149</v>
      </c>
      <c r="AR61" s="3">
        <f t="shared" si="207"/>
        <v>-1245.9938516577763</v>
      </c>
      <c r="AS61" s="3">
        <f t="shared" si="207"/>
        <v>-1280.9340075182211</v>
      </c>
      <c r="AT61" s="3">
        <f t="shared" si="207"/>
        <v>-1317.7130893305225</v>
      </c>
      <c r="AU61" s="3">
        <f t="shared" si="207"/>
        <v>-1356.2317004582237</v>
      </c>
      <c r="AV61" s="3">
        <f t="shared" si="207"/>
        <v>-1396.3900206296375</v>
      </c>
      <c r="AW61" s="3">
        <f t="shared" si="207"/>
        <v>-1438.08801748106</v>
      </c>
      <c r="AX61" s="3">
        <f t="shared" si="207"/>
        <v>-1481.2256539301611</v>
      </c>
      <c r="AY61" s="3">
        <f t="shared" si="207"/>
        <v>-1525.7030908425586</v>
      </c>
      <c r="AZ61" s="3">
        <f t="shared" si="207"/>
        <v>-1571.4208844831987</v>
      </c>
      <c r="BA61" s="3">
        <f t="shared" si="207"/>
        <v>-1618.2801782741426</v>
      </c>
      <c r="BB61" s="3">
        <f t="shared" si="207"/>
        <v>-1666.1828884116385</v>
      </c>
      <c r="BC61" s="397">
        <f t="shared" si="161"/>
        <v>-17000.882819018356</v>
      </c>
      <c r="BD61" s="3">
        <f t="shared" ref="BD61:BO61" si="208">SUM(BD62:BD65)</f>
        <v>-1711.2098323027326</v>
      </c>
      <c r="BE61" s="3">
        <f t="shared" si="208"/>
        <v>-1901.8405324820378</v>
      </c>
      <c r="BF61" s="3">
        <f t="shared" si="208"/>
        <v>-1923.8213007185761</v>
      </c>
      <c r="BG61" s="3">
        <f t="shared" si="208"/>
        <v>-1948.1553634392085</v>
      </c>
      <c r="BH61" s="3">
        <f t="shared" si="208"/>
        <v>-1974.7246729331423</v>
      </c>
      <c r="BI61" s="3">
        <f t="shared" si="208"/>
        <v>-2003.4111377878</v>
      </c>
      <c r="BJ61" s="3">
        <f t="shared" si="208"/>
        <v>-2034.0968633277703</v>
      </c>
      <c r="BK61" s="3">
        <f t="shared" si="208"/>
        <v>-2066.6643847448477</v>
      </c>
      <c r="BL61" s="3">
        <f t="shared" si="208"/>
        <v>-2100.9968924178465</v>
      </c>
      <c r="BM61" s="3">
        <f t="shared" si="208"/>
        <v>-2136.9784489627059</v>
      </c>
      <c r="BN61" s="3">
        <f t="shared" si="208"/>
        <v>-2174.4941975959173</v>
      </c>
      <c r="BO61" s="3">
        <f t="shared" si="208"/>
        <v>-2213.4305614373002</v>
      </c>
      <c r="BP61" s="397">
        <f t="shared" si="163"/>
        <v>-24189.824188149883</v>
      </c>
      <c r="CF61" s="398" t="s">
        <v>1067</v>
      </c>
      <c r="CG61" s="13" t="s">
        <v>965</v>
      </c>
    </row>
    <row r="62" spans="1:85" s="440" customFormat="1" ht="10.199999999999999" outlineLevel="1">
      <c r="A62" s="442" t="s">
        <v>138</v>
      </c>
      <c r="B62" s="12" t="s">
        <v>502</v>
      </c>
      <c r="D62" s="440">
        <f t="shared" ref="D62:O62" si="209">C47*D69</f>
        <v>0</v>
      </c>
      <c r="E62" s="440">
        <f t="shared" si="209"/>
        <v>0</v>
      </c>
      <c r="F62" s="440">
        <f t="shared" si="209"/>
        <v>0</v>
      </c>
      <c r="G62" s="440">
        <f t="shared" si="209"/>
        <v>0</v>
      </c>
      <c r="H62" s="440">
        <f t="shared" si="209"/>
        <v>0</v>
      </c>
      <c r="I62" s="440">
        <f t="shared" si="209"/>
        <v>0</v>
      </c>
      <c r="J62" s="440">
        <f t="shared" si="209"/>
        <v>0</v>
      </c>
      <c r="K62" s="440">
        <f t="shared" si="209"/>
        <v>0</v>
      </c>
      <c r="L62" s="440">
        <f t="shared" si="209"/>
        <v>0</v>
      </c>
      <c r="M62" s="440">
        <f t="shared" si="209"/>
        <v>-0.97000002440460076</v>
      </c>
      <c r="N62" s="440">
        <f t="shared" si="209"/>
        <v>-1.9733935299717886</v>
      </c>
      <c r="O62" s="440">
        <f t="shared" si="209"/>
        <v>-3.007538153387098</v>
      </c>
      <c r="P62" s="458">
        <f t="shared" si="155"/>
        <v>-5.9509317077634876</v>
      </c>
      <c r="Q62" s="440">
        <f t="shared" ref="Q62:AB62" si="210">P47*Q69</f>
        <v>-4.0146339053589637</v>
      </c>
      <c r="R62" s="440">
        <f t="shared" si="210"/>
        <v>-12.041923948580848</v>
      </c>
      <c r="S62" s="440">
        <f t="shared" si="210"/>
        <v>-20.01265505244238</v>
      </c>
      <c r="T62" s="440">
        <f t="shared" si="210"/>
        <v>-28.314357229935048</v>
      </c>
      <c r="U62" s="440">
        <f t="shared" si="210"/>
        <v>-36.932729483799264</v>
      </c>
      <c r="V62" s="440">
        <f t="shared" si="210"/>
        <v>-45.853135669183111</v>
      </c>
      <c r="W62" s="440">
        <f t="shared" si="210"/>
        <v>-55.060637501403534</v>
      </c>
      <c r="X62" s="440">
        <f t="shared" si="210"/>
        <v>-64.540027994079921</v>
      </c>
      <c r="Y62" s="440">
        <f t="shared" si="210"/>
        <v>-74.275865221856563</v>
      </c>
      <c r="Z62" s="440">
        <f t="shared" si="210"/>
        <v>-84.252506301843979</v>
      </c>
      <c r="AA62" s="440">
        <f t="shared" si="210"/>
        <v>-94.454141488252631</v>
      </c>
      <c r="AB62" s="440">
        <f t="shared" si="210"/>
        <v>-104.86482827545929</v>
      </c>
      <c r="AC62" s="458">
        <f t="shared" si="157"/>
        <v>-624.61744207219567</v>
      </c>
      <c r="AD62" s="440">
        <f t="shared" ref="AD62:AO62" si="211">AC47*AD69</f>
        <v>-114.9755378354938</v>
      </c>
      <c r="AE62" s="440">
        <f t="shared" si="211"/>
        <v>-136.96639361659189</v>
      </c>
      <c r="AF62" s="440">
        <f t="shared" si="211"/>
        <v>-147.91603893324162</v>
      </c>
      <c r="AG62" s="440">
        <f t="shared" si="211"/>
        <v>-159.29949026601335</v>
      </c>
      <c r="AH62" s="440">
        <f t="shared" si="211"/>
        <v>-171.09390636346313</v>
      </c>
      <c r="AI62" s="440">
        <f t="shared" si="211"/>
        <v>-183.27619302410019</v>
      </c>
      <c r="AJ62" s="440">
        <f t="shared" si="211"/>
        <v>-195.82305393549743</v>
      </c>
      <c r="AK62" s="440">
        <f t="shared" si="211"/>
        <v>-208.71104120229734</v>
      </c>
      <c r="AL62" s="440">
        <f t="shared" si="211"/>
        <v>-221.91660541478487</v>
      </c>
      <c r="AM62" s="440">
        <f t="shared" si="211"/>
        <v>-235.41614511371529</v>
      </c>
      <c r="AN62" s="440">
        <f t="shared" si="211"/>
        <v>-249.18605551162355</v>
      </c>
      <c r="AO62" s="440">
        <f t="shared" si="211"/>
        <v>-263.20277633586284</v>
      </c>
      <c r="AP62" s="458">
        <f t="shared" si="159"/>
        <v>-2287.7832375526855</v>
      </c>
      <c r="AQ62" s="440">
        <f t="shared" ref="AQ62:BB62" si="212">AP47*AQ69</f>
        <v>-276.64041600030504</v>
      </c>
      <c r="AR62" s="440">
        <f t="shared" si="212"/>
        <v>-312.583823412404</v>
      </c>
      <c r="AS62" s="440">
        <f t="shared" si="212"/>
        <v>-321.34929805335184</v>
      </c>
      <c r="AT62" s="440">
        <f t="shared" si="212"/>
        <v>-330.57610603413826</v>
      </c>
      <c r="AU62" s="440">
        <f t="shared" si="212"/>
        <v>-340.2393116132132</v>
      </c>
      <c r="AV62" s="440">
        <f t="shared" si="212"/>
        <v>-350.31387277119853</v>
      </c>
      <c r="AW62" s="440">
        <f t="shared" si="212"/>
        <v>-360.7746942809631</v>
      </c>
      <c r="AX62" s="440">
        <f t="shared" si="212"/>
        <v>-371.59667973160862</v>
      </c>
      <c r="AY62" s="440">
        <f t="shared" si="212"/>
        <v>-382.75478237165254</v>
      </c>
      <c r="AZ62" s="440">
        <f t="shared" si="212"/>
        <v>-394.22405464386907</v>
      </c>
      <c r="BA62" s="440">
        <f t="shared" si="212"/>
        <v>-405.97969629177129</v>
      </c>
      <c r="BB62" s="440">
        <f t="shared" si="212"/>
        <v>-417.99710092556819</v>
      </c>
      <c r="BC62" s="458">
        <f t="shared" si="161"/>
        <v>-4265.0298361300438</v>
      </c>
      <c r="BD62" s="440">
        <f t="shared" ref="BD62:BO62" si="213">BC47*BD69</f>
        <v>-429.2930589749019</v>
      </c>
      <c r="BE62" s="440">
        <f t="shared" si="213"/>
        <v>-477.1167886366091</v>
      </c>
      <c r="BF62" s="440">
        <f t="shared" si="213"/>
        <v>-482.63112770640276</v>
      </c>
      <c r="BG62" s="440">
        <f t="shared" si="213"/>
        <v>-488.73584030530702</v>
      </c>
      <c r="BH62" s="440">
        <f t="shared" si="213"/>
        <v>-495.40131167660741</v>
      </c>
      <c r="BI62" s="440">
        <f t="shared" si="213"/>
        <v>-502.59791610007562</v>
      </c>
      <c r="BJ62" s="440">
        <f t="shared" si="213"/>
        <v>-510.29607721114837</v>
      </c>
      <c r="BK62" s="440">
        <f t="shared" si="213"/>
        <v>-518.46632648651268</v>
      </c>
      <c r="BL62" s="440">
        <f t="shared" si="213"/>
        <v>-527.07935977033128</v>
      </c>
      <c r="BM62" s="440">
        <f t="shared" si="213"/>
        <v>-536.106091725836</v>
      </c>
      <c r="BN62" s="440">
        <f t="shared" si="213"/>
        <v>-545.51770810768687</v>
      </c>
      <c r="BO62" s="440">
        <f t="shared" si="213"/>
        <v>-555.28571576127433</v>
      </c>
      <c r="BP62" s="458">
        <f t="shared" si="163"/>
        <v>-6068.5273224626926</v>
      </c>
      <c r="CF62" s="442" t="s">
        <v>1002</v>
      </c>
      <c r="CG62" s="13" t="s">
        <v>965</v>
      </c>
    </row>
    <row r="63" spans="1:85" s="440" customFormat="1" ht="10.199999999999999" outlineLevel="1">
      <c r="A63" s="442" t="s">
        <v>142</v>
      </c>
      <c r="B63" s="12" t="s">
        <v>502</v>
      </c>
      <c r="D63" s="440">
        <f t="shared" ref="D63:O63" si="214">C48*D70</f>
        <v>0</v>
      </c>
      <c r="E63" s="440">
        <f t="shared" si="214"/>
        <v>0</v>
      </c>
      <c r="F63" s="440">
        <f t="shared" si="214"/>
        <v>0</v>
      </c>
      <c r="G63" s="440">
        <f t="shared" si="214"/>
        <v>0</v>
      </c>
      <c r="H63" s="440">
        <f t="shared" si="214"/>
        <v>0</v>
      </c>
      <c r="I63" s="440">
        <f t="shared" si="214"/>
        <v>0</v>
      </c>
      <c r="J63" s="440">
        <f t="shared" si="214"/>
        <v>0</v>
      </c>
      <c r="K63" s="440">
        <f t="shared" si="214"/>
        <v>0</v>
      </c>
      <c r="L63" s="440">
        <f t="shared" si="214"/>
        <v>0</v>
      </c>
      <c r="M63" s="440">
        <f t="shared" si="214"/>
        <v>-1.0777778048940001</v>
      </c>
      <c r="N63" s="440">
        <f t="shared" si="214"/>
        <v>-2.1926594777464294</v>
      </c>
      <c r="O63" s="440">
        <f t="shared" si="214"/>
        <v>-3.3417090593189949</v>
      </c>
      <c r="P63" s="458">
        <f t="shared" si="155"/>
        <v>-6.6121463419594244</v>
      </c>
      <c r="Q63" s="440">
        <f t="shared" ref="Q63:AB63" si="215">P48*Q70</f>
        <v>-4.4607043392877337</v>
      </c>
      <c r="R63" s="440">
        <f t="shared" si="215"/>
        <v>-13.379915498423154</v>
      </c>
      <c r="S63" s="440">
        <f t="shared" si="215"/>
        <v>-22.236283391602626</v>
      </c>
      <c r="T63" s="440">
        <f t="shared" si="215"/>
        <v>-31.460396922150025</v>
      </c>
      <c r="U63" s="440">
        <f t="shared" si="215"/>
        <v>-41.036366093110253</v>
      </c>
      <c r="V63" s="440">
        <f t="shared" si="215"/>
        <v>-50.947928521314523</v>
      </c>
      <c r="W63" s="440">
        <f t="shared" si="215"/>
        <v>-61.178486112670534</v>
      </c>
      <c r="X63" s="440">
        <f t="shared" si="215"/>
        <v>-71.711142215644287</v>
      </c>
      <c r="Y63" s="440">
        <f t="shared" si="215"/>
        <v>-82.528739135396123</v>
      </c>
      <c r="Z63" s="440">
        <f t="shared" si="215"/>
        <v>-93.61389589093767</v>
      </c>
      <c r="AA63" s="440">
        <f t="shared" si="215"/>
        <v>-104.94904609805837</v>
      </c>
      <c r="AB63" s="440">
        <f t="shared" si="215"/>
        <v>-116.51647586162137</v>
      </c>
      <c r="AC63" s="458">
        <f t="shared" si="157"/>
        <v>-694.01938008021671</v>
      </c>
      <c r="AD63" s="440">
        <f t="shared" ref="AD63:AO63" si="216">AC48*AD70</f>
        <v>-127.750597594993</v>
      </c>
      <c r="AE63" s="440">
        <f t="shared" si="216"/>
        <v>-152.18488179621306</v>
      </c>
      <c r="AF63" s="440">
        <f t="shared" si="216"/>
        <v>-164.35115437026832</v>
      </c>
      <c r="AG63" s="440">
        <f t="shared" si="216"/>
        <v>-176.99943362890355</v>
      </c>
      <c r="AH63" s="440">
        <f t="shared" si="216"/>
        <v>-190.10434040384777</v>
      </c>
      <c r="AI63" s="440">
        <f t="shared" si="216"/>
        <v>-203.64021447122224</v>
      </c>
      <c r="AJ63" s="440">
        <f t="shared" si="216"/>
        <v>-217.58117103944139</v>
      </c>
      <c r="AK63" s="440">
        <f t="shared" si="216"/>
        <v>-231.90115689144127</v>
      </c>
      <c r="AL63" s="440">
        <f t="shared" si="216"/>
        <v>-246.5740060164274</v>
      </c>
      <c r="AM63" s="440">
        <f t="shared" si="216"/>
        <v>-261.57349457079459</v>
      </c>
      <c r="AN63" s="440">
        <f t="shared" si="216"/>
        <v>-276.87339501291473</v>
      </c>
      <c r="AO63" s="440">
        <f t="shared" si="216"/>
        <v>-292.44752926206957</v>
      </c>
      <c r="AP63" s="458">
        <f t="shared" si="159"/>
        <v>-2541.9813750585367</v>
      </c>
      <c r="AQ63" s="440">
        <f t="shared" ref="AQ63:BB63" si="217">AP48*AQ70</f>
        <v>-307.37824000033862</v>
      </c>
      <c r="AR63" s="440">
        <f t="shared" si="217"/>
        <v>-347.31535934711525</v>
      </c>
      <c r="AS63" s="440">
        <f t="shared" si="217"/>
        <v>-357.05477561483508</v>
      </c>
      <c r="AT63" s="440">
        <f t="shared" si="217"/>
        <v>-367.30678448237546</v>
      </c>
      <c r="AU63" s="440">
        <f t="shared" si="217"/>
        <v>-378.04367957023652</v>
      </c>
      <c r="AV63" s="440">
        <f t="shared" si="217"/>
        <v>-389.23763641244238</v>
      </c>
      <c r="AW63" s="440">
        <f t="shared" si="217"/>
        <v>-400.86077142329191</v>
      </c>
      <c r="AX63" s="440">
        <f t="shared" si="217"/>
        <v>-412.88519970178686</v>
      </c>
      <c r="AY63" s="440">
        <f t="shared" si="217"/>
        <v>-425.28309152405797</v>
      </c>
      <c r="AZ63" s="440">
        <f t="shared" si="217"/>
        <v>-438.02672738207622</v>
      </c>
      <c r="BA63" s="440">
        <f t="shared" si="217"/>
        <v>-451.08855143530104</v>
      </c>
      <c r="BB63" s="440">
        <f t="shared" si="217"/>
        <v>-464.44122325063086</v>
      </c>
      <c r="BC63" s="458">
        <f t="shared" si="161"/>
        <v>-4738.9220401444891</v>
      </c>
      <c r="BD63" s="440">
        <f t="shared" ref="BD63:BO63" si="218">BC48*BD70</f>
        <v>-476.99228774989052</v>
      </c>
      <c r="BE63" s="440">
        <f t="shared" si="218"/>
        <v>-530.12976515178752</v>
      </c>
      <c r="BF63" s="440">
        <f t="shared" si="218"/>
        <v>-536.25680856266922</v>
      </c>
      <c r="BG63" s="440">
        <f t="shared" si="218"/>
        <v>-543.03982256145173</v>
      </c>
      <c r="BH63" s="440">
        <f t="shared" si="218"/>
        <v>-550.44590186289668</v>
      </c>
      <c r="BI63" s="440">
        <f t="shared" si="218"/>
        <v>-558.44212900008358</v>
      </c>
      <c r="BJ63" s="440">
        <f t="shared" si="218"/>
        <v>-566.99564134571983</v>
      </c>
      <c r="BK63" s="440">
        <f t="shared" si="218"/>
        <v>-576.07369609612454</v>
      </c>
      <c r="BL63" s="440">
        <f t="shared" si="218"/>
        <v>-585.64373307814526</v>
      </c>
      <c r="BM63" s="440">
        <f t="shared" si="218"/>
        <v>-595.67343525092838</v>
      </c>
      <c r="BN63" s="440">
        <f t="shared" si="218"/>
        <v>-606.13078678631814</v>
      </c>
      <c r="BO63" s="440">
        <f t="shared" si="218"/>
        <v>-616.98412862363762</v>
      </c>
      <c r="BP63" s="458">
        <f t="shared" si="163"/>
        <v>-6742.8081360696533</v>
      </c>
      <c r="CF63" s="442" t="s">
        <v>1003</v>
      </c>
      <c r="CG63" s="13" t="s">
        <v>965</v>
      </c>
    </row>
    <row r="64" spans="1:85" s="440" customFormat="1" ht="10.199999999999999" outlineLevel="1">
      <c r="A64" s="442" t="s">
        <v>145</v>
      </c>
      <c r="B64" s="12" t="s">
        <v>502</v>
      </c>
      <c r="D64" s="440">
        <f t="shared" ref="D64:O64" si="219">C49*D71</f>
        <v>0</v>
      </c>
      <c r="E64" s="440">
        <f t="shared" si="219"/>
        <v>0</v>
      </c>
      <c r="F64" s="440">
        <f t="shared" si="219"/>
        <v>0</v>
      </c>
      <c r="G64" s="440">
        <f t="shared" si="219"/>
        <v>0</v>
      </c>
      <c r="H64" s="440">
        <f t="shared" si="219"/>
        <v>0</v>
      </c>
      <c r="I64" s="440">
        <f t="shared" si="219"/>
        <v>0</v>
      </c>
      <c r="J64" s="440">
        <f t="shared" si="219"/>
        <v>0</v>
      </c>
      <c r="K64" s="440">
        <f t="shared" si="219"/>
        <v>0</v>
      </c>
      <c r="L64" s="440">
        <f t="shared" si="219"/>
        <v>0</v>
      </c>
      <c r="M64" s="440">
        <f t="shared" si="219"/>
        <v>-0.80833335367049997</v>
      </c>
      <c r="N64" s="440">
        <f t="shared" si="219"/>
        <v>-1.6444946083098224</v>
      </c>
      <c r="O64" s="440">
        <f t="shared" si="219"/>
        <v>-2.5062817944892455</v>
      </c>
      <c r="P64" s="458">
        <f t="shared" si="155"/>
        <v>-4.9591097564695676</v>
      </c>
      <c r="Q64" s="440">
        <f t="shared" ref="Q64:AB64" si="220">P49*Q71</f>
        <v>-3.3455282544658003</v>
      </c>
      <c r="R64" s="440">
        <f t="shared" si="220"/>
        <v>-10.034936623817366</v>
      </c>
      <c r="S64" s="440">
        <f t="shared" si="220"/>
        <v>-16.677212543701962</v>
      </c>
      <c r="T64" s="440">
        <f t="shared" si="220"/>
        <v>-23.595297691612519</v>
      </c>
      <c r="U64" s="440">
        <f t="shared" si="220"/>
        <v>-30.777274569832688</v>
      </c>
      <c r="V64" s="440">
        <f t="shared" si="220"/>
        <v>-38.210946390985896</v>
      </c>
      <c r="W64" s="440">
        <f t="shared" si="220"/>
        <v>-45.883864584502909</v>
      </c>
      <c r="X64" s="440">
        <f t="shared" si="220"/>
        <v>-53.783356661733222</v>
      </c>
      <c r="Y64" s="440">
        <f t="shared" si="220"/>
        <v>-61.896554351547088</v>
      </c>
      <c r="Z64" s="440">
        <f t="shared" si="220"/>
        <v>-70.210421918203238</v>
      </c>
      <c r="AA64" s="440">
        <f t="shared" si="220"/>
        <v>-78.711784573543781</v>
      </c>
      <c r="AB64" s="440">
        <f t="shared" si="220"/>
        <v>-87.387356896216005</v>
      </c>
      <c r="AC64" s="458">
        <f t="shared" si="157"/>
        <v>-520.51453506016253</v>
      </c>
      <c r="AD64" s="440">
        <f t="shared" ref="AD64:AO64" si="221">AC49*AD71</f>
        <v>-95.812948196244747</v>
      </c>
      <c r="AE64" s="440">
        <f t="shared" si="221"/>
        <v>-114.1386613471598</v>
      </c>
      <c r="AF64" s="440">
        <f t="shared" si="221"/>
        <v>-123.26336577770124</v>
      </c>
      <c r="AG64" s="440">
        <f t="shared" si="221"/>
        <v>-132.74957522167767</v>
      </c>
      <c r="AH64" s="440">
        <f t="shared" si="221"/>
        <v>-142.57825530288579</v>
      </c>
      <c r="AI64" s="440">
        <f t="shared" si="221"/>
        <v>-152.73016085341669</v>
      </c>
      <c r="AJ64" s="440">
        <f t="shared" si="221"/>
        <v>-163.185878279581</v>
      </c>
      <c r="AK64" s="440">
        <f t="shared" si="221"/>
        <v>-173.92586766858096</v>
      </c>
      <c r="AL64" s="440">
        <f t="shared" si="221"/>
        <v>-184.93050451232057</v>
      </c>
      <c r="AM64" s="440">
        <f t="shared" si="221"/>
        <v>-196.18012092809593</v>
      </c>
      <c r="AN64" s="440">
        <f t="shared" si="221"/>
        <v>-207.655046259686</v>
      </c>
      <c r="AO64" s="440">
        <f t="shared" si="221"/>
        <v>-219.33564694655217</v>
      </c>
      <c r="AP64" s="458">
        <f t="shared" si="159"/>
        <v>-1906.4860312939027</v>
      </c>
      <c r="AQ64" s="440">
        <f t="shared" ref="AQ64:BB64" si="222">AP49*AQ71</f>
        <v>-230.53368000025398</v>
      </c>
      <c r="AR64" s="440">
        <f t="shared" si="222"/>
        <v>-260.48651951033645</v>
      </c>
      <c r="AS64" s="440">
        <f t="shared" si="222"/>
        <v>-267.79108171112631</v>
      </c>
      <c r="AT64" s="440">
        <f t="shared" si="222"/>
        <v>-275.48008836178167</v>
      </c>
      <c r="AU64" s="440">
        <f t="shared" si="222"/>
        <v>-283.5327596776774</v>
      </c>
      <c r="AV64" s="440">
        <f t="shared" si="222"/>
        <v>-291.92822730933176</v>
      </c>
      <c r="AW64" s="440">
        <f t="shared" si="222"/>
        <v>-300.64557856746893</v>
      </c>
      <c r="AX64" s="440">
        <f t="shared" si="222"/>
        <v>-309.6638997763402</v>
      </c>
      <c r="AY64" s="440">
        <f t="shared" si="222"/>
        <v>-318.96231864304355</v>
      </c>
      <c r="AZ64" s="440">
        <f t="shared" si="222"/>
        <v>-328.52004553655718</v>
      </c>
      <c r="BA64" s="440">
        <f t="shared" si="222"/>
        <v>-338.31641357647584</v>
      </c>
      <c r="BB64" s="440">
        <f t="shared" si="222"/>
        <v>-348.33091743797314</v>
      </c>
      <c r="BC64" s="458">
        <f t="shared" si="161"/>
        <v>-3554.1915301083664</v>
      </c>
      <c r="BD64" s="440">
        <f t="shared" ref="BD64:BO64" si="223">BC49*BD71</f>
        <v>-357.74421581241791</v>
      </c>
      <c r="BE64" s="440">
        <f t="shared" si="223"/>
        <v>-397.59732386384064</v>
      </c>
      <c r="BF64" s="440">
        <f t="shared" si="223"/>
        <v>-402.19260642200186</v>
      </c>
      <c r="BG64" s="440">
        <f t="shared" si="223"/>
        <v>-407.2798669210888</v>
      </c>
      <c r="BH64" s="440">
        <f t="shared" si="223"/>
        <v>-412.83442639717248</v>
      </c>
      <c r="BI64" s="440">
        <f t="shared" si="223"/>
        <v>-418.83159675006266</v>
      </c>
      <c r="BJ64" s="440">
        <f t="shared" si="223"/>
        <v>-425.24673100928987</v>
      </c>
      <c r="BK64" s="440">
        <f t="shared" si="223"/>
        <v>-432.05527207209349</v>
      </c>
      <c r="BL64" s="440">
        <f t="shared" si="223"/>
        <v>-439.23279980860895</v>
      </c>
      <c r="BM64" s="440">
        <f t="shared" si="223"/>
        <v>-446.75507643819628</v>
      </c>
      <c r="BN64" s="440">
        <f t="shared" si="223"/>
        <v>-454.59809008973872</v>
      </c>
      <c r="BO64" s="440">
        <f t="shared" si="223"/>
        <v>-462.73809646772821</v>
      </c>
      <c r="BP64" s="458">
        <f t="shared" si="163"/>
        <v>-5057.1061020522402</v>
      </c>
      <c r="CF64" s="442" t="s">
        <v>1004</v>
      </c>
      <c r="CG64" s="13" t="s">
        <v>965</v>
      </c>
    </row>
    <row r="65" spans="1:85" s="440" customFormat="1" ht="10.199999999999999" outlineLevel="1">
      <c r="A65" s="442" t="s">
        <v>620</v>
      </c>
      <c r="B65" s="12" t="s">
        <v>502</v>
      </c>
      <c r="D65" s="440">
        <f t="shared" ref="D65:O65" si="224">C50*D72</f>
        <v>0</v>
      </c>
      <c r="E65" s="440">
        <f t="shared" si="224"/>
        <v>0</v>
      </c>
      <c r="F65" s="440">
        <f t="shared" si="224"/>
        <v>0</v>
      </c>
      <c r="G65" s="440">
        <f t="shared" si="224"/>
        <v>0</v>
      </c>
      <c r="H65" s="440">
        <f t="shared" si="224"/>
        <v>0</v>
      </c>
      <c r="I65" s="440">
        <f t="shared" si="224"/>
        <v>0</v>
      </c>
      <c r="J65" s="440">
        <f t="shared" si="224"/>
        <v>0</v>
      </c>
      <c r="K65" s="440">
        <f t="shared" si="224"/>
        <v>0</v>
      </c>
      <c r="L65" s="440">
        <f t="shared" si="224"/>
        <v>0</v>
      </c>
      <c r="M65" s="440">
        <f t="shared" si="224"/>
        <v>-1.0104166920881248</v>
      </c>
      <c r="N65" s="440">
        <f t="shared" si="224"/>
        <v>-2.0556182603872775</v>
      </c>
      <c r="O65" s="440">
        <f t="shared" si="224"/>
        <v>-3.1328522431115573</v>
      </c>
      <c r="P65" s="458">
        <f t="shared" si="155"/>
        <v>-6.1988871955869591</v>
      </c>
      <c r="Q65" s="440">
        <f t="shared" ref="Q65:AB65" si="225">P50*Q72</f>
        <v>-4.1819103180822506</v>
      </c>
      <c r="R65" s="440">
        <f t="shared" si="225"/>
        <v>-12.543670779771706</v>
      </c>
      <c r="S65" s="440">
        <f t="shared" si="225"/>
        <v>-20.846515679627455</v>
      </c>
      <c r="T65" s="440">
        <f t="shared" si="225"/>
        <v>-29.494122114515648</v>
      </c>
      <c r="U65" s="440">
        <f t="shared" si="225"/>
        <v>-38.471593212290855</v>
      </c>
      <c r="V65" s="440">
        <f t="shared" si="225"/>
        <v>-47.76368298873237</v>
      </c>
      <c r="W65" s="440">
        <f t="shared" si="225"/>
        <v>-57.354830730628635</v>
      </c>
      <c r="X65" s="440">
        <f t="shared" si="225"/>
        <v>-67.229195827166521</v>
      </c>
      <c r="Y65" s="440">
        <f t="shared" si="225"/>
        <v>-77.370692939433852</v>
      </c>
      <c r="Z65" s="440">
        <f t="shared" si="225"/>
        <v>-87.763027397754058</v>
      </c>
      <c r="AA65" s="440">
        <f t="shared" si="225"/>
        <v>-98.389730716929719</v>
      </c>
      <c r="AB65" s="440">
        <f t="shared" si="225"/>
        <v>-109.23419612027</v>
      </c>
      <c r="AC65" s="458">
        <f t="shared" si="157"/>
        <v>-650.64316882520302</v>
      </c>
      <c r="AD65" s="440">
        <f t="shared" ref="AD65:AO65" si="226">AC50*AD72</f>
        <v>-119.76618524530592</v>
      </c>
      <c r="AE65" s="440">
        <f t="shared" si="226"/>
        <v>-142.67332668394974</v>
      </c>
      <c r="AF65" s="440">
        <f t="shared" si="226"/>
        <v>-154.07920722212654</v>
      </c>
      <c r="AG65" s="440">
        <f t="shared" si="226"/>
        <v>-165.93696902709706</v>
      </c>
      <c r="AH65" s="440">
        <f t="shared" si="226"/>
        <v>-178.22281912860728</v>
      </c>
      <c r="AI65" s="440">
        <f t="shared" si="226"/>
        <v>-190.91270106677086</v>
      </c>
      <c r="AJ65" s="440">
        <f t="shared" si="226"/>
        <v>-203.98234784947627</v>
      </c>
      <c r="AK65" s="440">
        <f t="shared" si="226"/>
        <v>-217.4073345857262</v>
      </c>
      <c r="AL65" s="440">
        <f t="shared" si="226"/>
        <v>-231.16313064040071</v>
      </c>
      <c r="AM65" s="440">
        <f t="shared" si="226"/>
        <v>-245.22515116011988</v>
      </c>
      <c r="AN65" s="440">
        <f t="shared" si="226"/>
        <v>-259.56880782460757</v>
      </c>
      <c r="AO65" s="440">
        <f t="shared" si="226"/>
        <v>-274.16955868319019</v>
      </c>
      <c r="AP65" s="458">
        <f t="shared" si="159"/>
        <v>-2383.1075391173781</v>
      </c>
      <c r="AQ65" s="440">
        <f t="shared" ref="AQ65:BB65" si="227">AP50*AQ72</f>
        <v>-288.16710000031742</v>
      </c>
      <c r="AR65" s="440">
        <f t="shared" si="227"/>
        <v>-325.60814938792055</v>
      </c>
      <c r="AS65" s="440">
        <f t="shared" si="227"/>
        <v>-334.73885213890782</v>
      </c>
      <c r="AT65" s="440">
        <f t="shared" si="227"/>
        <v>-344.35011045222706</v>
      </c>
      <c r="AU65" s="440">
        <f t="shared" si="227"/>
        <v>-354.4159495970967</v>
      </c>
      <c r="AV65" s="440">
        <f t="shared" si="227"/>
        <v>-364.9102841366647</v>
      </c>
      <c r="AW65" s="440">
        <f t="shared" si="227"/>
        <v>-375.80697320933615</v>
      </c>
      <c r="AX65" s="440">
        <f t="shared" si="227"/>
        <v>-387.07987472042521</v>
      </c>
      <c r="AY65" s="440">
        <f t="shared" si="227"/>
        <v>-398.70289830380443</v>
      </c>
      <c r="AZ65" s="440">
        <f t="shared" si="227"/>
        <v>-410.65005692069656</v>
      </c>
      <c r="BA65" s="440">
        <f t="shared" si="227"/>
        <v>-422.89551697059471</v>
      </c>
      <c r="BB65" s="440">
        <f t="shared" si="227"/>
        <v>-435.41364679746641</v>
      </c>
      <c r="BC65" s="458">
        <f t="shared" si="161"/>
        <v>-4442.7394126354575</v>
      </c>
      <c r="BD65" s="440">
        <f t="shared" ref="BD65:BO65" si="228">BC50*BD72</f>
        <v>-447.18026976552238</v>
      </c>
      <c r="BE65" s="440">
        <f t="shared" si="228"/>
        <v>-496.99665482980078</v>
      </c>
      <c r="BF65" s="440">
        <f t="shared" si="228"/>
        <v>-502.74075802750235</v>
      </c>
      <c r="BG65" s="440">
        <f t="shared" si="228"/>
        <v>-509.099833651361</v>
      </c>
      <c r="BH65" s="440">
        <f t="shared" si="228"/>
        <v>-516.04303299646563</v>
      </c>
      <c r="BI65" s="440">
        <f t="shared" si="228"/>
        <v>-523.53949593757829</v>
      </c>
      <c r="BJ65" s="440">
        <f t="shared" si="228"/>
        <v>-531.55841376161231</v>
      </c>
      <c r="BK65" s="440">
        <f t="shared" si="228"/>
        <v>-540.06909009011679</v>
      </c>
      <c r="BL65" s="440">
        <f t="shared" si="228"/>
        <v>-549.04099976076111</v>
      </c>
      <c r="BM65" s="440">
        <f t="shared" si="228"/>
        <v>-558.44384554774524</v>
      </c>
      <c r="BN65" s="440">
        <f t="shared" si="228"/>
        <v>-568.24761261217327</v>
      </c>
      <c r="BO65" s="440">
        <f t="shared" si="228"/>
        <v>-578.42262058466019</v>
      </c>
      <c r="BP65" s="458">
        <f t="shared" si="163"/>
        <v>-6321.3826275652982</v>
      </c>
      <c r="CF65" s="442" t="s">
        <v>1005</v>
      </c>
      <c r="CG65" s="13" t="s">
        <v>965</v>
      </c>
    </row>
    <row r="66" spans="1:85" s="365" customFormat="1" collapsed="1">
      <c r="A66" s="365" t="s">
        <v>708</v>
      </c>
      <c r="B66" s="454" t="s">
        <v>231</v>
      </c>
      <c r="M66" s="365">
        <f t="shared" ref="M66:O66" si="229">M59/L36</f>
        <v>-7.9993055555555567E-2</v>
      </c>
      <c r="N66" s="365">
        <f t="shared" si="229"/>
        <v>-8.0023148148148149E-2</v>
      </c>
      <c r="O66" s="365">
        <f t="shared" si="229"/>
        <v>-8.0053240740740758E-2</v>
      </c>
      <c r="P66" s="457"/>
      <c r="Q66" s="365">
        <f t="shared" ref="Q66:AB66" si="230">Q59/P36</f>
        <v>-8.008333333333334E-2</v>
      </c>
      <c r="R66" s="365">
        <f t="shared" si="230"/>
        <v>-8.0092361111111135E-2</v>
      </c>
      <c r="S66" s="365">
        <f t="shared" si="230"/>
        <v>-8.0101388888888903E-2</v>
      </c>
      <c r="T66" s="365">
        <f t="shared" si="230"/>
        <v>-8.0110416666666684E-2</v>
      </c>
      <c r="U66" s="365">
        <f t="shared" si="230"/>
        <v>-8.0119444444444465E-2</v>
      </c>
      <c r="V66" s="365">
        <f t="shared" si="230"/>
        <v>-8.0128472222222233E-2</v>
      </c>
      <c r="W66" s="365">
        <f t="shared" si="230"/>
        <v>-8.01375E-2</v>
      </c>
      <c r="X66" s="365">
        <f t="shared" si="230"/>
        <v>-8.0146527777777796E-2</v>
      </c>
      <c r="Y66" s="365">
        <f t="shared" si="230"/>
        <v>-8.0155555555555563E-2</v>
      </c>
      <c r="Z66" s="365">
        <f t="shared" si="230"/>
        <v>-8.0164583333333345E-2</v>
      </c>
      <c r="AA66" s="365">
        <f t="shared" si="230"/>
        <v>-8.0173611111111126E-2</v>
      </c>
      <c r="AB66" s="365">
        <f t="shared" si="230"/>
        <v>-8.0182638888888907E-2</v>
      </c>
      <c r="AC66" s="457"/>
      <c r="AD66" s="365">
        <f t="shared" ref="AD66:AO66" si="231">AD59/AC36</f>
        <v>-8.0191666666666703E-2</v>
      </c>
      <c r="AE66" s="365">
        <f t="shared" si="231"/>
        <v>-8.0200694444444456E-2</v>
      </c>
      <c r="AF66" s="365">
        <f t="shared" si="231"/>
        <v>-8.0209722222222238E-2</v>
      </c>
      <c r="AG66" s="365">
        <f t="shared" si="231"/>
        <v>-8.0218750000000005E-2</v>
      </c>
      <c r="AH66" s="365">
        <f t="shared" si="231"/>
        <v>-8.0227777777777787E-2</v>
      </c>
      <c r="AI66" s="365">
        <f t="shared" si="231"/>
        <v>-8.0236805555555568E-2</v>
      </c>
      <c r="AJ66" s="365">
        <f t="shared" si="231"/>
        <v>-8.024583333333335E-2</v>
      </c>
      <c r="AK66" s="365">
        <f t="shared" si="231"/>
        <v>-8.0254861111111117E-2</v>
      </c>
      <c r="AL66" s="365">
        <f t="shared" si="231"/>
        <v>-8.0263888888888898E-2</v>
      </c>
      <c r="AM66" s="365">
        <f t="shared" si="231"/>
        <v>-8.0272916666666666E-2</v>
      </c>
      <c r="AN66" s="365">
        <f t="shared" si="231"/>
        <v>-8.0281944444444461E-2</v>
      </c>
      <c r="AO66" s="365">
        <f t="shared" si="231"/>
        <v>-8.0290972222222243E-2</v>
      </c>
      <c r="AP66" s="457"/>
      <c r="AQ66" s="365">
        <f t="shared" ref="AQ66:BB66" si="232">AQ59/AP36</f>
        <v>-8.030000000000001E-2</v>
      </c>
      <c r="AR66" s="365">
        <f t="shared" si="232"/>
        <v>-8.0309027777777792E-2</v>
      </c>
      <c r="AS66" s="365">
        <f t="shared" si="232"/>
        <v>-8.0318055555555559E-2</v>
      </c>
      <c r="AT66" s="365">
        <f t="shared" si="232"/>
        <v>-8.0327083333333341E-2</v>
      </c>
      <c r="AU66" s="365">
        <f t="shared" si="232"/>
        <v>-8.0336111111111122E-2</v>
      </c>
      <c r="AV66" s="365">
        <f t="shared" si="232"/>
        <v>-8.0345138888888917E-2</v>
      </c>
      <c r="AW66" s="365">
        <f t="shared" si="232"/>
        <v>-8.0354166666666671E-2</v>
      </c>
      <c r="AX66" s="365">
        <f t="shared" si="232"/>
        <v>-8.0363194444444466E-2</v>
      </c>
      <c r="AY66" s="365">
        <f t="shared" si="232"/>
        <v>-8.0372222222222234E-2</v>
      </c>
      <c r="AZ66" s="365">
        <f t="shared" si="232"/>
        <v>-8.0381250000000001E-2</v>
      </c>
      <c r="BA66" s="365">
        <f t="shared" si="232"/>
        <v>-8.0390277777777769E-2</v>
      </c>
      <c r="BB66" s="365">
        <f t="shared" si="232"/>
        <v>-8.0399305555555564E-2</v>
      </c>
      <c r="BC66" s="457"/>
      <c r="BD66" s="365">
        <f t="shared" ref="BD66:BO66" si="233">BD59/BC36</f>
        <v>-8.0408333333333346E-2</v>
      </c>
      <c r="BE66" s="365">
        <f t="shared" si="233"/>
        <v>-8.0417361111111127E-2</v>
      </c>
      <c r="BF66" s="365">
        <f t="shared" si="233"/>
        <v>-8.0426388888888908E-2</v>
      </c>
      <c r="BG66" s="365">
        <f t="shared" si="233"/>
        <v>-8.0435416666666676E-2</v>
      </c>
      <c r="BH66" s="365">
        <f t="shared" si="233"/>
        <v>-8.0444444444444457E-2</v>
      </c>
      <c r="BI66" s="365">
        <f t="shared" si="233"/>
        <v>-8.0453472222222239E-2</v>
      </c>
      <c r="BJ66" s="365">
        <f t="shared" si="233"/>
        <v>-8.0462500000000006E-2</v>
      </c>
      <c r="BK66" s="365">
        <f t="shared" si="233"/>
        <v>-8.0471527777777788E-2</v>
      </c>
      <c r="BL66" s="365">
        <f t="shared" si="233"/>
        <v>-8.0480555555555583E-2</v>
      </c>
      <c r="BM66" s="365">
        <f t="shared" si="233"/>
        <v>-8.0489583333333337E-2</v>
      </c>
      <c r="BN66" s="365">
        <f t="shared" si="233"/>
        <v>-8.0498611111111132E-2</v>
      </c>
      <c r="BO66" s="365">
        <f t="shared" si="233"/>
        <v>-8.0507638888888899E-2</v>
      </c>
      <c r="BP66" s="457"/>
      <c r="CF66" s="365" t="s">
        <v>1068</v>
      </c>
      <c r="CG66" s="454" t="s">
        <v>231</v>
      </c>
    </row>
    <row r="67" spans="1:85" s="365" customFormat="1">
      <c r="A67" s="370" t="s">
        <v>707</v>
      </c>
      <c r="B67" s="454" t="s">
        <v>231</v>
      </c>
      <c r="D67" s="365">
        <f>P67</f>
        <v>-8.3333333333333329E-2</v>
      </c>
      <c r="E67" s="365">
        <f t="shared" ref="E67:O67" si="234">D67</f>
        <v>-8.3333333333333329E-2</v>
      </c>
      <c r="F67" s="365">
        <f t="shared" si="234"/>
        <v>-8.3333333333333329E-2</v>
      </c>
      <c r="G67" s="365">
        <f t="shared" si="234"/>
        <v>-8.3333333333333329E-2</v>
      </c>
      <c r="H67" s="365">
        <f t="shared" si="234"/>
        <v>-8.3333333333333329E-2</v>
      </c>
      <c r="I67" s="365">
        <f t="shared" si="234"/>
        <v>-8.3333333333333329E-2</v>
      </c>
      <c r="J67" s="365">
        <f t="shared" si="234"/>
        <v>-8.3333333333333329E-2</v>
      </c>
      <c r="K67" s="365">
        <f t="shared" si="234"/>
        <v>-8.3333333333333329E-2</v>
      </c>
      <c r="L67" s="365">
        <f t="shared" si="234"/>
        <v>-8.3333333333333329E-2</v>
      </c>
      <c r="M67" s="365">
        <f t="shared" si="234"/>
        <v>-8.3333333333333329E-2</v>
      </c>
      <c r="N67" s="365">
        <f t="shared" si="234"/>
        <v>-8.3333333333333329E-2</v>
      </c>
      <c r="O67" s="365">
        <f t="shared" si="234"/>
        <v>-8.3333333333333329E-2</v>
      </c>
      <c r="P67" s="364">
        <f>-1/12</f>
        <v>-8.3333333333333329E-2</v>
      </c>
      <c r="Q67" s="365">
        <f>AC67</f>
        <v>-8.3333333333333329E-2</v>
      </c>
      <c r="R67" s="365">
        <f t="shared" ref="R67:AB67" si="235">Q67</f>
        <v>-8.3333333333333329E-2</v>
      </c>
      <c r="S67" s="365">
        <f t="shared" si="235"/>
        <v>-8.3333333333333329E-2</v>
      </c>
      <c r="T67" s="365">
        <f t="shared" si="235"/>
        <v>-8.3333333333333329E-2</v>
      </c>
      <c r="U67" s="365">
        <f t="shared" si="235"/>
        <v>-8.3333333333333329E-2</v>
      </c>
      <c r="V67" s="365">
        <f t="shared" si="235"/>
        <v>-8.3333333333333329E-2</v>
      </c>
      <c r="W67" s="365">
        <f t="shared" si="235"/>
        <v>-8.3333333333333329E-2</v>
      </c>
      <c r="X67" s="365">
        <f t="shared" si="235"/>
        <v>-8.3333333333333329E-2</v>
      </c>
      <c r="Y67" s="365">
        <f t="shared" si="235"/>
        <v>-8.3333333333333329E-2</v>
      </c>
      <c r="Z67" s="365">
        <f t="shared" si="235"/>
        <v>-8.3333333333333329E-2</v>
      </c>
      <c r="AA67" s="365">
        <f t="shared" si="235"/>
        <v>-8.3333333333333329E-2</v>
      </c>
      <c r="AB67" s="365">
        <f t="shared" si="235"/>
        <v>-8.3333333333333329E-2</v>
      </c>
      <c r="AC67" s="364">
        <f>P67</f>
        <v>-8.3333333333333329E-2</v>
      </c>
      <c r="AD67" s="365">
        <f>AP67</f>
        <v>-8.3333333333333329E-2</v>
      </c>
      <c r="AE67" s="365">
        <f t="shared" ref="AE67:AO67" si="236">AD67</f>
        <v>-8.3333333333333329E-2</v>
      </c>
      <c r="AF67" s="365">
        <f t="shared" si="236"/>
        <v>-8.3333333333333329E-2</v>
      </c>
      <c r="AG67" s="365">
        <f t="shared" si="236"/>
        <v>-8.3333333333333329E-2</v>
      </c>
      <c r="AH67" s="365">
        <f t="shared" si="236"/>
        <v>-8.3333333333333329E-2</v>
      </c>
      <c r="AI67" s="365">
        <f t="shared" si="236"/>
        <v>-8.3333333333333329E-2</v>
      </c>
      <c r="AJ67" s="365">
        <f t="shared" si="236"/>
        <v>-8.3333333333333329E-2</v>
      </c>
      <c r="AK67" s="365">
        <f t="shared" si="236"/>
        <v>-8.3333333333333329E-2</v>
      </c>
      <c r="AL67" s="365">
        <f t="shared" si="236"/>
        <v>-8.3333333333333329E-2</v>
      </c>
      <c r="AM67" s="365">
        <f t="shared" si="236"/>
        <v>-8.3333333333333329E-2</v>
      </c>
      <c r="AN67" s="365">
        <f t="shared" si="236"/>
        <v>-8.3333333333333329E-2</v>
      </c>
      <c r="AO67" s="365">
        <f t="shared" si="236"/>
        <v>-8.3333333333333329E-2</v>
      </c>
      <c r="AP67" s="364">
        <f>AC67</f>
        <v>-8.3333333333333329E-2</v>
      </c>
      <c r="AQ67" s="365">
        <f>BC67</f>
        <v>-8.3333333333333329E-2</v>
      </c>
      <c r="AR67" s="365">
        <f t="shared" ref="AR67:BB67" si="237">AQ67</f>
        <v>-8.3333333333333329E-2</v>
      </c>
      <c r="AS67" s="365">
        <f t="shared" si="237"/>
        <v>-8.3333333333333329E-2</v>
      </c>
      <c r="AT67" s="365">
        <f t="shared" si="237"/>
        <v>-8.3333333333333329E-2</v>
      </c>
      <c r="AU67" s="365">
        <f t="shared" si="237"/>
        <v>-8.3333333333333329E-2</v>
      </c>
      <c r="AV67" s="365">
        <f t="shared" si="237"/>
        <v>-8.3333333333333329E-2</v>
      </c>
      <c r="AW67" s="365">
        <f t="shared" si="237"/>
        <v>-8.3333333333333329E-2</v>
      </c>
      <c r="AX67" s="365">
        <f t="shared" si="237"/>
        <v>-8.3333333333333329E-2</v>
      </c>
      <c r="AY67" s="365">
        <f t="shared" si="237"/>
        <v>-8.3333333333333329E-2</v>
      </c>
      <c r="AZ67" s="365">
        <f t="shared" si="237"/>
        <v>-8.3333333333333329E-2</v>
      </c>
      <c r="BA67" s="365">
        <f t="shared" si="237"/>
        <v>-8.3333333333333329E-2</v>
      </c>
      <c r="BB67" s="365">
        <f t="shared" si="237"/>
        <v>-8.3333333333333329E-2</v>
      </c>
      <c r="BC67" s="364">
        <f>AP67</f>
        <v>-8.3333333333333329E-2</v>
      </c>
      <c r="BD67" s="365">
        <f>BP67</f>
        <v>-8.3333333333333329E-2</v>
      </c>
      <c r="BE67" s="365">
        <f t="shared" ref="BE67:BO67" si="238">BD67</f>
        <v>-8.3333333333333329E-2</v>
      </c>
      <c r="BF67" s="365">
        <f t="shared" si="238"/>
        <v>-8.3333333333333329E-2</v>
      </c>
      <c r="BG67" s="365">
        <f t="shared" si="238"/>
        <v>-8.3333333333333329E-2</v>
      </c>
      <c r="BH67" s="365">
        <f t="shared" si="238"/>
        <v>-8.3333333333333329E-2</v>
      </c>
      <c r="BI67" s="365">
        <f t="shared" si="238"/>
        <v>-8.3333333333333329E-2</v>
      </c>
      <c r="BJ67" s="365">
        <f t="shared" si="238"/>
        <v>-8.3333333333333329E-2</v>
      </c>
      <c r="BK67" s="365">
        <f t="shared" si="238"/>
        <v>-8.3333333333333329E-2</v>
      </c>
      <c r="BL67" s="365">
        <f t="shared" si="238"/>
        <v>-8.3333333333333329E-2</v>
      </c>
      <c r="BM67" s="365">
        <f t="shared" si="238"/>
        <v>-8.3333333333333329E-2</v>
      </c>
      <c r="BN67" s="365">
        <f t="shared" si="238"/>
        <v>-8.3333333333333329E-2</v>
      </c>
      <c r="BO67" s="365">
        <f t="shared" si="238"/>
        <v>-8.3333333333333329E-2</v>
      </c>
      <c r="BP67" s="364">
        <f>BC67</f>
        <v>-8.3333333333333329E-2</v>
      </c>
      <c r="CF67" s="370" t="s">
        <v>1069</v>
      </c>
      <c r="CG67" s="454" t="s">
        <v>231</v>
      </c>
    </row>
    <row r="68" spans="1:85" s="365" customFormat="1">
      <c r="A68" s="370" t="s">
        <v>706</v>
      </c>
      <c r="B68" s="454" t="s">
        <v>231</v>
      </c>
      <c r="P68" s="457"/>
      <c r="AC68" s="457"/>
      <c r="AP68" s="457"/>
      <c r="BC68" s="457"/>
      <c r="BP68" s="457"/>
      <c r="CF68" s="370" t="s">
        <v>1070</v>
      </c>
      <c r="CG68" s="454" t="s">
        <v>231</v>
      </c>
    </row>
    <row r="69" spans="1:85" s="454" customFormat="1" ht="10.199999999999999">
      <c r="A69" s="456" t="s">
        <v>138</v>
      </c>
      <c r="B69" s="454" t="s">
        <v>231</v>
      </c>
      <c r="D69" s="454">
        <f>P69</f>
        <v>-0.2</v>
      </c>
      <c r="E69" s="454">
        <f t="shared" ref="E69:O69" si="239">D69</f>
        <v>-0.2</v>
      </c>
      <c r="F69" s="454">
        <f t="shared" si="239"/>
        <v>-0.2</v>
      </c>
      <c r="G69" s="454">
        <f t="shared" si="239"/>
        <v>-0.2</v>
      </c>
      <c r="H69" s="454">
        <f t="shared" si="239"/>
        <v>-0.2</v>
      </c>
      <c r="I69" s="454">
        <f t="shared" si="239"/>
        <v>-0.2</v>
      </c>
      <c r="J69" s="454">
        <f t="shared" si="239"/>
        <v>-0.2</v>
      </c>
      <c r="K69" s="454">
        <f t="shared" si="239"/>
        <v>-0.2</v>
      </c>
      <c r="L69" s="454">
        <f t="shared" si="239"/>
        <v>-0.2</v>
      </c>
      <c r="M69" s="454">
        <f t="shared" si="239"/>
        <v>-0.2</v>
      </c>
      <c r="N69" s="454">
        <f t="shared" si="239"/>
        <v>-0.2</v>
      </c>
      <c r="O69" s="454">
        <f t="shared" si="239"/>
        <v>-0.2</v>
      </c>
      <c r="P69" s="455">
        <f>-1/5</f>
        <v>-0.2</v>
      </c>
      <c r="Q69" s="454">
        <f>AC69</f>
        <v>-0.2</v>
      </c>
      <c r="R69" s="454">
        <f t="shared" ref="R69:AB69" si="240">Q69</f>
        <v>-0.2</v>
      </c>
      <c r="S69" s="454">
        <f t="shared" si="240"/>
        <v>-0.2</v>
      </c>
      <c r="T69" s="454">
        <f t="shared" si="240"/>
        <v>-0.2</v>
      </c>
      <c r="U69" s="454">
        <f t="shared" si="240"/>
        <v>-0.2</v>
      </c>
      <c r="V69" s="454">
        <f t="shared" si="240"/>
        <v>-0.2</v>
      </c>
      <c r="W69" s="454">
        <f t="shared" si="240"/>
        <v>-0.2</v>
      </c>
      <c r="X69" s="454">
        <f t="shared" si="240"/>
        <v>-0.2</v>
      </c>
      <c r="Y69" s="454">
        <f t="shared" si="240"/>
        <v>-0.2</v>
      </c>
      <c r="Z69" s="454">
        <f t="shared" si="240"/>
        <v>-0.2</v>
      </c>
      <c r="AA69" s="454">
        <f t="shared" si="240"/>
        <v>-0.2</v>
      </c>
      <c r="AB69" s="454">
        <f t="shared" si="240"/>
        <v>-0.2</v>
      </c>
      <c r="AC69" s="455">
        <f>-1/5</f>
        <v>-0.2</v>
      </c>
      <c r="AD69" s="454">
        <f>AP69</f>
        <v>-0.2</v>
      </c>
      <c r="AE69" s="454">
        <f t="shared" ref="AE69:AO69" si="241">AD69</f>
        <v>-0.2</v>
      </c>
      <c r="AF69" s="454">
        <f t="shared" si="241"/>
        <v>-0.2</v>
      </c>
      <c r="AG69" s="454">
        <f t="shared" si="241"/>
        <v>-0.2</v>
      </c>
      <c r="AH69" s="454">
        <f t="shared" si="241"/>
        <v>-0.2</v>
      </c>
      <c r="AI69" s="454">
        <f t="shared" si="241"/>
        <v>-0.2</v>
      </c>
      <c r="AJ69" s="454">
        <f t="shared" si="241"/>
        <v>-0.2</v>
      </c>
      <c r="AK69" s="454">
        <f t="shared" si="241"/>
        <v>-0.2</v>
      </c>
      <c r="AL69" s="454">
        <f t="shared" si="241"/>
        <v>-0.2</v>
      </c>
      <c r="AM69" s="454">
        <f t="shared" si="241"/>
        <v>-0.2</v>
      </c>
      <c r="AN69" s="454">
        <f t="shared" si="241"/>
        <v>-0.2</v>
      </c>
      <c r="AO69" s="454">
        <f t="shared" si="241"/>
        <v>-0.2</v>
      </c>
      <c r="AP69" s="455">
        <f>-1/5</f>
        <v>-0.2</v>
      </c>
      <c r="AQ69" s="454">
        <f>BC69</f>
        <v>-0.2</v>
      </c>
      <c r="AR69" s="454">
        <f t="shared" ref="AR69:BB69" si="242">AQ69</f>
        <v>-0.2</v>
      </c>
      <c r="AS69" s="454">
        <f t="shared" si="242"/>
        <v>-0.2</v>
      </c>
      <c r="AT69" s="454">
        <f t="shared" si="242"/>
        <v>-0.2</v>
      </c>
      <c r="AU69" s="454">
        <f t="shared" si="242"/>
        <v>-0.2</v>
      </c>
      <c r="AV69" s="454">
        <f t="shared" si="242"/>
        <v>-0.2</v>
      </c>
      <c r="AW69" s="454">
        <f t="shared" si="242"/>
        <v>-0.2</v>
      </c>
      <c r="AX69" s="454">
        <f t="shared" si="242"/>
        <v>-0.2</v>
      </c>
      <c r="AY69" s="454">
        <f t="shared" si="242"/>
        <v>-0.2</v>
      </c>
      <c r="AZ69" s="454">
        <f t="shared" si="242"/>
        <v>-0.2</v>
      </c>
      <c r="BA69" s="454">
        <f t="shared" si="242"/>
        <v>-0.2</v>
      </c>
      <c r="BB69" s="454">
        <f t="shared" si="242"/>
        <v>-0.2</v>
      </c>
      <c r="BC69" s="455">
        <f>-1/5</f>
        <v>-0.2</v>
      </c>
      <c r="BD69" s="454">
        <f>BP69</f>
        <v>-0.2</v>
      </c>
      <c r="BE69" s="454">
        <f t="shared" ref="BE69:BO69" si="243">BD69</f>
        <v>-0.2</v>
      </c>
      <c r="BF69" s="454">
        <f t="shared" si="243"/>
        <v>-0.2</v>
      </c>
      <c r="BG69" s="454">
        <f t="shared" si="243"/>
        <v>-0.2</v>
      </c>
      <c r="BH69" s="454">
        <f t="shared" si="243"/>
        <v>-0.2</v>
      </c>
      <c r="BI69" s="454">
        <f t="shared" si="243"/>
        <v>-0.2</v>
      </c>
      <c r="BJ69" s="454">
        <f t="shared" si="243"/>
        <v>-0.2</v>
      </c>
      <c r="BK69" s="454">
        <f t="shared" si="243"/>
        <v>-0.2</v>
      </c>
      <c r="BL69" s="454">
        <f t="shared" si="243"/>
        <v>-0.2</v>
      </c>
      <c r="BM69" s="454">
        <f t="shared" si="243"/>
        <v>-0.2</v>
      </c>
      <c r="BN69" s="454">
        <f t="shared" si="243"/>
        <v>-0.2</v>
      </c>
      <c r="BO69" s="454">
        <f t="shared" si="243"/>
        <v>-0.2</v>
      </c>
      <c r="BP69" s="455">
        <f>-1/5</f>
        <v>-0.2</v>
      </c>
      <c r="CF69" s="456" t="s">
        <v>1002</v>
      </c>
      <c r="CG69" s="454" t="s">
        <v>231</v>
      </c>
    </row>
    <row r="70" spans="1:85" s="454" customFormat="1" ht="10.199999999999999">
      <c r="A70" s="456" t="s">
        <v>142</v>
      </c>
      <c r="B70" s="454" t="s">
        <v>231</v>
      </c>
      <c r="D70" s="454">
        <f>P70</f>
        <v>-0.1111111111111111</v>
      </c>
      <c r="E70" s="454">
        <f t="shared" ref="E70:O70" si="244">D70</f>
        <v>-0.1111111111111111</v>
      </c>
      <c r="F70" s="454">
        <f t="shared" si="244"/>
        <v>-0.1111111111111111</v>
      </c>
      <c r="G70" s="454">
        <f t="shared" si="244"/>
        <v>-0.1111111111111111</v>
      </c>
      <c r="H70" s="454">
        <f t="shared" si="244"/>
        <v>-0.1111111111111111</v>
      </c>
      <c r="I70" s="454">
        <f t="shared" si="244"/>
        <v>-0.1111111111111111</v>
      </c>
      <c r="J70" s="454">
        <f t="shared" si="244"/>
        <v>-0.1111111111111111</v>
      </c>
      <c r="K70" s="454">
        <f t="shared" si="244"/>
        <v>-0.1111111111111111</v>
      </c>
      <c r="L70" s="454">
        <f t="shared" si="244"/>
        <v>-0.1111111111111111</v>
      </c>
      <c r="M70" s="454">
        <f t="shared" si="244"/>
        <v>-0.1111111111111111</v>
      </c>
      <c r="N70" s="454">
        <f t="shared" si="244"/>
        <v>-0.1111111111111111</v>
      </c>
      <c r="O70" s="454">
        <f t="shared" si="244"/>
        <v>-0.1111111111111111</v>
      </c>
      <c r="P70" s="455">
        <f>-1/9</f>
        <v>-0.1111111111111111</v>
      </c>
      <c r="Q70" s="454">
        <f>AC70</f>
        <v>-0.1111111111111111</v>
      </c>
      <c r="R70" s="454">
        <f t="shared" ref="R70:AB70" si="245">Q70</f>
        <v>-0.1111111111111111</v>
      </c>
      <c r="S70" s="454">
        <f t="shared" si="245"/>
        <v>-0.1111111111111111</v>
      </c>
      <c r="T70" s="454">
        <f t="shared" si="245"/>
        <v>-0.1111111111111111</v>
      </c>
      <c r="U70" s="454">
        <f t="shared" si="245"/>
        <v>-0.1111111111111111</v>
      </c>
      <c r="V70" s="454">
        <f t="shared" si="245"/>
        <v>-0.1111111111111111</v>
      </c>
      <c r="W70" s="454">
        <f t="shared" si="245"/>
        <v>-0.1111111111111111</v>
      </c>
      <c r="X70" s="454">
        <f t="shared" si="245"/>
        <v>-0.1111111111111111</v>
      </c>
      <c r="Y70" s="454">
        <f t="shared" si="245"/>
        <v>-0.1111111111111111</v>
      </c>
      <c r="Z70" s="454">
        <f t="shared" si="245"/>
        <v>-0.1111111111111111</v>
      </c>
      <c r="AA70" s="454">
        <f t="shared" si="245"/>
        <v>-0.1111111111111111</v>
      </c>
      <c r="AB70" s="454">
        <f t="shared" si="245"/>
        <v>-0.1111111111111111</v>
      </c>
      <c r="AC70" s="455">
        <f>-1/9</f>
        <v>-0.1111111111111111</v>
      </c>
      <c r="AD70" s="454">
        <f>AP70</f>
        <v>-0.1111111111111111</v>
      </c>
      <c r="AE70" s="454">
        <f t="shared" ref="AE70:AO70" si="246">AD70</f>
        <v>-0.1111111111111111</v>
      </c>
      <c r="AF70" s="454">
        <f t="shared" si="246"/>
        <v>-0.1111111111111111</v>
      </c>
      <c r="AG70" s="454">
        <f t="shared" si="246"/>
        <v>-0.1111111111111111</v>
      </c>
      <c r="AH70" s="454">
        <f t="shared" si="246"/>
        <v>-0.1111111111111111</v>
      </c>
      <c r="AI70" s="454">
        <f t="shared" si="246"/>
        <v>-0.1111111111111111</v>
      </c>
      <c r="AJ70" s="454">
        <f t="shared" si="246"/>
        <v>-0.1111111111111111</v>
      </c>
      <c r="AK70" s="454">
        <f t="shared" si="246"/>
        <v>-0.1111111111111111</v>
      </c>
      <c r="AL70" s="454">
        <f t="shared" si="246"/>
        <v>-0.1111111111111111</v>
      </c>
      <c r="AM70" s="454">
        <f t="shared" si="246"/>
        <v>-0.1111111111111111</v>
      </c>
      <c r="AN70" s="454">
        <f t="shared" si="246"/>
        <v>-0.1111111111111111</v>
      </c>
      <c r="AO70" s="454">
        <f t="shared" si="246"/>
        <v>-0.1111111111111111</v>
      </c>
      <c r="AP70" s="455">
        <f>-1/9</f>
        <v>-0.1111111111111111</v>
      </c>
      <c r="AQ70" s="454">
        <f>BC70</f>
        <v>-0.1111111111111111</v>
      </c>
      <c r="AR70" s="454">
        <f t="shared" ref="AR70:BB70" si="247">AQ70</f>
        <v>-0.1111111111111111</v>
      </c>
      <c r="AS70" s="454">
        <f t="shared" si="247"/>
        <v>-0.1111111111111111</v>
      </c>
      <c r="AT70" s="454">
        <f t="shared" si="247"/>
        <v>-0.1111111111111111</v>
      </c>
      <c r="AU70" s="454">
        <f t="shared" si="247"/>
        <v>-0.1111111111111111</v>
      </c>
      <c r="AV70" s="454">
        <f t="shared" si="247"/>
        <v>-0.1111111111111111</v>
      </c>
      <c r="AW70" s="454">
        <f t="shared" si="247"/>
        <v>-0.1111111111111111</v>
      </c>
      <c r="AX70" s="454">
        <f t="shared" si="247"/>
        <v>-0.1111111111111111</v>
      </c>
      <c r="AY70" s="454">
        <f t="shared" si="247"/>
        <v>-0.1111111111111111</v>
      </c>
      <c r="AZ70" s="454">
        <f t="shared" si="247"/>
        <v>-0.1111111111111111</v>
      </c>
      <c r="BA70" s="454">
        <f t="shared" si="247"/>
        <v>-0.1111111111111111</v>
      </c>
      <c r="BB70" s="454">
        <f t="shared" si="247"/>
        <v>-0.1111111111111111</v>
      </c>
      <c r="BC70" s="455">
        <f>-1/9</f>
        <v>-0.1111111111111111</v>
      </c>
      <c r="BD70" s="454">
        <f>BP70</f>
        <v>-0.1111111111111111</v>
      </c>
      <c r="BE70" s="454">
        <f t="shared" ref="BE70:BO70" si="248">BD70</f>
        <v>-0.1111111111111111</v>
      </c>
      <c r="BF70" s="454">
        <f t="shared" si="248"/>
        <v>-0.1111111111111111</v>
      </c>
      <c r="BG70" s="454">
        <f t="shared" si="248"/>
        <v>-0.1111111111111111</v>
      </c>
      <c r="BH70" s="454">
        <f t="shared" si="248"/>
        <v>-0.1111111111111111</v>
      </c>
      <c r="BI70" s="454">
        <f t="shared" si="248"/>
        <v>-0.1111111111111111</v>
      </c>
      <c r="BJ70" s="454">
        <f t="shared" si="248"/>
        <v>-0.1111111111111111</v>
      </c>
      <c r="BK70" s="454">
        <f t="shared" si="248"/>
        <v>-0.1111111111111111</v>
      </c>
      <c r="BL70" s="454">
        <f t="shared" si="248"/>
        <v>-0.1111111111111111</v>
      </c>
      <c r="BM70" s="454">
        <f t="shared" si="248"/>
        <v>-0.1111111111111111</v>
      </c>
      <c r="BN70" s="454">
        <f t="shared" si="248"/>
        <v>-0.1111111111111111</v>
      </c>
      <c r="BO70" s="454">
        <f t="shared" si="248"/>
        <v>-0.1111111111111111</v>
      </c>
      <c r="BP70" s="455">
        <f>-1/9</f>
        <v>-0.1111111111111111</v>
      </c>
      <c r="CF70" s="456" t="s">
        <v>1003</v>
      </c>
      <c r="CG70" s="454" t="s">
        <v>231</v>
      </c>
    </row>
    <row r="71" spans="1:85" s="454" customFormat="1" ht="10.199999999999999">
      <c r="A71" s="456" t="s">
        <v>145</v>
      </c>
      <c r="B71" s="454" t="s">
        <v>231</v>
      </c>
      <c r="D71" s="454">
        <f>P71</f>
        <v>-8.3333333333333329E-2</v>
      </c>
      <c r="E71" s="454">
        <f t="shared" ref="E71:O71" si="249">D71</f>
        <v>-8.3333333333333329E-2</v>
      </c>
      <c r="F71" s="454">
        <f t="shared" si="249"/>
        <v>-8.3333333333333329E-2</v>
      </c>
      <c r="G71" s="454">
        <f t="shared" si="249"/>
        <v>-8.3333333333333329E-2</v>
      </c>
      <c r="H71" s="454">
        <f t="shared" si="249"/>
        <v>-8.3333333333333329E-2</v>
      </c>
      <c r="I71" s="454">
        <f t="shared" si="249"/>
        <v>-8.3333333333333329E-2</v>
      </c>
      <c r="J71" s="454">
        <f t="shared" si="249"/>
        <v>-8.3333333333333329E-2</v>
      </c>
      <c r="K71" s="454">
        <f t="shared" si="249"/>
        <v>-8.3333333333333329E-2</v>
      </c>
      <c r="L71" s="454">
        <f t="shared" si="249"/>
        <v>-8.3333333333333329E-2</v>
      </c>
      <c r="M71" s="454">
        <f t="shared" si="249"/>
        <v>-8.3333333333333329E-2</v>
      </c>
      <c r="N71" s="454">
        <f t="shared" si="249"/>
        <v>-8.3333333333333329E-2</v>
      </c>
      <c r="O71" s="454">
        <f t="shared" si="249"/>
        <v>-8.3333333333333329E-2</v>
      </c>
      <c r="P71" s="455">
        <f>-1/12</f>
        <v>-8.3333333333333329E-2</v>
      </c>
      <c r="Q71" s="454">
        <f>AC71</f>
        <v>-8.3333333333333329E-2</v>
      </c>
      <c r="R71" s="454">
        <f t="shared" ref="R71:AB71" si="250">Q71</f>
        <v>-8.3333333333333329E-2</v>
      </c>
      <c r="S71" s="454">
        <f t="shared" si="250"/>
        <v>-8.3333333333333329E-2</v>
      </c>
      <c r="T71" s="454">
        <f t="shared" si="250"/>
        <v>-8.3333333333333329E-2</v>
      </c>
      <c r="U71" s="454">
        <f t="shared" si="250"/>
        <v>-8.3333333333333329E-2</v>
      </c>
      <c r="V71" s="454">
        <f t="shared" si="250"/>
        <v>-8.3333333333333329E-2</v>
      </c>
      <c r="W71" s="454">
        <f t="shared" si="250"/>
        <v>-8.3333333333333329E-2</v>
      </c>
      <c r="X71" s="454">
        <f t="shared" si="250"/>
        <v>-8.3333333333333329E-2</v>
      </c>
      <c r="Y71" s="454">
        <f t="shared" si="250"/>
        <v>-8.3333333333333329E-2</v>
      </c>
      <c r="Z71" s="454">
        <f t="shared" si="250"/>
        <v>-8.3333333333333329E-2</v>
      </c>
      <c r="AA71" s="454">
        <f t="shared" si="250"/>
        <v>-8.3333333333333329E-2</v>
      </c>
      <c r="AB71" s="454">
        <f t="shared" si="250"/>
        <v>-8.3333333333333329E-2</v>
      </c>
      <c r="AC71" s="455">
        <f>-1/12</f>
        <v>-8.3333333333333329E-2</v>
      </c>
      <c r="AD71" s="454">
        <f>AP71</f>
        <v>-8.3333333333333329E-2</v>
      </c>
      <c r="AE71" s="454">
        <f t="shared" ref="AE71:AO71" si="251">AD71</f>
        <v>-8.3333333333333329E-2</v>
      </c>
      <c r="AF71" s="454">
        <f t="shared" si="251"/>
        <v>-8.3333333333333329E-2</v>
      </c>
      <c r="AG71" s="454">
        <f t="shared" si="251"/>
        <v>-8.3333333333333329E-2</v>
      </c>
      <c r="AH71" s="454">
        <f t="shared" si="251"/>
        <v>-8.3333333333333329E-2</v>
      </c>
      <c r="AI71" s="454">
        <f t="shared" si="251"/>
        <v>-8.3333333333333329E-2</v>
      </c>
      <c r="AJ71" s="454">
        <f t="shared" si="251"/>
        <v>-8.3333333333333329E-2</v>
      </c>
      <c r="AK71" s="454">
        <f t="shared" si="251"/>
        <v>-8.3333333333333329E-2</v>
      </c>
      <c r="AL71" s="454">
        <f t="shared" si="251"/>
        <v>-8.3333333333333329E-2</v>
      </c>
      <c r="AM71" s="454">
        <f t="shared" si="251"/>
        <v>-8.3333333333333329E-2</v>
      </c>
      <c r="AN71" s="454">
        <f t="shared" si="251"/>
        <v>-8.3333333333333329E-2</v>
      </c>
      <c r="AO71" s="454">
        <f t="shared" si="251"/>
        <v>-8.3333333333333329E-2</v>
      </c>
      <c r="AP71" s="455">
        <f>-1/12</f>
        <v>-8.3333333333333329E-2</v>
      </c>
      <c r="AQ71" s="454">
        <f>BC71</f>
        <v>-8.3333333333333329E-2</v>
      </c>
      <c r="AR71" s="454">
        <f t="shared" ref="AR71:BB71" si="252">AQ71</f>
        <v>-8.3333333333333329E-2</v>
      </c>
      <c r="AS71" s="454">
        <f t="shared" si="252"/>
        <v>-8.3333333333333329E-2</v>
      </c>
      <c r="AT71" s="454">
        <f t="shared" si="252"/>
        <v>-8.3333333333333329E-2</v>
      </c>
      <c r="AU71" s="454">
        <f t="shared" si="252"/>
        <v>-8.3333333333333329E-2</v>
      </c>
      <c r="AV71" s="454">
        <f t="shared" si="252"/>
        <v>-8.3333333333333329E-2</v>
      </c>
      <c r="AW71" s="454">
        <f t="shared" si="252"/>
        <v>-8.3333333333333329E-2</v>
      </c>
      <c r="AX71" s="454">
        <f t="shared" si="252"/>
        <v>-8.3333333333333329E-2</v>
      </c>
      <c r="AY71" s="454">
        <f t="shared" si="252"/>
        <v>-8.3333333333333329E-2</v>
      </c>
      <c r="AZ71" s="454">
        <f t="shared" si="252"/>
        <v>-8.3333333333333329E-2</v>
      </c>
      <c r="BA71" s="454">
        <f t="shared" si="252"/>
        <v>-8.3333333333333329E-2</v>
      </c>
      <c r="BB71" s="454">
        <f t="shared" si="252"/>
        <v>-8.3333333333333329E-2</v>
      </c>
      <c r="BC71" s="455">
        <f>-1/12</f>
        <v>-8.3333333333333329E-2</v>
      </c>
      <c r="BD71" s="454">
        <f>BP71</f>
        <v>-8.3333333333333329E-2</v>
      </c>
      <c r="BE71" s="454">
        <f t="shared" ref="BE71:BO71" si="253">BD71</f>
        <v>-8.3333333333333329E-2</v>
      </c>
      <c r="BF71" s="454">
        <f t="shared" si="253"/>
        <v>-8.3333333333333329E-2</v>
      </c>
      <c r="BG71" s="454">
        <f t="shared" si="253"/>
        <v>-8.3333333333333329E-2</v>
      </c>
      <c r="BH71" s="454">
        <f t="shared" si="253"/>
        <v>-8.3333333333333329E-2</v>
      </c>
      <c r="BI71" s="454">
        <f t="shared" si="253"/>
        <v>-8.3333333333333329E-2</v>
      </c>
      <c r="BJ71" s="454">
        <f t="shared" si="253"/>
        <v>-8.3333333333333329E-2</v>
      </c>
      <c r="BK71" s="454">
        <f t="shared" si="253"/>
        <v>-8.3333333333333329E-2</v>
      </c>
      <c r="BL71" s="454">
        <f t="shared" si="253"/>
        <v>-8.3333333333333329E-2</v>
      </c>
      <c r="BM71" s="454">
        <f t="shared" si="253"/>
        <v>-8.3333333333333329E-2</v>
      </c>
      <c r="BN71" s="454">
        <f t="shared" si="253"/>
        <v>-8.3333333333333329E-2</v>
      </c>
      <c r="BO71" s="454">
        <f t="shared" si="253"/>
        <v>-8.3333333333333329E-2</v>
      </c>
      <c r="BP71" s="455">
        <f>-1/12</f>
        <v>-8.3333333333333329E-2</v>
      </c>
      <c r="CF71" s="456" t="s">
        <v>1004</v>
      </c>
      <c r="CG71" s="454" t="s">
        <v>231</v>
      </c>
    </row>
    <row r="72" spans="1:85" s="454" customFormat="1" ht="10.199999999999999">
      <c r="A72" s="456" t="s">
        <v>620</v>
      </c>
      <c r="B72" s="454" t="s">
        <v>231</v>
      </c>
      <c r="D72" s="454">
        <f>P72</f>
        <v>-4.1666666666666664E-2</v>
      </c>
      <c r="E72" s="454">
        <f t="shared" ref="E72:O72" si="254">D72</f>
        <v>-4.1666666666666664E-2</v>
      </c>
      <c r="F72" s="454">
        <f t="shared" si="254"/>
        <v>-4.1666666666666664E-2</v>
      </c>
      <c r="G72" s="454">
        <f t="shared" si="254"/>
        <v>-4.1666666666666664E-2</v>
      </c>
      <c r="H72" s="454">
        <f t="shared" si="254"/>
        <v>-4.1666666666666664E-2</v>
      </c>
      <c r="I72" s="454">
        <f t="shared" si="254"/>
        <v>-4.1666666666666664E-2</v>
      </c>
      <c r="J72" s="454">
        <f t="shared" si="254"/>
        <v>-4.1666666666666664E-2</v>
      </c>
      <c r="K72" s="454">
        <f t="shared" si="254"/>
        <v>-4.1666666666666664E-2</v>
      </c>
      <c r="L72" s="454">
        <f t="shared" si="254"/>
        <v>-4.1666666666666664E-2</v>
      </c>
      <c r="M72" s="454">
        <f t="shared" si="254"/>
        <v>-4.1666666666666664E-2</v>
      </c>
      <c r="N72" s="454">
        <f t="shared" si="254"/>
        <v>-4.1666666666666664E-2</v>
      </c>
      <c r="O72" s="454">
        <f t="shared" si="254"/>
        <v>-4.1666666666666664E-2</v>
      </c>
      <c r="P72" s="455">
        <f>-1/24</f>
        <v>-4.1666666666666664E-2</v>
      </c>
      <c r="Q72" s="454">
        <f>AC72</f>
        <v>-4.1666666666666664E-2</v>
      </c>
      <c r="R72" s="454">
        <f t="shared" ref="R72:AB72" si="255">Q72</f>
        <v>-4.1666666666666664E-2</v>
      </c>
      <c r="S72" s="454">
        <f t="shared" si="255"/>
        <v>-4.1666666666666664E-2</v>
      </c>
      <c r="T72" s="454">
        <f t="shared" si="255"/>
        <v>-4.1666666666666664E-2</v>
      </c>
      <c r="U72" s="454">
        <f t="shared" si="255"/>
        <v>-4.1666666666666664E-2</v>
      </c>
      <c r="V72" s="454">
        <f t="shared" si="255"/>
        <v>-4.1666666666666664E-2</v>
      </c>
      <c r="W72" s="454">
        <f t="shared" si="255"/>
        <v>-4.1666666666666664E-2</v>
      </c>
      <c r="X72" s="454">
        <f t="shared" si="255"/>
        <v>-4.1666666666666664E-2</v>
      </c>
      <c r="Y72" s="454">
        <f t="shared" si="255"/>
        <v>-4.1666666666666664E-2</v>
      </c>
      <c r="Z72" s="454">
        <f t="shared" si="255"/>
        <v>-4.1666666666666664E-2</v>
      </c>
      <c r="AA72" s="454">
        <f t="shared" si="255"/>
        <v>-4.1666666666666664E-2</v>
      </c>
      <c r="AB72" s="454">
        <f t="shared" si="255"/>
        <v>-4.1666666666666664E-2</v>
      </c>
      <c r="AC72" s="455">
        <f>-1/24</f>
        <v>-4.1666666666666664E-2</v>
      </c>
      <c r="AD72" s="454">
        <f>AP72</f>
        <v>-4.1666666666666664E-2</v>
      </c>
      <c r="AE72" s="454">
        <f t="shared" ref="AE72:AO72" si="256">AD72</f>
        <v>-4.1666666666666664E-2</v>
      </c>
      <c r="AF72" s="454">
        <f t="shared" si="256"/>
        <v>-4.1666666666666664E-2</v>
      </c>
      <c r="AG72" s="454">
        <f t="shared" si="256"/>
        <v>-4.1666666666666664E-2</v>
      </c>
      <c r="AH72" s="454">
        <f t="shared" si="256"/>
        <v>-4.1666666666666664E-2</v>
      </c>
      <c r="AI72" s="454">
        <f t="shared" si="256"/>
        <v>-4.1666666666666664E-2</v>
      </c>
      <c r="AJ72" s="454">
        <f t="shared" si="256"/>
        <v>-4.1666666666666664E-2</v>
      </c>
      <c r="AK72" s="454">
        <f t="shared" si="256"/>
        <v>-4.1666666666666664E-2</v>
      </c>
      <c r="AL72" s="454">
        <f t="shared" si="256"/>
        <v>-4.1666666666666664E-2</v>
      </c>
      <c r="AM72" s="454">
        <f t="shared" si="256"/>
        <v>-4.1666666666666664E-2</v>
      </c>
      <c r="AN72" s="454">
        <f t="shared" si="256"/>
        <v>-4.1666666666666664E-2</v>
      </c>
      <c r="AO72" s="454">
        <f t="shared" si="256"/>
        <v>-4.1666666666666664E-2</v>
      </c>
      <c r="AP72" s="455">
        <f>-1/24</f>
        <v>-4.1666666666666664E-2</v>
      </c>
      <c r="AQ72" s="454">
        <f>BC72</f>
        <v>-4.1666666666666664E-2</v>
      </c>
      <c r="AR72" s="454">
        <f t="shared" ref="AR72:BB72" si="257">AQ72</f>
        <v>-4.1666666666666664E-2</v>
      </c>
      <c r="AS72" s="454">
        <f t="shared" si="257"/>
        <v>-4.1666666666666664E-2</v>
      </c>
      <c r="AT72" s="454">
        <f t="shared" si="257"/>
        <v>-4.1666666666666664E-2</v>
      </c>
      <c r="AU72" s="454">
        <f t="shared" si="257"/>
        <v>-4.1666666666666664E-2</v>
      </c>
      <c r="AV72" s="454">
        <f t="shared" si="257"/>
        <v>-4.1666666666666664E-2</v>
      </c>
      <c r="AW72" s="454">
        <f t="shared" si="257"/>
        <v>-4.1666666666666664E-2</v>
      </c>
      <c r="AX72" s="454">
        <f t="shared" si="257"/>
        <v>-4.1666666666666664E-2</v>
      </c>
      <c r="AY72" s="454">
        <f t="shared" si="257"/>
        <v>-4.1666666666666664E-2</v>
      </c>
      <c r="AZ72" s="454">
        <f t="shared" si="257"/>
        <v>-4.1666666666666664E-2</v>
      </c>
      <c r="BA72" s="454">
        <f t="shared" si="257"/>
        <v>-4.1666666666666664E-2</v>
      </c>
      <c r="BB72" s="454">
        <f t="shared" si="257"/>
        <v>-4.1666666666666664E-2</v>
      </c>
      <c r="BC72" s="455">
        <f>-1/24</f>
        <v>-4.1666666666666664E-2</v>
      </c>
      <c r="BD72" s="454">
        <f>BP72</f>
        <v>-4.1666666666666664E-2</v>
      </c>
      <c r="BE72" s="454">
        <f t="shared" ref="BE72:BO72" si="258">BD72</f>
        <v>-4.1666666666666664E-2</v>
      </c>
      <c r="BF72" s="454">
        <f t="shared" si="258"/>
        <v>-4.1666666666666664E-2</v>
      </c>
      <c r="BG72" s="454">
        <f t="shared" si="258"/>
        <v>-4.1666666666666664E-2</v>
      </c>
      <c r="BH72" s="454">
        <f t="shared" si="258"/>
        <v>-4.1666666666666664E-2</v>
      </c>
      <c r="BI72" s="454">
        <f t="shared" si="258"/>
        <v>-4.1666666666666664E-2</v>
      </c>
      <c r="BJ72" s="454">
        <f t="shared" si="258"/>
        <v>-4.1666666666666664E-2</v>
      </c>
      <c r="BK72" s="454">
        <f t="shared" si="258"/>
        <v>-4.1666666666666664E-2</v>
      </c>
      <c r="BL72" s="454">
        <f t="shared" si="258"/>
        <v>-4.1666666666666664E-2</v>
      </c>
      <c r="BM72" s="454">
        <f t="shared" si="258"/>
        <v>-4.1666666666666664E-2</v>
      </c>
      <c r="BN72" s="454">
        <f t="shared" si="258"/>
        <v>-4.1666666666666664E-2</v>
      </c>
      <c r="BO72" s="454">
        <f t="shared" si="258"/>
        <v>-4.1666666666666664E-2</v>
      </c>
      <c r="BP72" s="455">
        <f>-1/24</f>
        <v>-4.1666666666666664E-2</v>
      </c>
      <c r="CF72" s="456" t="s">
        <v>1005</v>
      </c>
      <c r="CG72" s="454" t="s">
        <v>231</v>
      </c>
    </row>
    <row r="73" spans="1:85">
      <c r="P73" s="349"/>
      <c r="AC73" s="349"/>
      <c r="AP73" s="349"/>
      <c r="BC73" s="349"/>
      <c r="BP73" s="349"/>
    </row>
    <row r="74" spans="1:85">
      <c r="A74" s="4" t="s">
        <v>613</v>
      </c>
      <c r="B74" s="445" t="s">
        <v>231</v>
      </c>
      <c r="C74" s="433">
        <f>'packages (indiv)'!C116</f>
        <v>0.5</v>
      </c>
      <c r="D74" s="433">
        <f>(P74-C74)/12+C74</f>
        <v>0.5</v>
      </c>
      <c r="E74" s="433">
        <f>(P74-C74)/12+D74</f>
        <v>0.5</v>
      </c>
      <c r="F74" s="433">
        <f>(P74-C74)/12+E74</f>
        <v>0.5</v>
      </c>
      <c r="G74" s="433">
        <f>(P74-C74)/12+F74</f>
        <v>0.5</v>
      </c>
      <c r="H74" s="433">
        <f>(P74-C74)/12+G74</f>
        <v>0.5</v>
      </c>
      <c r="I74" s="433">
        <f>(P74-C74)/12+H74</f>
        <v>0.5</v>
      </c>
      <c r="J74" s="433">
        <f>(P74-C74)/12+I74</f>
        <v>0.5</v>
      </c>
      <c r="K74" s="433">
        <f>(P74-C74)/12+J74</f>
        <v>0.5</v>
      </c>
      <c r="L74" s="433">
        <f>(P74-C74)/12+K74</f>
        <v>0.5</v>
      </c>
      <c r="M74" s="433">
        <f>(P74-C74)/12+L74</f>
        <v>0.5</v>
      </c>
      <c r="N74" s="433">
        <f>(P74-C74)/12+M74</f>
        <v>0.5</v>
      </c>
      <c r="O74" s="433">
        <f>(P74-C74)/12+N74</f>
        <v>0.5</v>
      </c>
      <c r="P74" s="444">
        <f>'packages (indiv)'!P116</f>
        <v>0.5</v>
      </c>
      <c r="Q74" s="433">
        <f>(AC74-P74)/12+P74</f>
        <v>0.5</v>
      </c>
      <c r="R74" s="433">
        <f>(AC74-P74)/12+Q74</f>
        <v>0.5</v>
      </c>
      <c r="S74" s="433">
        <f>(AC74-P74)/12+R74</f>
        <v>0.5</v>
      </c>
      <c r="T74" s="433">
        <f>(AC74-P74)/12+S74</f>
        <v>0.5</v>
      </c>
      <c r="U74" s="433">
        <f>(AC74-P74)/12+T74</f>
        <v>0.5</v>
      </c>
      <c r="V74" s="433">
        <f>(AC74-P74)/12+U74</f>
        <v>0.5</v>
      </c>
      <c r="W74" s="433">
        <f>(AC74-P74)/12+V74</f>
        <v>0.5</v>
      </c>
      <c r="X74" s="433">
        <f>(AC74-P74)/12+W74</f>
        <v>0.5</v>
      </c>
      <c r="Y74" s="433">
        <f>(AC74-P74)/12+X74</f>
        <v>0.5</v>
      </c>
      <c r="Z74" s="433">
        <f>(AC74-P74)/12+Y74</f>
        <v>0.5</v>
      </c>
      <c r="AA74" s="433">
        <f>(AC74-P74)/12+Z74</f>
        <v>0.5</v>
      </c>
      <c r="AB74" s="433">
        <f>(AC74-P74)/12+AA74</f>
        <v>0.5</v>
      </c>
      <c r="AC74" s="444">
        <f>'packages (indiv)'!AC116</f>
        <v>0.5</v>
      </c>
      <c r="AD74" s="433">
        <f>(AP74-AC74)/12+AC74</f>
        <v>0.5</v>
      </c>
      <c r="AE74" s="433">
        <f>(AP74-AC74)/12+AD74</f>
        <v>0.5</v>
      </c>
      <c r="AF74" s="433">
        <f>(AP74-AC74)/12+AE74</f>
        <v>0.5</v>
      </c>
      <c r="AG74" s="433">
        <f>(AP74-AC74)/12+AF74</f>
        <v>0.5</v>
      </c>
      <c r="AH74" s="433">
        <f>(AP74-AC74)/12+AG74</f>
        <v>0.5</v>
      </c>
      <c r="AI74" s="433">
        <f>(AP74-AC74)/12+AH74</f>
        <v>0.5</v>
      </c>
      <c r="AJ74" s="433">
        <f>(AP74-AC74)/12+AI74</f>
        <v>0.5</v>
      </c>
      <c r="AK74" s="433">
        <f>(AP74-AC74)/12+AJ74</f>
        <v>0.5</v>
      </c>
      <c r="AL74" s="433">
        <f>(AP74-AC74)/12+AK74</f>
        <v>0.5</v>
      </c>
      <c r="AM74" s="433">
        <f>(AP74-AC74)/12+AL74</f>
        <v>0.5</v>
      </c>
      <c r="AN74" s="433">
        <f>(AP74-AC74)/12+AM74</f>
        <v>0.5</v>
      </c>
      <c r="AO74" s="433">
        <f>(AP74-AC74)/12+AN74</f>
        <v>0.5</v>
      </c>
      <c r="AP74" s="444">
        <f>'packages (indiv)'!AP116</f>
        <v>0.5</v>
      </c>
      <c r="AQ74" s="433">
        <f>(BC74-AP74)/12+AP74</f>
        <v>0.5</v>
      </c>
      <c r="AR74" s="433">
        <f>(BC74-AP74)/12+AQ74</f>
        <v>0.5</v>
      </c>
      <c r="AS74" s="433">
        <f>(BC74-AP74)/12+AR74</f>
        <v>0.5</v>
      </c>
      <c r="AT74" s="433">
        <f>(BC74-AP74)/12+AS74</f>
        <v>0.5</v>
      </c>
      <c r="AU74" s="433">
        <f>(BC74-AP74)/12+AT74</f>
        <v>0.5</v>
      </c>
      <c r="AV74" s="433">
        <f>(BC74-AP74)/12+AU74</f>
        <v>0.5</v>
      </c>
      <c r="AW74" s="433">
        <f>(BC74-AP74)/12+AV74</f>
        <v>0.5</v>
      </c>
      <c r="AX74" s="433">
        <f>(BC74-AP74)/12+AW74</f>
        <v>0.5</v>
      </c>
      <c r="AY74" s="433">
        <f>(BC74-AP74)/12+AX74</f>
        <v>0.5</v>
      </c>
      <c r="AZ74" s="433">
        <f>(BC74-AP74)/12+AY74</f>
        <v>0.5</v>
      </c>
      <c r="BA74" s="433">
        <f>(BC74-AP74)/12+AZ74</f>
        <v>0.5</v>
      </c>
      <c r="BB74" s="433">
        <f>(BC74-AP74)/12+BA74</f>
        <v>0.5</v>
      </c>
      <c r="BC74" s="444">
        <f>'packages (indiv)'!BC116</f>
        <v>0.5</v>
      </c>
      <c r="BD74" s="433">
        <f>(BP74-BC74)/12+BC74</f>
        <v>0.5</v>
      </c>
      <c r="BE74" s="433">
        <f>(BP74-BC74)/12+BD74</f>
        <v>0.5</v>
      </c>
      <c r="BF74" s="433">
        <f>(BP74-BC74)/12+BE74</f>
        <v>0.5</v>
      </c>
      <c r="BG74" s="433">
        <f>(BP74-BC74)/12+BF74</f>
        <v>0.5</v>
      </c>
      <c r="BH74" s="433">
        <f>(BP74-BC74)/12+BG74</f>
        <v>0.5</v>
      </c>
      <c r="BI74" s="433">
        <f>(BP74-BC74)/12+BH74</f>
        <v>0.5</v>
      </c>
      <c r="BJ74" s="433">
        <f>(BP74-BC74)/12+BI74</f>
        <v>0.5</v>
      </c>
      <c r="BK74" s="433">
        <f>(BP74-BC74)/12+BJ74</f>
        <v>0.5</v>
      </c>
      <c r="BL74" s="433">
        <f>(BP74-BC74)/12+BK74</f>
        <v>0.5</v>
      </c>
      <c r="BM74" s="433">
        <f>(BP74-BC74)/12+BL74</f>
        <v>0.5</v>
      </c>
      <c r="BN74" s="433">
        <f>(BP74-BC74)/12+BM74</f>
        <v>0.5</v>
      </c>
      <c r="BO74" s="433">
        <f>(BP74-BC74)/12+BN74</f>
        <v>0.5</v>
      </c>
      <c r="BP74" s="444">
        <f>'packages (indiv)'!BP116</f>
        <v>0.5</v>
      </c>
      <c r="CF74" s="4" t="s">
        <v>1010</v>
      </c>
      <c r="CG74" s="445" t="s">
        <v>231</v>
      </c>
    </row>
    <row r="75" spans="1:85" s="293" customFormat="1">
      <c r="A75" s="293" t="s">
        <v>705</v>
      </c>
      <c r="B75" s="295" t="s">
        <v>231</v>
      </c>
      <c r="C75" s="68"/>
      <c r="D75" s="293">
        <f>P75</f>
        <v>0.44</v>
      </c>
      <c r="E75" s="293">
        <f t="shared" ref="E75:O75" si="259">D75</f>
        <v>0.44</v>
      </c>
      <c r="F75" s="293">
        <f t="shared" si="259"/>
        <v>0.44</v>
      </c>
      <c r="G75" s="293">
        <f t="shared" si="259"/>
        <v>0.44</v>
      </c>
      <c r="H75" s="293">
        <f t="shared" si="259"/>
        <v>0.44</v>
      </c>
      <c r="I75" s="293">
        <f t="shared" si="259"/>
        <v>0.44</v>
      </c>
      <c r="J75" s="293">
        <f t="shared" si="259"/>
        <v>0.44</v>
      </c>
      <c r="K75" s="293">
        <f t="shared" si="259"/>
        <v>0.44</v>
      </c>
      <c r="L75" s="293">
        <f t="shared" si="259"/>
        <v>0.44</v>
      </c>
      <c r="M75" s="293">
        <f t="shared" si="259"/>
        <v>0.44</v>
      </c>
      <c r="N75" s="293">
        <f t="shared" si="259"/>
        <v>0.44</v>
      </c>
      <c r="O75" s="293">
        <f t="shared" si="259"/>
        <v>0.44</v>
      </c>
      <c r="P75" s="350">
        <v>0.44</v>
      </c>
      <c r="Q75" s="293">
        <f>AC75</f>
        <v>0.44</v>
      </c>
      <c r="R75" s="293">
        <f t="shared" ref="R75:AB75" si="260">Q75</f>
        <v>0.44</v>
      </c>
      <c r="S75" s="293">
        <f t="shared" si="260"/>
        <v>0.44</v>
      </c>
      <c r="T75" s="293">
        <f t="shared" si="260"/>
        <v>0.44</v>
      </c>
      <c r="U75" s="293">
        <f t="shared" si="260"/>
        <v>0.44</v>
      </c>
      <c r="V75" s="293">
        <f t="shared" si="260"/>
        <v>0.44</v>
      </c>
      <c r="W75" s="293">
        <f t="shared" si="260"/>
        <v>0.44</v>
      </c>
      <c r="X75" s="293">
        <f t="shared" si="260"/>
        <v>0.44</v>
      </c>
      <c r="Y75" s="293">
        <f t="shared" si="260"/>
        <v>0.44</v>
      </c>
      <c r="Z75" s="293">
        <f t="shared" si="260"/>
        <v>0.44</v>
      </c>
      <c r="AA75" s="293">
        <f t="shared" si="260"/>
        <v>0.44</v>
      </c>
      <c r="AB75" s="293">
        <f t="shared" si="260"/>
        <v>0.44</v>
      </c>
      <c r="AC75" s="350">
        <f>P75</f>
        <v>0.44</v>
      </c>
      <c r="AD75" s="293">
        <f>AP75</f>
        <v>0.44</v>
      </c>
      <c r="AE75" s="293">
        <f t="shared" ref="AE75:AO75" si="261">AD75</f>
        <v>0.44</v>
      </c>
      <c r="AF75" s="293">
        <f t="shared" si="261"/>
        <v>0.44</v>
      </c>
      <c r="AG75" s="293">
        <f t="shared" si="261"/>
        <v>0.44</v>
      </c>
      <c r="AH75" s="293">
        <f t="shared" si="261"/>
        <v>0.44</v>
      </c>
      <c r="AI75" s="293">
        <f t="shared" si="261"/>
        <v>0.44</v>
      </c>
      <c r="AJ75" s="293">
        <f t="shared" si="261"/>
        <v>0.44</v>
      </c>
      <c r="AK75" s="293">
        <f t="shared" si="261"/>
        <v>0.44</v>
      </c>
      <c r="AL75" s="293">
        <f t="shared" si="261"/>
        <v>0.44</v>
      </c>
      <c r="AM75" s="293">
        <f t="shared" si="261"/>
        <v>0.44</v>
      </c>
      <c r="AN75" s="293">
        <f t="shared" si="261"/>
        <v>0.44</v>
      </c>
      <c r="AO75" s="293">
        <f t="shared" si="261"/>
        <v>0.44</v>
      </c>
      <c r="AP75" s="350">
        <f>AC75</f>
        <v>0.44</v>
      </c>
      <c r="AQ75" s="293">
        <f>BC75</f>
        <v>0.44</v>
      </c>
      <c r="AR75" s="293">
        <f t="shared" ref="AR75:BB75" si="262">AQ75</f>
        <v>0.44</v>
      </c>
      <c r="AS75" s="293">
        <f t="shared" si="262"/>
        <v>0.44</v>
      </c>
      <c r="AT75" s="293">
        <f t="shared" si="262"/>
        <v>0.44</v>
      </c>
      <c r="AU75" s="293">
        <f t="shared" si="262"/>
        <v>0.44</v>
      </c>
      <c r="AV75" s="293">
        <f t="shared" si="262"/>
        <v>0.44</v>
      </c>
      <c r="AW75" s="293">
        <f t="shared" si="262"/>
        <v>0.44</v>
      </c>
      <c r="AX75" s="293">
        <f t="shared" si="262"/>
        <v>0.44</v>
      </c>
      <c r="AY75" s="293">
        <f t="shared" si="262"/>
        <v>0.44</v>
      </c>
      <c r="AZ75" s="293">
        <f t="shared" si="262"/>
        <v>0.44</v>
      </c>
      <c r="BA75" s="293">
        <f t="shared" si="262"/>
        <v>0.44</v>
      </c>
      <c r="BB75" s="293">
        <f t="shared" si="262"/>
        <v>0.44</v>
      </c>
      <c r="BC75" s="350">
        <f>AP75</f>
        <v>0.44</v>
      </c>
      <c r="BD75" s="293">
        <f>BP75</f>
        <v>0.44</v>
      </c>
      <c r="BE75" s="293">
        <f t="shared" ref="BE75:BO75" si="263">BD75</f>
        <v>0.44</v>
      </c>
      <c r="BF75" s="293">
        <f t="shared" si="263"/>
        <v>0.44</v>
      </c>
      <c r="BG75" s="293">
        <f t="shared" si="263"/>
        <v>0.44</v>
      </c>
      <c r="BH75" s="293">
        <f t="shared" si="263"/>
        <v>0.44</v>
      </c>
      <c r="BI75" s="293">
        <f t="shared" si="263"/>
        <v>0.44</v>
      </c>
      <c r="BJ75" s="293">
        <f t="shared" si="263"/>
        <v>0.44</v>
      </c>
      <c r="BK75" s="293">
        <f t="shared" si="263"/>
        <v>0.44</v>
      </c>
      <c r="BL75" s="293">
        <f t="shared" si="263"/>
        <v>0.44</v>
      </c>
      <c r="BM75" s="293">
        <f t="shared" si="263"/>
        <v>0.44</v>
      </c>
      <c r="BN75" s="293">
        <f t="shared" si="263"/>
        <v>0.44</v>
      </c>
      <c r="BO75" s="293">
        <f t="shared" si="263"/>
        <v>0.44</v>
      </c>
      <c r="BP75" s="350">
        <f>BC75</f>
        <v>0.44</v>
      </c>
      <c r="CF75" s="293" t="s">
        <v>1071</v>
      </c>
      <c r="CG75" s="295" t="s">
        <v>231</v>
      </c>
    </row>
    <row r="76" spans="1:85" s="293" customFormat="1">
      <c r="A76" s="293" t="s">
        <v>704</v>
      </c>
      <c r="B76" s="295" t="s">
        <v>231</v>
      </c>
      <c r="C76" s="68"/>
      <c r="D76" s="293">
        <f>P76</f>
        <v>0</v>
      </c>
      <c r="E76" s="293">
        <f t="shared" ref="E76:O76" si="264">D76</f>
        <v>0</v>
      </c>
      <c r="F76" s="293">
        <f t="shared" si="264"/>
        <v>0</v>
      </c>
      <c r="G76" s="293">
        <f t="shared" si="264"/>
        <v>0</v>
      </c>
      <c r="H76" s="293">
        <f t="shared" si="264"/>
        <v>0</v>
      </c>
      <c r="I76" s="293">
        <f t="shared" si="264"/>
        <v>0</v>
      </c>
      <c r="J76" s="293">
        <f t="shared" si="264"/>
        <v>0</v>
      </c>
      <c r="K76" s="293">
        <f t="shared" si="264"/>
        <v>0</v>
      </c>
      <c r="L76" s="293">
        <f t="shared" si="264"/>
        <v>0</v>
      </c>
      <c r="M76" s="293">
        <f t="shared" si="264"/>
        <v>0</v>
      </c>
      <c r="N76" s="293">
        <f t="shared" si="264"/>
        <v>0</v>
      </c>
      <c r="O76" s="293">
        <f t="shared" si="264"/>
        <v>0</v>
      </c>
      <c r="P76" s="350">
        <v>0</v>
      </c>
      <c r="Q76" s="293">
        <f>AC76</f>
        <v>0</v>
      </c>
      <c r="R76" s="293">
        <f t="shared" ref="R76:AB76" si="265">Q76</f>
        <v>0</v>
      </c>
      <c r="S76" s="293">
        <f t="shared" si="265"/>
        <v>0</v>
      </c>
      <c r="T76" s="293">
        <f t="shared" si="265"/>
        <v>0</v>
      </c>
      <c r="U76" s="293">
        <f t="shared" si="265"/>
        <v>0</v>
      </c>
      <c r="V76" s="293">
        <f t="shared" si="265"/>
        <v>0</v>
      </c>
      <c r="W76" s="293">
        <f t="shared" si="265"/>
        <v>0</v>
      </c>
      <c r="X76" s="293">
        <f t="shared" si="265"/>
        <v>0</v>
      </c>
      <c r="Y76" s="293">
        <f t="shared" si="265"/>
        <v>0</v>
      </c>
      <c r="Z76" s="293">
        <f t="shared" si="265"/>
        <v>0</v>
      </c>
      <c r="AA76" s="293">
        <f t="shared" si="265"/>
        <v>0</v>
      </c>
      <c r="AB76" s="293">
        <f t="shared" si="265"/>
        <v>0</v>
      </c>
      <c r="AC76" s="350">
        <f>P76</f>
        <v>0</v>
      </c>
      <c r="AD76" s="293">
        <f>AP76</f>
        <v>0</v>
      </c>
      <c r="AE76" s="293">
        <f t="shared" ref="AE76:AO76" si="266">AD76</f>
        <v>0</v>
      </c>
      <c r="AF76" s="293">
        <f t="shared" si="266"/>
        <v>0</v>
      </c>
      <c r="AG76" s="293">
        <f t="shared" si="266"/>
        <v>0</v>
      </c>
      <c r="AH76" s="293">
        <f t="shared" si="266"/>
        <v>0</v>
      </c>
      <c r="AI76" s="293">
        <f t="shared" si="266"/>
        <v>0</v>
      </c>
      <c r="AJ76" s="293">
        <f t="shared" si="266"/>
        <v>0</v>
      </c>
      <c r="AK76" s="293">
        <f t="shared" si="266"/>
        <v>0</v>
      </c>
      <c r="AL76" s="293">
        <f t="shared" si="266"/>
        <v>0</v>
      </c>
      <c r="AM76" s="293">
        <f t="shared" si="266"/>
        <v>0</v>
      </c>
      <c r="AN76" s="293">
        <f t="shared" si="266"/>
        <v>0</v>
      </c>
      <c r="AO76" s="293">
        <f t="shared" si="266"/>
        <v>0</v>
      </c>
      <c r="AP76" s="350">
        <f>AC76</f>
        <v>0</v>
      </c>
      <c r="AQ76" s="293">
        <f>BC76</f>
        <v>0</v>
      </c>
      <c r="AR76" s="293">
        <f t="shared" ref="AR76:BB76" si="267">AQ76</f>
        <v>0</v>
      </c>
      <c r="AS76" s="293">
        <f t="shared" si="267"/>
        <v>0</v>
      </c>
      <c r="AT76" s="293">
        <f t="shared" si="267"/>
        <v>0</v>
      </c>
      <c r="AU76" s="293">
        <f t="shared" si="267"/>
        <v>0</v>
      </c>
      <c r="AV76" s="293">
        <f t="shared" si="267"/>
        <v>0</v>
      </c>
      <c r="AW76" s="293">
        <f t="shared" si="267"/>
        <v>0</v>
      </c>
      <c r="AX76" s="293">
        <f t="shared" si="267"/>
        <v>0</v>
      </c>
      <c r="AY76" s="293">
        <f t="shared" si="267"/>
        <v>0</v>
      </c>
      <c r="AZ76" s="293">
        <f t="shared" si="267"/>
        <v>0</v>
      </c>
      <c r="BA76" s="293">
        <f t="shared" si="267"/>
        <v>0</v>
      </c>
      <c r="BB76" s="293">
        <f t="shared" si="267"/>
        <v>0</v>
      </c>
      <c r="BC76" s="350">
        <f>AP76</f>
        <v>0</v>
      </c>
      <c r="BD76" s="293">
        <f>BP76</f>
        <v>0</v>
      </c>
      <c r="BE76" s="293">
        <f t="shared" ref="BE76:BO76" si="268">BD76</f>
        <v>0</v>
      </c>
      <c r="BF76" s="293">
        <f t="shared" si="268"/>
        <v>0</v>
      </c>
      <c r="BG76" s="293">
        <f t="shared" si="268"/>
        <v>0</v>
      </c>
      <c r="BH76" s="293">
        <f t="shared" si="268"/>
        <v>0</v>
      </c>
      <c r="BI76" s="293">
        <f t="shared" si="268"/>
        <v>0</v>
      </c>
      <c r="BJ76" s="293">
        <f t="shared" si="268"/>
        <v>0</v>
      </c>
      <c r="BK76" s="293">
        <f t="shared" si="268"/>
        <v>0</v>
      </c>
      <c r="BL76" s="293">
        <f t="shared" si="268"/>
        <v>0</v>
      </c>
      <c r="BM76" s="293">
        <f t="shared" si="268"/>
        <v>0</v>
      </c>
      <c r="BN76" s="293">
        <f t="shared" si="268"/>
        <v>0</v>
      </c>
      <c r="BO76" s="293">
        <f t="shared" si="268"/>
        <v>0</v>
      </c>
      <c r="BP76" s="350">
        <f>BC76</f>
        <v>0</v>
      </c>
      <c r="CF76" s="293" t="s">
        <v>1072</v>
      </c>
      <c r="CG76" s="295" t="s">
        <v>231</v>
      </c>
    </row>
    <row r="77" spans="1:85" s="451" customFormat="1">
      <c r="A77" s="451" t="s">
        <v>703</v>
      </c>
      <c r="B77" s="453" t="s">
        <v>231</v>
      </c>
      <c r="D77" s="451">
        <f t="shared" ref="D77:O77" si="269">D78*D39+D79*D40</f>
        <v>-0.16545416666666668</v>
      </c>
      <c r="E77" s="451">
        <f t="shared" si="269"/>
        <v>-0.16540833333333335</v>
      </c>
      <c r="F77" s="451">
        <f t="shared" si="269"/>
        <v>-0.1653625</v>
      </c>
      <c r="G77" s="451">
        <f t="shared" si="269"/>
        <v>-0.16531666666666667</v>
      </c>
      <c r="H77" s="451">
        <f t="shared" si="269"/>
        <v>-0.16527083333333334</v>
      </c>
      <c r="I77" s="451">
        <f t="shared" si="269"/>
        <v>-0.16522500000000001</v>
      </c>
      <c r="J77" s="451">
        <f t="shared" si="269"/>
        <v>-0.16517916666666668</v>
      </c>
      <c r="K77" s="451">
        <f t="shared" si="269"/>
        <v>-0.16513333333333333</v>
      </c>
      <c r="L77" s="451">
        <f t="shared" si="269"/>
        <v>-0.16508750000000003</v>
      </c>
      <c r="M77" s="451">
        <f t="shared" si="269"/>
        <v>-0.16504166666666667</v>
      </c>
      <c r="N77" s="451">
        <f t="shared" si="269"/>
        <v>-0.16499583333333334</v>
      </c>
      <c r="O77" s="451">
        <f t="shared" si="269"/>
        <v>-0.16494999999999999</v>
      </c>
      <c r="P77" s="452">
        <f>P99/AVERAGE(C36:O36)</f>
        <v>-0.1433961918971364</v>
      </c>
      <c r="Q77" s="451">
        <f t="shared" ref="Q77:AB77" si="270">Q78*Q39+Q79*Q40</f>
        <v>-0.15493625</v>
      </c>
      <c r="R77" s="451">
        <f t="shared" si="270"/>
        <v>-0.15492250000000002</v>
      </c>
      <c r="S77" s="451">
        <f t="shared" si="270"/>
        <v>-0.15490874999999998</v>
      </c>
      <c r="T77" s="451">
        <f t="shared" si="270"/>
        <v>-0.154895</v>
      </c>
      <c r="U77" s="451">
        <f t="shared" si="270"/>
        <v>-0.15488125</v>
      </c>
      <c r="V77" s="451">
        <f t="shared" si="270"/>
        <v>-0.15486749999999999</v>
      </c>
      <c r="W77" s="451">
        <f t="shared" si="270"/>
        <v>-0.15485374999999998</v>
      </c>
      <c r="X77" s="451">
        <f t="shared" si="270"/>
        <v>-0.15483999999999998</v>
      </c>
      <c r="Y77" s="451">
        <f t="shared" si="270"/>
        <v>-0.15482625</v>
      </c>
      <c r="Z77" s="451">
        <f t="shared" si="270"/>
        <v>-0.15481250000000002</v>
      </c>
      <c r="AA77" s="451">
        <f t="shared" si="270"/>
        <v>-0.15479874999999998</v>
      </c>
      <c r="AB77" s="451">
        <f t="shared" si="270"/>
        <v>-0.15478500000000001</v>
      </c>
      <c r="AC77" s="452">
        <f>AC99/AVERAGE(P36:AB36)</f>
        <v>-0.15476638931896847</v>
      </c>
      <c r="AD77" s="451">
        <f t="shared" ref="AD77:AO77" si="271">AD78*AD39+AD79*AD40</f>
        <v>-0.14477124999999999</v>
      </c>
      <c r="AE77" s="451">
        <f t="shared" si="271"/>
        <v>-0.14475749999999998</v>
      </c>
      <c r="AF77" s="451">
        <f t="shared" si="271"/>
        <v>-0.14474374999999998</v>
      </c>
      <c r="AG77" s="451">
        <f t="shared" si="271"/>
        <v>-0.14473</v>
      </c>
      <c r="AH77" s="451">
        <f t="shared" si="271"/>
        <v>-0.14471624999999999</v>
      </c>
      <c r="AI77" s="451">
        <f t="shared" si="271"/>
        <v>-0.14470249999999998</v>
      </c>
      <c r="AJ77" s="451">
        <f t="shared" si="271"/>
        <v>-0.14468875</v>
      </c>
      <c r="AK77" s="451">
        <f t="shared" si="271"/>
        <v>-0.144675</v>
      </c>
      <c r="AL77" s="451">
        <f t="shared" si="271"/>
        <v>-0.14466124999999999</v>
      </c>
      <c r="AM77" s="451">
        <f t="shared" si="271"/>
        <v>-0.14464749999999998</v>
      </c>
      <c r="AN77" s="451">
        <f t="shared" si="271"/>
        <v>-0.14463375000000001</v>
      </c>
      <c r="AO77" s="451">
        <f t="shared" si="271"/>
        <v>-0.14461999999999997</v>
      </c>
      <c r="AP77" s="452">
        <f>AP99/AVERAGE(AC36:AO36)</f>
        <v>-0.14495698282667757</v>
      </c>
      <c r="AQ77" s="451">
        <f t="shared" ref="AQ77:BB77" si="272">AQ78*AQ39+AQ79*AQ40</f>
        <v>-0.13460624999999998</v>
      </c>
      <c r="AR77" s="451">
        <f t="shared" si="272"/>
        <v>-0.13459249999999998</v>
      </c>
      <c r="AS77" s="451">
        <f t="shared" si="272"/>
        <v>-0.13457874999999997</v>
      </c>
      <c r="AT77" s="451">
        <f t="shared" si="272"/>
        <v>-0.13456499999999999</v>
      </c>
      <c r="AU77" s="451">
        <f t="shared" si="272"/>
        <v>-0.13455124999999998</v>
      </c>
      <c r="AV77" s="451">
        <f t="shared" si="272"/>
        <v>-0.13453749999999998</v>
      </c>
      <c r="AW77" s="451">
        <f t="shared" si="272"/>
        <v>-0.13452375</v>
      </c>
      <c r="AX77" s="451">
        <f t="shared" si="272"/>
        <v>-0.13450999999999996</v>
      </c>
      <c r="AY77" s="451">
        <f t="shared" si="272"/>
        <v>-0.13449624999999998</v>
      </c>
      <c r="AZ77" s="451">
        <f t="shared" si="272"/>
        <v>-0.13448249999999998</v>
      </c>
      <c r="BA77" s="451">
        <f t="shared" si="272"/>
        <v>-0.13446875</v>
      </c>
      <c r="BB77" s="451">
        <f t="shared" si="272"/>
        <v>-0.13445499999999999</v>
      </c>
      <c r="BC77" s="452">
        <f>BC99/AVERAGE(AP36:BB36)</f>
        <v>-0.13484909407572726</v>
      </c>
      <c r="BD77" s="451">
        <f t="shared" ref="BD77:BO77" si="273">BD78*BD39+BD79*BD40</f>
        <v>-0.12444124999999999</v>
      </c>
      <c r="BE77" s="451">
        <f t="shared" si="273"/>
        <v>-0.1244275</v>
      </c>
      <c r="BF77" s="451">
        <f t="shared" si="273"/>
        <v>-0.12441375</v>
      </c>
      <c r="BG77" s="451">
        <f t="shared" si="273"/>
        <v>-0.1244</v>
      </c>
      <c r="BH77" s="451">
        <f t="shared" si="273"/>
        <v>-0.12438625</v>
      </c>
      <c r="BI77" s="451">
        <f t="shared" si="273"/>
        <v>-0.12437249999999998</v>
      </c>
      <c r="BJ77" s="451">
        <f t="shared" si="273"/>
        <v>-0.12435874999999999</v>
      </c>
      <c r="BK77" s="451">
        <f t="shared" si="273"/>
        <v>-0.12434500000000001</v>
      </c>
      <c r="BL77" s="451">
        <f t="shared" si="273"/>
        <v>-0.12433124999999999</v>
      </c>
      <c r="BM77" s="451">
        <f t="shared" si="273"/>
        <v>-0.1243175</v>
      </c>
      <c r="BN77" s="451">
        <f t="shared" si="273"/>
        <v>-0.12430374999999999</v>
      </c>
      <c r="BO77" s="451">
        <f t="shared" si="273"/>
        <v>-0.12429000000000001</v>
      </c>
      <c r="BP77" s="452">
        <f>BP99/AVERAGE(BC36:BO36)</f>
        <v>-0.12466494617253845</v>
      </c>
      <c r="CF77" s="451" t="s">
        <v>1107</v>
      </c>
      <c r="CG77" s="453" t="s">
        <v>231</v>
      </c>
    </row>
    <row r="78" spans="1:85" s="439" customFormat="1">
      <c r="A78" s="449" t="s">
        <v>699</v>
      </c>
      <c r="B78" s="446" t="s">
        <v>231</v>
      </c>
      <c r="D78" s="439">
        <f>P78</f>
        <v>-0.16</v>
      </c>
      <c r="E78" s="439">
        <f t="shared" ref="E78:O78" si="274">D78</f>
        <v>-0.16</v>
      </c>
      <c r="F78" s="439">
        <f t="shared" si="274"/>
        <v>-0.16</v>
      </c>
      <c r="G78" s="439">
        <f t="shared" si="274"/>
        <v>-0.16</v>
      </c>
      <c r="H78" s="439">
        <f t="shared" si="274"/>
        <v>-0.16</v>
      </c>
      <c r="I78" s="439">
        <f t="shared" si="274"/>
        <v>-0.16</v>
      </c>
      <c r="J78" s="439">
        <f t="shared" si="274"/>
        <v>-0.16</v>
      </c>
      <c r="K78" s="439">
        <f t="shared" si="274"/>
        <v>-0.16</v>
      </c>
      <c r="L78" s="439">
        <f t="shared" si="274"/>
        <v>-0.16</v>
      </c>
      <c r="M78" s="439">
        <f t="shared" si="274"/>
        <v>-0.16</v>
      </c>
      <c r="N78" s="439">
        <f t="shared" si="274"/>
        <v>-0.16</v>
      </c>
      <c r="O78" s="439">
        <f t="shared" si="274"/>
        <v>-0.16</v>
      </c>
      <c r="P78" s="450">
        <f>P82</f>
        <v>-0.16</v>
      </c>
      <c r="Q78" s="439">
        <f>AC78</f>
        <v>-0.15</v>
      </c>
      <c r="R78" s="439">
        <f t="shared" ref="R78:AB78" si="275">Q78</f>
        <v>-0.15</v>
      </c>
      <c r="S78" s="439">
        <f t="shared" si="275"/>
        <v>-0.15</v>
      </c>
      <c r="T78" s="439">
        <f t="shared" si="275"/>
        <v>-0.15</v>
      </c>
      <c r="U78" s="439">
        <f t="shared" si="275"/>
        <v>-0.15</v>
      </c>
      <c r="V78" s="439">
        <f t="shared" si="275"/>
        <v>-0.15</v>
      </c>
      <c r="W78" s="439">
        <f t="shared" si="275"/>
        <v>-0.15</v>
      </c>
      <c r="X78" s="439">
        <f t="shared" si="275"/>
        <v>-0.15</v>
      </c>
      <c r="Y78" s="439">
        <f t="shared" si="275"/>
        <v>-0.15</v>
      </c>
      <c r="Z78" s="439">
        <f t="shared" si="275"/>
        <v>-0.15</v>
      </c>
      <c r="AA78" s="439">
        <f t="shared" si="275"/>
        <v>-0.15</v>
      </c>
      <c r="AB78" s="439">
        <f t="shared" si="275"/>
        <v>-0.15</v>
      </c>
      <c r="AC78" s="450">
        <f>P78+1%</f>
        <v>-0.15</v>
      </c>
      <c r="AD78" s="439">
        <f>AP78</f>
        <v>-0.13999999999999999</v>
      </c>
      <c r="AE78" s="439">
        <f t="shared" ref="AE78:AO78" si="276">AD78</f>
        <v>-0.13999999999999999</v>
      </c>
      <c r="AF78" s="439">
        <f t="shared" si="276"/>
        <v>-0.13999999999999999</v>
      </c>
      <c r="AG78" s="439">
        <f t="shared" si="276"/>
        <v>-0.13999999999999999</v>
      </c>
      <c r="AH78" s="439">
        <f t="shared" si="276"/>
        <v>-0.13999999999999999</v>
      </c>
      <c r="AI78" s="439">
        <f t="shared" si="276"/>
        <v>-0.13999999999999999</v>
      </c>
      <c r="AJ78" s="439">
        <f t="shared" si="276"/>
        <v>-0.13999999999999999</v>
      </c>
      <c r="AK78" s="439">
        <f t="shared" si="276"/>
        <v>-0.13999999999999999</v>
      </c>
      <c r="AL78" s="439">
        <f t="shared" si="276"/>
        <v>-0.13999999999999999</v>
      </c>
      <c r="AM78" s="439">
        <f t="shared" si="276"/>
        <v>-0.13999999999999999</v>
      </c>
      <c r="AN78" s="439">
        <f t="shared" si="276"/>
        <v>-0.13999999999999999</v>
      </c>
      <c r="AO78" s="439">
        <f t="shared" si="276"/>
        <v>-0.13999999999999999</v>
      </c>
      <c r="AP78" s="450">
        <f>AC78+1%</f>
        <v>-0.13999999999999999</v>
      </c>
      <c r="AQ78" s="439">
        <f>BC78</f>
        <v>-0.12999999999999998</v>
      </c>
      <c r="AR78" s="439">
        <f t="shared" ref="AR78:BB78" si="277">AQ78</f>
        <v>-0.12999999999999998</v>
      </c>
      <c r="AS78" s="439">
        <f t="shared" si="277"/>
        <v>-0.12999999999999998</v>
      </c>
      <c r="AT78" s="439">
        <f t="shared" si="277"/>
        <v>-0.12999999999999998</v>
      </c>
      <c r="AU78" s="439">
        <f t="shared" si="277"/>
        <v>-0.12999999999999998</v>
      </c>
      <c r="AV78" s="439">
        <f t="shared" si="277"/>
        <v>-0.12999999999999998</v>
      </c>
      <c r="AW78" s="439">
        <f t="shared" si="277"/>
        <v>-0.12999999999999998</v>
      </c>
      <c r="AX78" s="439">
        <f t="shared" si="277"/>
        <v>-0.12999999999999998</v>
      </c>
      <c r="AY78" s="439">
        <f t="shared" si="277"/>
        <v>-0.12999999999999998</v>
      </c>
      <c r="AZ78" s="439">
        <f t="shared" si="277"/>
        <v>-0.12999999999999998</v>
      </c>
      <c r="BA78" s="439">
        <f t="shared" si="277"/>
        <v>-0.12999999999999998</v>
      </c>
      <c r="BB78" s="439">
        <f t="shared" si="277"/>
        <v>-0.12999999999999998</v>
      </c>
      <c r="BC78" s="450">
        <f>AP78+1%</f>
        <v>-0.12999999999999998</v>
      </c>
      <c r="BD78" s="439">
        <f>BP78</f>
        <v>-0.11999999999999998</v>
      </c>
      <c r="BE78" s="439">
        <f t="shared" ref="BE78:BO78" si="278">BD78</f>
        <v>-0.11999999999999998</v>
      </c>
      <c r="BF78" s="439">
        <f t="shared" si="278"/>
        <v>-0.11999999999999998</v>
      </c>
      <c r="BG78" s="439">
        <f t="shared" si="278"/>
        <v>-0.11999999999999998</v>
      </c>
      <c r="BH78" s="439">
        <f t="shared" si="278"/>
        <v>-0.11999999999999998</v>
      </c>
      <c r="BI78" s="439">
        <f t="shared" si="278"/>
        <v>-0.11999999999999998</v>
      </c>
      <c r="BJ78" s="439">
        <f t="shared" si="278"/>
        <v>-0.11999999999999998</v>
      </c>
      <c r="BK78" s="439">
        <f t="shared" si="278"/>
        <v>-0.11999999999999998</v>
      </c>
      <c r="BL78" s="439">
        <f t="shared" si="278"/>
        <v>-0.11999999999999998</v>
      </c>
      <c r="BM78" s="439">
        <f t="shared" si="278"/>
        <v>-0.11999999999999998</v>
      </c>
      <c r="BN78" s="439">
        <f t="shared" si="278"/>
        <v>-0.11999999999999998</v>
      </c>
      <c r="BO78" s="439">
        <f t="shared" si="278"/>
        <v>-0.11999999999999998</v>
      </c>
      <c r="BP78" s="450">
        <f>BC78+1%</f>
        <v>-0.11999999999999998</v>
      </c>
      <c r="CF78" s="449" t="s">
        <v>1073</v>
      </c>
      <c r="CG78" s="446" t="s">
        <v>231</v>
      </c>
    </row>
    <row r="79" spans="1:85" s="439" customFormat="1">
      <c r="A79" s="449" t="s">
        <v>698</v>
      </c>
      <c r="B79" s="446" t="s">
        <v>231</v>
      </c>
      <c r="D79" s="439">
        <f t="shared" ref="D79:AI79" si="279">SUMPRODUCT(D80:D83,D41:D44)</f>
        <v>-0.16550000000000001</v>
      </c>
      <c r="E79" s="439">
        <f t="shared" si="279"/>
        <v>-0.16550000000000001</v>
      </c>
      <c r="F79" s="439">
        <f t="shared" si="279"/>
        <v>-0.16550000000000001</v>
      </c>
      <c r="G79" s="439">
        <f t="shared" si="279"/>
        <v>-0.16550000000000001</v>
      </c>
      <c r="H79" s="439">
        <f t="shared" si="279"/>
        <v>-0.16550000000000001</v>
      </c>
      <c r="I79" s="439">
        <f t="shared" si="279"/>
        <v>-0.16550000000000001</v>
      </c>
      <c r="J79" s="439">
        <f t="shared" si="279"/>
        <v>-0.16550000000000001</v>
      </c>
      <c r="K79" s="439">
        <f t="shared" si="279"/>
        <v>-0.16550000000000001</v>
      </c>
      <c r="L79" s="439">
        <f t="shared" si="279"/>
        <v>-0.16550000000000001</v>
      </c>
      <c r="M79" s="439">
        <f t="shared" si="279"/>
        <v>-0.16550000000000001</v>
      </c>
      <c r="N79" s="439">
        <f t="shared" si="279"/>
        <v>-0.16550000000000001</v>
      </c>
      <c r="O79" s="439">
        <f t="shared" si="279"/>
        <v>-0.16550000000000001</v>
      </c>
      <c r="P79" s="410">
        <f t="shared" si="279"/>
        <v>-0.16550000000000001</v>
      </c>
      <c r="Q79" s="439">
        <f t="shared" si="279"/>
        <v>-0.1555</v>
      </c>
      <c r="R79" s="439">
        <f t="shared" si="279"/>
        <v>-0.1555</v>
      </c>
      <c r="S79" s="439">
        <f t="shared" si="279"/>
        <v>-0.1555</v>
      </c>
      <c r="T79" s="439">
        <f t="shared" si="279"/>
        <v>-0.1555</v>
      </c>
      <c r="U79" s="439">
        <f t="shared" si="279"/>
        <v>-0.1555</v>
      </c>
      <c r="V79" s="439">
        <f t="shared" si="279"/>
        <v>-0.1555</v>
      </c>
      <c r="W79" s="439">
        <f t="shared" si="279"/>
        <v>-0.1555</v>
      </c>
      <c r="X79" s="439">
        <f t="shared" si="279"/>
        <v>-0.1555</v>
      </c>
      <c r="Y79" s="439">
        <f t="shared" si="279"/>
        <v>-0.1555</v>
      </c>
      <c r="Z79" s="439">
        <f t="shared" si="279"/>
        <v>-0.1555</v>
      </c>
      <c r="AA79" s="439">
        <f t="shared" si="279"/>
        <v>-0.1555</v>
      </c>
      <c r="AB79" s="439">
        <f t="shared" si="279"/>
        <v>-0.1555</v>
      </c>
      <c r="AC79" s="410">
        <f t="shared" si="279"/>
        <v>-0.1555</v>
      </c>
      <c r="AD79" s="439">
        <f t="shared" si="279"/>
        <v>-0.14549999999999999</v>
      </c>
      <c r="AE79" s="439">
        <f t="shared" si="279"/>
        <v>-0.14549999999999999</v>
      </c>
      <c r="AF79" s="439">
        <f t="shared" si="279"/>
        <v>-0.14549999999999999</v>
      </c>
      <c r="AG79" s="439">
        <f t="shared" si="279"/>
        <v>-0.14549999999999999</v>
      </c>
      <c r="AH79" s="439">
        <f t="shared" si="279"/>
        <v>-0.14549999999999999</v>
      </c>
      <c r="AI79" s="439">
        <f t="shared" si="279"/>
        <v>-0.14549999999999999</v>
      </c>
      <c r="AJ79" s="439">
        <f t="shared" ref="AJ79:BO79" si="280">SUMPRODUCT(AJ80:AJ83,AJ41:AJ44)</f>
        <v>-0.14549999999999999</v>
      </c>
      <c r="AK79" s="439">
        <f t="shared" si="280"/>
        <v>-0.14549999999999999</v>
      </c>
      <c r="AL79" s="439">
        <f t="shared" si="280"/>
        <v>-0.14549999999999999</v>
      </c>
      <c r="AM79" s="439">
        <f t="shared" si="280"/>
        <v>-0.14549999999999999</v>
      </c>
      <c r="AN79" s="439">
        <f t="shared" si="280"/>
        <v>-0.14549999999999999</v>
      </c>
      <c r="AO79" s="439">
        <f t="shared" si="280"/>
        <v>-0.14549999999999999</v>
      </c>
      <c r="AP79" s="410">
        <f t="shared" si="280"/>
        <v>-0.14549999999999999</v>
      </c>
      <c r="AQ79" s="439">
        <f t="shared" si="280"/>
        <v>-0.13549999999999998</v>
      </c>
      <c r="AR79" s="439">
        <f t="shared" si="280"/>
        <v>-0.13549999999999998</v>
      </c>
      <c r="AS79" s="439">
        <f t="shared" si="280"/>
        <v>-0.13549999999999998</v>
      </c>
      <c r="AT79" s="439">
        <f t="shared" si="280"/>
        <v>-0.13549999999999998</v>
      </c>
      <c r="AU79" s="439">
        <f t="shared" si="280"/>
        <v>-0.13549999999999998</v>
      </c>
      <c r="AV79" s="439">
        <f t="shared" si="280"/>
        <v>-0.13549999999999998</v>
      </c>
      <c r="AW79" s="439">
        <f t="shared" si="280"/>
        <v>-0.13549999999999998</v>
      </c>
      <c r="AX79" s="439">
        <f t="shared" si="280"/>
        <v>-0.13549999999999998</v>
      </c>
      <c r="AY79" s="439">
        <f t="shared" si="280"/>
        <v>-0.13549999999999998</v>
      </c>
      <c r="AZ79" s="439">
        <f t="shared" si="280"/>
        <v>-0.13549999999999998</v>
      </c>
      <c r="BA79" s="439">
        <f t="shared" si="280"/>
        <v>-0.13549999999999998</v>
      </c>
      <c r="BB79" s="439">
        <f t="shared" si="280"/>
        <v>-0.13549999999999998</v>
      </c>
      <c r="BC79" s="410">
        <f t="shared" si="280"/>
        <v>-0.13549999999999998</v>
      </c>
      <c r="BD79" s="439">
        <f t="shared" si="280"/>
        <v>-0.1255</v>
      </c>
      <c r="BE79" s="439">
        <f t="shared" si="280"/>
        <v>-0.1255</v>
      </c>
      <c r="BF79" s="439">
        <f t="shared" si="280"/>
        <v>-0.1255</v>
      </c>
      <c r="BG79" s="439">
        <f t="shared" si="280"/>
        <v>-0.1255</v>
      </c>
      <c r="BH79" s="439">
        <f t="shared" si="280"/>
        <v>-0.1255</v>
      </c>
      <c r="BI79" s="439">
        <f t="shared" si="280"/>
        <v>-0.1255</v>
      </c>
      <c r="BJ79" s="439">
        <f t="shared" si="280"/>
        <v>-0.1255</v>
      </c>
      <c r="BK79" s="439">
        <f t="shared" si="280"/>
        <v>-0.1255</v>
      </c>
      <c r="BL79" s="439">
        <f t="shared" si="280"/>
        <v>-0.1255</v>
      </c>
      <c r="BM79" s="439">
        <f t="shared" si="280"/>
        <v>-0.1255</v>
      </c>
      <c r="BN79" s="439">
        <f t="shared" si="280"/>
        <v>-0.1255</v>
      </c>
      <c r="BO79" s="439">
        <f t="shared" si="280"/>
        <v>-0.1255</v>
      </c>
      <c r="BP79" s="410">
        <f t="shared" ref="BP79" si="281">SUMPRODUCT(BP80:BP83,BP41:BP44)</f>
        <v>-0.1255</v>
      </c>
      <c r="CF79" s="370" t="s">
        <v>1074</v>
      </c>
      <c r="CG79" s="446" t="s">
        <v>231</v>
      </c>
    </row>
    <row r="80" spans="1:85" s="446" customFormat="1" ht="10.199999999999999">
      <c r="A80" s="448" t="s">
        <v>138</v>
      </c>
      <c r="B80" s="446" t="s">
        <v>231</v>
      </c>
      <c r="D80" s="446">
        <f>P80</f>
        <v>-0.15</v>
      </c>
      <c r="E80" s="446">
        <f t="shared" ref="E80:O80" si="282">D80</f>
        <v>-0.15</v>
      </c>
      <c r="F80" s="446">
        <f t="shared" si="282"/>
        <v>-0.15</v>
      </c>
      <c r="G80" s="446">
        <f t="shared" si="282"/>
        <v>-0.15</v>
      </c>
      <c r="H80" s="446">
        <f t="shared" si="282"/>
        <v>-0.15</v>
      </c>
      <c r="I80" s="446">
        <f t="shared" si="282"/>
        <v>-0.15</v>
      </c>
      <c r="J80" s="446">
        <f t="shared" si="282"/>
        <v>-0.15</v>
      </c>
      <c r="K80" s="446">
        <f t="shared" si="282"/>
        <v>-0.15</v>
      </c>
      <c r="L80" s="446">
        <f t="shared" si="282"/>
        <v>-0.15</v>
      </c>
      <c r="M80" s="446">
        <f t="shared" si="282"/>
        <v>-0.15</v>
      </c>
      <c r="N80" s="446">
        <f t="shared" si="282"/>
        <v>-0.15</v>
      </c>
      <c r="O80" s="446">
        <f t="shared" si="282"/>
        <v>-0.15</v>
      </c>
      <c r="P80" s="447">
        <f>'Micro_30 (indiv)'!P33</f>
        <v>-0.15</v>
      </c>
      <c r="Q80" s="446">
        <f>AC80</f>
        <v>-0.13999999999999999</v>
      </c>
      <c r="R80" s="446">
        <f t="shared" ref="R80:AB80" si="283">Q80</f>
        <v>-0.13999999999999999</v>
      </c>
      <c r="S80" s="446">
        <f t="shared" si="283"/>
        <v>-0.13999999999999999</v>
      </c>
      <c r="T80" s="446">
        <f t="shared" si="283"/>
        <v>-0.13999999999999999</v>
      </c>
      <c r="U80" s="446">
        <f t="shared" si="283"/>
        <v>-0.13999999999999999</v>
      </c>
      <c r="V80" s="446">
        <f t="shared" si="283"/>
        <v>-0.13999999999999999</v>
      </c>
      <c r="W80" s="446">
        <f t="shared" si="283"/>
        <v>-0.13999999999999999</v>
      </c>
      <c r="X80" s="446">
        <f t="shared" si="283"/>
        <v>-0.13999999999999999</v>
      </c>
      <c r="Y80" s="446">
        <f t="shared" si="283"/>
        <v>-0.13999999999999999</v>
      </c>
      <c r="Z80" s="446">
        <f t="shared" si="283"/>
        <v>-0.13999999999999999</v>
      </c>
      <c r="AA80" s="446">
        <f t="shared" si="283"/>
        <v>-0.13999999999999999</v>
      </c>
      <c r="AB80" s="446">
        <f t="shared" si="283"/>
        <v>-0.13999999999999999</v>
      </c>
      <c r="AC80" s="447">
        <f>P80+1%</f>
        <v>-0.13999999999999999</v>
      </c>
      <c r="AD80" s="446">
        <f>AP80</f>
        <v>-0.12999999999999998</v>
      </c>
      <c r="AE80" s="446">
        <f t="shared" ref="AE80:AO80" si="284">AD80</f>
        <v>-0.12999999999999998</v>
      </c>
      <c r="AF80" s="446">
        <f t="shared" si="284"/>
        <v>-0.12999999999999998</v>
      </c>
      <c r="AG80" s="446">
        <f t="shared" si="284"/>
        <v>-0.12999999999999998</v>
      </c>
      <c r="AH80" s="446">
        <f t="shared" si="284"/>
        <v>-0.12999999999999998</v>
      </c>
      <c r="AI80" s="446">
        <f t="shared" si="284"/>
        <v>-0.12999999999999998</v>
      </c>
      <c r="AJ80" s="446">
        <f t="shared" si="284"/>
        <v>-0.12999999999999998</v>
      </c>
      <c r="AK80" s="446">
        <f t="shared" si="284"/>
        <v>-0.12999999999999998</v>
      </c>
      <c r="AL80" s="446">
        <f t="shared" si="284"/>
        <v>-0.12999999999999998</v>
      </c>
      <c r="AM80" s="446">
        <f t="shared" si="284"/>
        <v>-0.12999999999999998</v>
      </c>
      <c r="AN80" s="446">
        <f t="shared" si="284"/>
        <v>-0.12999999999999998</v>
      </c>
      <c r="AO80" s="446">
        <f t="shared" si="284"/>
        <v>-0.12999999999999998</v>
      </c>
      <c r="AP80" s="447">
        <f>AC80+1%</f>
        <v>-0.12999999999999998</v>
      </c>
      <c r="AQ80" s="446">
        <f>BC80</f>
        <v>-0.11999999999999998</v>
      </c>
      <c r="AR80" s="446">
        <f t="shared" ref="AR80:BB80" si="285">AQ80</f>
        <v>-0.11999999999999998</v>
      </c>
      <c r="AS80" s="446">
        <f t="shared" si="285"/>
        <v>-0.11999999999999998</v>
      </c>
      <c r="AT80" s="446">
        <f t="shared" si="285"/>
        <v>-0.11999999999999998</v>
      </c>
      <c r="AU80" s="446">
        <f t="shared" si="285"/>
        <v>-0.11999999999999998</v>
      </c>
      <c r="AV80" s="446">
        <f t="shared" si="285"/>
        <v>-0.11999999999999998</v>
      </c>
      <c r="AW80" s="446">
        <f t="shared" si="285"/>
        <v>-0.11999999999999998</v>
      </c>
      <c r="AX80" s="446">
        <f t="shared" si="285"/>
        <v>-0.11999999999999998</v>
      </c>
      <c r="AY80" s="446">
        <f t="shared" si="285"/>
        <v>-0.11999999999999998</v>
      </c>
      <c r="AZ80" s="446">
        <f t="shared" si="285"/>
        <v>-0.11999999999999998</v>
      </c>
      <c r="BA80" s="446">
        <f t="shared" si="285"/>
        <v>-0.11999999999999998</v>
      </c>
      <c r="BB80" s="446">
        <f t="shared" si="285"/>
        <v>-0.11999999999999998</v>
      </c>
      <c r="BC80" s="447">
        <f>AP80+1%</f>
        <v>-0.11999999999999998</v>
      </c>
      <c r="BD80" s="446">
        <f>BP80</f>
        <v>-0.10999999999999999</v>
      </c>
      <c r="BE80" s="446">
        <f t="shared" ref="BE80:BO80" si="286">BD80</f>
        <v>-0.10999999999999999</v>
      </c>
      <c r="BF80" s="446">
        <f t="shared" si="286"/>
        <v>-0.10999999999999999</v>
      </c>
      <c r="BG80" s="446">
        <f t="shared" si="286"/>
        <v>-0.10999999999999999</v>
      </c>
      <c r="BH80" s="446">
        <f t="shared" si="286"/>
        <v>-0.10999999999999999</v>
      </c>
      <c r="BI80" s="446">
        <f t="shared" si="286"/>
        <v>-0.10999999999999999</v>
      </c>
      <c r="BJ80" s="446">
        <f t="shared" si="286"/>
        <v>-0.10999999999999999</v>
      </c>
      <c r="BK80" s="446">
        <f t="shared" si="286"/>
        <v>-0.10999999999999999</v>
      </c>
      <c r="BL80" s="446">
        <f t="shared" si="286"/>
        <v>-0.10999999999999999</v>
      </c>
      <c r="BM80" s="446">
        <f t="shared" si="286"/>
        <v>-0.10999999999999999</v>
      </c>
      <c r="BN80" s="446">
        <f t="shared" si="286"/>
        <v>-0.10999999999999999</v>
      </c>
      <c r="BO80" s="446">
        <f t="shared" si="286"/>
        <v>-0.10999999999999999</v>
      </c>
      <c r="BP80" s="447">
        <f>BC80+1%</f>
        <v>-0.10999999999999999</v>
      </c>
      <c r="CF80" s="456" t="s">
        <v>1002</v>
      </c>
      <c r="CG80" s="446" t="s">
        <v>231</v>
      </c>
    </row>
    <row r="81" spans="1:85" s="446" customFormat="1" ht="10.199999999999999">
      <c r="A81" s="448" t="s">
        <v>142</v>
      </c>
      <c r="B81" s="446" t="s">
        <v>231</v>
      </c>
      <c r="D81" s="446">
        <f>P81</f>
        <v>-0.155</v>
      </c>
      <c r="E81" s="446">
        <f t="shared" ref="E81:O81" si="287">D81</f>
        <v>-0.155</v>
      </c>
      <c r="F81" s="446">
        <f t="shared" si="287"/>
        <v>-0.155</v>
      </c>
      <c r="G81" s="446">
        <f t="shared" si="287"/>
        <v>-0.155</v>
      </c>
      <c r="H81" s="446">
        <f t="shared" si="287"/>
        <v>-0.155</v>
      </c>
      <c r="I81" s="446">
        <f t="shared" si="287"/>
        <v>-0.155</v>
      </c>
      <c r="J81" s="446">
        <f t="shared" si="287"/>
        <v>-0.155</v>
      </c>
      <c r="K81" s="446">
        <f t="shared" si="287"/>
        <v>-0.155</v>
      </c>
      <c r="L81" s="446">
        <f t="shared" si="287"/>
        <v>-0.155</v>
      </c>
      <c r="M81" s="446">
        <f t="shared" si="287"/>
        <v>-0.155</v>
      </c>
      <c r="N81" s="446">
        <f t="shared" si="287"/>
        <v>-0.155</v>
      </c>
      <c r="O81" s="446">
        <f t="shared" si="287"/>
        <v>-0.155</v>
      </c>
      <c r="P81" s="447">
        <f>P80-0.5%</f>
        <v>-0.155</v>
      </c>
      <c r="Q81" s="446">
        <f>AC81</f>
        <v>-0.14499999999999999</v>
      </c>
      <c r="R81" s="446">
        <f t="shared" ref="R81:AB81" si="288">Q81</f>
        <v>-0.14499999999999999</v>
      </c>
      <c r="S81" s="446">
        <f t="shared" si="288"/>
        <v>-0.14499999999999999</v>
      </c>
      <c r="T81" s="446">
        <f t="shared" si="288"/>
        <v>-0.14499999999999999</v>
      </c>
      <c r="U81" s="446">
        <f t="shared" si="288"/>
        <v>-0.14499999999999999</v>
      </c>
      <c r="V81" s="446">
        <f t="shared" si="288"/>
        <v>-0.14499999999999999</v>
      </c>
      <c r="W81" s="446">
        <f t="shared" si="288"/>
        <v>-0.14499999999999999</v>
      </c>
      <c r="X81" s="446">
        <f t="shared" si="288"/>
        <v>-0.14499999999999999</v>
      </c>
      <c r="Y81" s="446">
        <f t="shared" si="288"/>
        <v>-0.14499999999999999</v>
      </c>
      <c r="Z81" s="446">
        <f t="shared" si="288"/>
        <v>-0.14499999999999999</v>
      </c>
      <c r="AA81" s="446">
        <f t="shared" si="288"/>
        <v>-0.14499999999999999</v>
      </c>
      <c r="AB81" s="446">
        <f t="shared" si="288"/>
        <v>-0.14499999999999999</v>
      </c>
      <c r="AC81" s="447">
        <f>P81+1%</f>
        <v>-0.14499999999999999</v>
      </c>
      <c r="AD81" s="446">
        <f>AP81</f>
        <v>-0.13499999999999998</v>
      </c>
      <c r="AE81" s="446">
        <f t="shared" ref="AE81:AO81" si="289">AD81</f>
        <v>-0.13499999999999998</v>
      </c>
      <c r="AF81" s="446">
        <f t="shared" si="289"/>
        <v>-0.13499999999999998</v>
      </c>
      <c r="AG81" s="446">
        <f t="shared" si="289"/>
        <v>-0.13499999999999998</v>
      </c>
      <c r="AH81" s="446">
        <f t="shared" si="289"/>
        <v>-0.13499999999999998</v>
      </c>
      <c r="AI81" s="446">
        <f t="shared" si="289"/>
        <v>-0.13499999999999998</v>
      </c>
      <c r="AJ81" s="446">
        <f t="shared" si="289"/>
        <v>-0.13499999999999998</v>
      </c>
      <c r="AK81" s="446">
        <f t="shared" si="289"/>
        <v>-0.13499999999999998</v>
      </c>
      <c r="AL81" s="446">
        <f t="shared" si="289"/>
        <v>-0.13499999999999998</v>
      </c>
      <c r="AM81" s="446">
        <f t="shared" si="289"/>
        <v>-0.13499999999999998</v>
      </c>
      <c r="AN81" s="446">
        <f t="shared" si="289"/>
        <v>-0.13499999999999998</v>
      </c>
      <c r="AO81" s="446">
        <f t="shared" si="289"/>
        <v>-0.13499999999999998</v>
      </c>
      <c r="AP81" s="447">
        <f>AC81+1%</f>
        <v>-0.13499999999999998</v>
      </c>
      <c r="AQ81" s="446">
        <f>BC81</f>
        <v>-0.12499999999999999</v>
      </c>
      <c r="AR81" s="446">
        <f t="shared" ref="AR81:BB81" si="290">AQ81</f>
        <v>-0.12499999999999999</v>
      </c>
      <c r="AS81" s="446">
        <f t="shared" si="290"/>
        <v>-0.12499999999999999</v>
      </c>
      <c r="AT81" s="446">
        <f t="shared" si="290"/>
        <v>-0.12499999999999999</v>
      </c>
      <c r="AU81" s="446">
        <f t="shared" si="290"/>
        <v>-0.12499999999999999</v>
      </c>
      <c r="AV81" s="446">
        <f t="shared" si="290"/>
        <v>-0.12499999999999999</v>
      </c>
      <c r="AW81" s="446">
        <f t="shared" si="290"/>
        <v>-0.12499999999999999</v>
      </c>
      <c r="AX81" s="446">
        <f t="shared" si="290"/>
        <v>-0.12499999999999999</v>
      </c>
      <c r="AY81" s="446">
        <f t="shared" si="290"/>
        <v>-0.12499999999999999</v>
      </c>
      <c r="AZ81" s="446">
        <f t="shared" si="290"/>
        <v>-0.12499999999999999</v>
      </c>
      <c r="BA81" s="446">
        <f t="shared" si="290"/>
        <v>-0.12499999999999999</v>
      </c>
      <c r="BB81" s="446">
        <f t="shared" si="290"/>
        <v>-0.12499999999999999</v>
      </c>
      <c r="BC81" s="447">
        <f>AP81+1%</f>
        <v>-0.12499999999999999</v>
      </c>
      <c r="BD81" s="446">
        <f>BP81</f>
        <v>-0.11499999999999999</v>
      </c>
      <c r="BE81" s="446">
        <f t="shared" ref="BE81:BO81" si="291">BD81</f>
        <v>-0.11499999999999999</v>
      </c>
      <c r="BF81" s="446">
        <f t="shared" si="291"/>
        <v>-0.11499999999999999</v>
      </c>
      <c r="BG81" s="446">
        <f t="shared" si="291"/>
        <v>-0.11499999999999999</v>
      </c>
      <c r="BH81" s="446">
        <f t="shared" si="291"/>
        <v>-0.11499999999999999</v>
      </c>
      <c r="BI81" s="446">
        <f t="shared" si="291"/>
        <v>-0.11499999999999999</v>
      </c>
      <c r="BJ81" s="446">
        <f t="shared" si="291"/>
        <v>-0.11499999999999999</v>
      </c>
      <c r="BK81" s="446">
        <f t="shared" si="291"/>
        <v>-0.11499999999999999</v>
      </c>
      <c r="BL81" s="446">
        <f t="shared" si="291"/>
        <v>-0.11499999999999999</v>
      </c>
      <c r="BM81" s="446">
        <f t="shared" si="291"/>
        <v>-0.11499999999999999</v>
      </c>
      <c r="BN81" s="446">
        <f t="shared" si="291"/>
        <v>-0.11499999999999999</v>
      </c>
      <c r="BO81" s="446">
        <f t="shared" si="291"/>
        <v>-0.11499999999999999</v>
      </c>
      <c r="BP81" s="447">
        <f>BC81+1%</f>
        <v>-0.11499999999999999</v>
      </c>
      <c r="CF81" s="456" t="s">
        <v>1003</v>
      </c>
      <c r="CG81" s="446" t="s">
        <v>231</v>
      </c>
    </row>
    <row r="82" spans="1:85" s="446" customFormat="1" ht="10.199999999999999">
      <c r="A82" s="448" t="s">
        <v>145</v>
      </c>
      <c r="B82" s="446" t="s">
        <v>231</v>
      </c>
      <c r="D82" s="446">
        <f>P82</f>
        <v>-0.16</v>
      </c>
      <c r="E82" s="446">
        <f t="shared" ref="E82:O82" si="292">D82</f>
        <v>-0.16</v>
      </c>
      <c r="F82" s="446">
        <f t="shared" si="292"/>
        <v>-0.16</v>
      </c>
      <c r="G82" s="446">
        <f t="shared" si="292"/>
        <v>-0.16</v>
      </c>
      <c r="H82" s="446">
        <f t="shared" si="292"/>
        <v>-0.16</v>
      </c>
      <c r="I82" s="446">
        <f t="shared" si="292"/>
        <v>-0.16</v>
      </c>
      <c r="J82" s="446">
        <f t="shared" si="292"/>
        <v>-0.16</v>
      </c>
      <c r="K82" s="446">
        <f t="shared" si="292"/>
        <v>-0.16</v>
      </c>
      <c r="L82" s="446">
        <f t="shared" si="292"/>
        <v>-0.16</v>
      </c>
      <c r="M82" s="446">
        <f t="shared" si="292"/>
        <v>-0.16</v>
      </c>
      <c r="N82" s="446">
        <f t="shared" si="292"/>
        <v>-0.16</v>
      </c>
      <c r="O82" s="446">
        <f t="shared" si="292"/>
        <v>-0.16</v>
      </c>
      <c r="P82" s="447">
        <f>P81-0.5%</f>
        <v>-0.16</v>
      </c>
      <c r="Q82" s="446">
        <f>AC82</f>
        <v>-0.15</v>
      </c>
      <c r="R82" s="446">
        <f t="shared" ref="R82:AB82" si="293">Q82</f>
        <v>-0.15</v>
      </c>
      <c r="S82" s="446">
        <f t="shared" si="293"/>
        <v>-0.15</v>
      </c>
      <c r="T82" s="446">
        <f t="shared" si="293"/>
        <v>-0.15</v>
      </c>
      <c r="U82" s="446">
        <f t="shared" si="293"/>
        <v>-0.15</v>
      </c>
      <c r="V82" s="446">
        <f t="shared" si="293"/>
        <v>-0.15</v>
      </c>
      <c r="W82" s="446">
        <f t="shared" si="293"/>
        <v>-0.15</v>
      </c>
      <c r="X82" s="446">
        <f t="shared" si="293"/>
        <v>-0.15</v>
      </c>
      <c r="Y82" s="446">
        <f t="shared" si="293"/>
        <v>-0.15</v>
      </c>
      <c r="Z82" s="446">
        <f t="shared" si="293"/>
        <v>-0.15</v>
      </c>
      <c r="AA82" s="446">
        <f t="shared" si="293"/>
        <v>-0.15</v>
      </c>
      <c r="AB82" s="446">
        <f t="shared" si="293"/>
        <v>-0.15</v>
      </c>
      <c r="AC82" s="447">
        <f>P82+1%</f>
        <v>-0.15</v>
      </c>
      <c r="AD82" s="446">
        <f>AP82</f>
        <v>-0.13999999999999999</v>
      </c>
      <c r="AE82" s="446">
        <f t="shared" ref="AE82:AO82" si="294">AD82</f>
        <v>-0.13999999999999999</v>
      </c>
      <c r="AF82" s="446">
        <f t="shared" si="294"/>
        <v>-0.13999999999999999</v>
      </c>
      <c r="AG82" s="446">
        <f t="shared" si="294"/>
        <v>-0.13999999999999999</v>
      </c>
      <c r="AH82" s="446">
        <f t="shared" si="294"/>
        <v>-0.13999999999999999</v>
      </c>
      <c r="AI82" s="446">
        <f t="shared" si="294"/>
        <v>-0.13999999999999999</v>
      </c>
      <c r="AJ82" s="446">
        <f t="shared" si="294"/>
        <v>-0.13999999999999999</v>
      </c>
      <c r="AK82" s="446">
        <f t="shared" si="294"/>
        <v>-0.13999999999999999</v>
      </c>
      <c r="AL82" s="446">
        <f t="shared" si="294"/>
        <v>-0.13999999999999999</v>
      </c>
      <c r="AM82" s="446">
        <f t="shared" si="294"/>
        <v>-0.13999999999999999</v>
      </c>
      <c r="AN82" s="446">
        <f t="shared" si="294"/>
        <v>-0.13999999999999999</v>
      </c>
      <c r="AO82" s="446">
        <f t="shared" si="294"/>
        <v>-0.13999999999999999</v>
      </c>
      <c r="AP82" s="447">
        <f>AC82+1%</f>
        <v>-0.13999999999999999</v>
      </c>
      <c r="AQ82" s="446">
        <f>BC82</f>
        <v>-0.12999999999999998</v>
      </c>
      <c r="AR82" s="446">
        <f t="shared" ref="AR82:BB82" si="295">AQ82</f>
        <v>-0.12999999999999998</v>
      </c>
      <c r="AS82" s="446">
        <f t="shared" si="295"/>
        <v>-0.12999999999999998</v>
      </c>
      <c r="AT82" s="446">
        <f t="shared" si="295"/>
        <v>-0.12999999999999998</v>
      </c>
      <c r="AU82" s="446">
        <f t="shared" si="295"/>
        <v>-0.12999999999999998</v>
      </c>
      <c r="AV82" s="446">
        <f t="shared" si="295"/>
        <v>-0.12999999999999998</v>
      </c>
      <c r="AW82" s="446">
        <f t="shared" si="295"/>
        <v>-0.12999999999999998</v>
      </c>
      <c r="AX82" s="446">
        <f t="shared" si="295"/>
        <v>-0.12999999999999998</v>
      </c>
      <c r="AY82" s="446">
        <f t="shared" si="295"/>
        <v>-0.12999999999999998</v>
      </c>
      <c r="AZ82" s="446">
        <f t="shared" si="295"/>
        <v>-0.12999999999999998</v>
      </c>
      <c r="BA82" s="446">
        <f t="shared" si="295"/>
        <v>-0.12999999999999998</v>
      </c>
      <c r="BB82" s="446">
        <f t="shared" si="295"/>
        <v>-0.12999999999999998</v>
      </c>
      <c r="BC82" s="447">
        <f>AP82+1%</f>
        <v>-0.12999999999999998</v>
      </c>
      <c r="BD82" s="446">
        <f>BP82</f>
        <v>-0.11999999999999998</v>
      </c>
      <c r="BE82" s="446">
        <f t="shared" ref="BE82:BO82" si="296">BD82</f>
        <v>-0.11999999999999998</v>
      </c>
      <c r="BF82" s="446">
        <f t="shared" si="296"/>
        <v>-0.11999999999999998</v>
      </c>
      <c r="BG82" s="446">
        <f t="shared" si="296"/>
        <v>-0.11999999999999998</v>
      </c>
      <c r="BH82" s="446">
        <f t="shared" si="296"/>
        <v>-0.11999999999999998</v>
      </c>
      <c r="BI82" s="446">
        <f t="shared" si="296"/>
        <v>-0.11999999999999998</v>
      </c>
      <c r="BJ82" s="446">
        <f t="shared" si="296"/>
        <v>-0.11999999999999998</v>
      </c>
      <c r="BK82" s="446">
        <f t="shared" si="296"/>
        <v>-0.11999999999999998</v>
      </c>
      <c r="BL82" s="446">
        <f t="shared" si="296"/>
        <v>-0.11999999999999998</v>
      </c>
      <c r="BM82" s="446">
        <f t="shared" si="296"/>
        <v>-0.11999999999999998</v>
      </c>
      <c r="BN82" s="446">
        <f t="shared" si="296"/>
        <v>-0.11999999999999998</v>
      </c>
      <c r="BO82" s="446">
        <f t="shared" si="296"/>
        <v>-0.11999999999999998</v>
      </c>
      <c r="BP82" s="447">
        <f>BC82+1%</f>
        <v>-0.11999999999999998</v>
      </c>
      <c r="CF82" s="456" t="s">
        <v>1004</v>
      </c>
      <c r="CG82" s="446" t="s">
        <v>231</v>
      </c>
    </row>
    <row r="83" spans="1:85" s="446" customFormat="1" ht="10.199999999999999">
      <c r="A83" s="448" t="s">
        <v>620</v>
      </c>
      <c r="B83" s="446" t="s">
        <v>231</v>
      </c>
      <c r="D83" s="446">
        <f>P83</f>
        <v>-0.17499999999999999</v>
      </c>
      <c r="E83" s="446">
        <f t="shared" ref="E83:O83" si="297">D83</f>
        <v>-0.17499999999999999</v>
      </c>
      <c r="F83" s="446">
        <f t="shared" si="297"/>
        <v>-0.17499999999999999</v>
      </c>
      <c r="G83" s="446">
        <f t="shared" si="297"/>
        <v>-0.17499999999999999</v>
      </c>
      <c r="H83" s="446">
        <f t="shared" si="297"/>
        <v>-0.17499999999999999</v>
      </c>
      <c r="I83" s="446">
        <f t="shared" si="297"/>
        <v>-0.17499999999999999</v>
      </c>
      <c r="J83" s="446">
        <f t="shared" si="297"/>
        <v>-0.17499999999999999</v>
      </c>
      <c r="K83" s="446">
        <f t="shared" si="297"/>
        <v>-0.17499999999999999</v>
      </c>
      <c r="L83" s="446">
        <f t="shared" si="297"/>
        <v>-0.17499999999999999</v>
      </c>
      <c r="M83" s="446">
        <f t="shared" si="297"/>
        <v>-0.17499999999999999</v>
      </c>
      <c r="N83" s="446">
        <f t="shared" si="297"/>
        <v>-0.17499999999999999</v>
      </c>
      <c r="O83" s="446">
        <f t="shared" si="297"/>
        <v>-0.17499999999999999</v>
      </c>
      <c r="P83" s="447">
        <v>-0.17499999999999999</v>
      </c>
      <c r="Q83" s="446">
        <f>AC83</f>
        <v>-0.16499999999999998</v>
      </c>
      <c r="R83" s="446">
        <f t="shared" ref="R83:AB83" si="298">Q83</f>
        <v>-0.16499999999999998</v>
      </c>
      <c r="S83" s="446">
        <f t="shared" si="298"/>
        <v>-0.16499999999999998</v>
      </c>
      <c r="T83" s="446">
        <f t="shared" si="298"/>
        <v>-0.16499999999999998</v>
      </c>
      <c r="U83" s="446">
        <f t="shared" si="298"/>
        <v>-0.16499999999999998</v>
      </c>
      <c r="V83" s="446">
        <f t="shared" si="298"/>
        <v>-0.16499999999999998</v>
      </c>
      <c r="W83" s="446">
        <f t="shared" si="298"/>
        <v>-0.16499999999999998</v>
      </c>
      <c r="X83" s="446">
        <f t="shared" si="298"/>
        <v>-0.16499999999999998</v>
      </c>
      <c r="Y83" s="446">
        <f t="shared" si="298"/>
        <v>-0.16499999999999998</v>
      </c>
      <c r="Z83" s="446">
        <f t="shared" si="298"/>
        <v>-0.16499999999999998</v>
      </c>
      <c r="AA83" s="446">
        <f t="shared" si="298"/>
        <v>-0.16499999999999998</v>
      </c>
      <c r="AB83" s="446">
        <f t="shared" si="298"/>
        <v>-0.16499999999999998</v>
      </c>
      <c r="AC83" s="447">
        <f>P83+1%</f>
        <v>-0.16499999999999998</v>
      </c>
      <c r="AD83" s="446">
        <f>AP83</f>
        <v>-0.15499999999999997</v>
      </c>
      <c r="AE83" s="446">
        <f t="shared" ref="AE83:AO83" si="299">AD83</f>
        <v>-0.15499999999999997</v>
      </c>
      <c r="AF83" s="446">
        <f t="shared" si="299"/>
        <v>-0.15499999999999997</v>
      </c>
      <c r="AG83" s="446">
        <f t="shared" si="299"/>
        <v>-0.15499999999999997</v>
      </c>
      <c r="AH83" s="446">
        <f t="shared" si="299"/>
        <v>-0.15499999999999997</v>
      </c>
      <c r="AI83" s="446">
        <f t="shared" si="299"/>
        <v>-0.15499999999999997</v>
      </c>
      <c r="AJ83" s="446">
        <f t="shared" si="299"/>
        <v>-0.15499999999999997</v>
      </c>
      <c r="AK83" s="446">
        <f t="shared" si="299"/>
        <v>-0.15499999999999997</v>
      </c>
      <c r="AL83" s="446">
        <f t="shared" si="299"/>
        <v>-0.15499999999999997</v>
      </c>
      <c r="AM83" s="446">
        <f t="shared" si="299"/>
        <v>-0.15499999999999997</v>
      </c>
      <c r="AN83" s="446">
        <f t="shared" si="299"/>
        <v>-0.15499999999999997</v>
      </c>
      <c r="AO83" s="446">
        <f t="shared" si="299"/>
        <v>-0.15499999999999997</v>
      </c>
      <c r="AP83" s="447">
        <f>AC83+1%</f>
        <v>-0.15499999999999997</v>
      </c>
      <c r="AQ83" s="446">
        <f>BC83</f>
        <v>-0.14499999999999996</v>
      </c>
      <c r="AR83" s="446">
        <f t="shared" ref="AR83:BB83" si="300">AQ83</f>
        <v>-0.14499999999999996</v>
      </c>
      <c r="AS83" s="446">
        <f t="shared" si="300"/>
        <v>-0.14499999999999996</v>
      </c>
      <c r="AT83" s="446">
        <f t="shared" si="300"/>
        <v>-0.14499999999999996</v>
      </c>
      <c r="AU83" s="446">
        <f t="shared" si="300"/>
        <v>-0.14499999999999996</v>
      </c>
      <c r="AV83" s="446">
        <f t="shared" si="300"/>
        <v>-0.14499999999999996</v>
      </c>
      <c r="AW83" s="446">
        <f t="shared" si="300"/>
        <v>-0.14499999999999996</v>
      </c>
      <c r="AX83" s="446">
        <f t="shared" si="300"/>
        <v>-0.14499999999999996</v>
      </c>
      <c r="AY83" s="446">
        <f t="shared" si="300"/>
        <v>-0.14499999999999996</v>
      </c>
      <c r="AZ83" s="446">
        <f t="shared" si="300"/>
        <v>-0.14499999999999996</v>
      </c>
      <c r="BA83" s="446">
        <f t="shared" si="300"/>
        <v>-0.14499999999999996</v>
      </c>
      <c r="BB83" s="446">
        <f t="shared" si="300"/>
        <v>-0.14499999999999996</v>
      </c>
      <c r="BC83" s="447">
        <f>AP83+1%</f>
        <v>-0.14499999999999996</v>
      </c>
      <c r="BD83" s="446">
        <f>BP83</f>
        <v>-0.13499999999999995</v>
      </c>
      <c r="BE83" s="446">
        <f t="shared" ref="BE83:BO83" si="301">BD83</f>
        <v>-0.13499999999999995</v>
      </c>
      <c r="BF83" s="446">
        <f t="shared" si="301"/>
        <v>-0.13499999999999995</v>
      </c>
      <c r="BG83" s="446">
        <f t="shared" si="301"/>
        <v>-0.13499999999999995</v>
      </c>
      <c r="BH83" s="446">
        <f t="shared" si="301"/>
        <v>-0.13499999999999995</v>
      </c>
      <c r="BI83" s="446">
        <f t="shared" si="301"/>
        <v>-0.13499999999999995</v>
      </c>
      <c r="BJ83" s="446">
        <f t="shared" si="301"/>
        <v>-0.13499999999999995</v>
      </c>
      <c r="BK83" s="446">
        <f t="shared" si="301"/>
        <v>-0.13499999999999995</v>
      </c>
      <c r="BL83" s="446">
        <f t="shared" si="301"/>
        <v>-0.13499999999999995</v>
      </c>
      <c r="BM83" s="446">
        <f t="shared" si="301"/>
        <v>-0.13499999999999995</v>
      </c>
      <c r="BN83" s="446">
        <f t="shared" si="301"/>
        <v>-0.13499999999999995</v>
      </c>
      <c r="BO83" s="446">
        <f t="shared" si="301"/>
        <v>-0.13499999999999995</v>
      </c>
      <c r="BP83" s="447">
        <f>BC83+1%</f>
        <v>-0.13499999999999995</v>
      </c>
      <c r="CF83" s="456" t="s">
        <v>1005</v>
      </c>
      <c r="CG83" s="446" t="s">
        <v>231</v>
      </c>
    </row>
    <row r="84" spans="1:85">
      <c r="A84" s="4" t="s">
        <v>702</v>
      </c>
      <c r="B84" s="445" t="s">
        <v>231</v>
      </c>
      <c r="C84" s="432">
        <f>'packages (indiv)'!C113</f>
        <v>-0.1</v>
      </c>
      <c r="D84" s="433">
        <f>(P84-C84)/12+C84</f>
        <v>-9.9583333333333343E-2</v>
      </c>
      <c r="E84" s="433">
        <f>(P84-C84)/12+D84</f>
        <v>-9.9166666666666681E-2</v>
      </c>
      <c r="F84" s="433">
        <f>(P84-C84)/12+E84</f>
        <v>-9.8750000000000018E-2</v>
      </c>
      <c r="G84" s="433">
        <f>(P84-C84)/12+F84</f>
        <v>-9.8333333333333356E-2</v>
      </c>
      <c r="H84" s="433">
        <f>(P84-C84)/12+G84</f>
        <v>-9.7916666666666693E-2</v>
      </c>
      <c r="I84" s="433">
        <f>(P84-C84)/12+H84</f>
        <v>-9.7500000000000031E-2</v>
      </c>
      <c r="J84" s="433">
        <f>(P84-C84)/12+I84</f>
        <v>-9.7083333333333369E-2</v>
      </c>
      <c r="K84" s="433">
        <f>(P84-C84)/12+J84</f>
        <v>-9.6666666666666706E-2</v>
      </c>
      <c r="L84" s="433">
        <f>(P84-C84)/12+K84</f>
        <v>-9.6250000000000044E-2</v>
      </c>
      <c r="M84" s="433">
        <f>(P84-C84)/12+L84</f>
        <v>-9.5833333333333381E-2</v>
      </c>
      <c r="N84" s="433">
        <f>(P84-C84)/12+M84</f>
        <v>-9.5416666666666719E-2</v>
      </c>
      <c r="O84" s="433">
        <f>(P84-C84)/12+N84</f>
        <v>-9.5000000000000057E-2</v>
      </c>
      <c r="P84" s="444">
        <f>'packages (indiv)'!P113</f>
        <v>-9.5000000000000001E-2</v>
      </c>
      <c r="Q84" s="433">
        <f>(AC84-P84)/12+P84</f>
        <v>-9.4583333333333339E-2</v>
      </c>
      <c r="R84" s="433">
        <f>(AC84-P84)/12+Q84</f>
        <v>-9.4166666666666676E-2</v>
      </c>
      <c r="S84" s="433">
        <f>(AC84-P84)/12+R84</f>
        <v>-9.3750000000000014E-2</v>
      </c>
      <c r="T84" s="433">
        <f>(AC84-P84)/12+S84</f>
        <v>-9.3333333333333351E-2</v>
      </c>
      <c r="U84" s="433">
        <f>(AC84-P84)/12+T84</f>
        <v>-9.2916666666666689E-2</v>
      </c>
      <c r="V84" s="433">
        <f>(AC84-P84)/12+U84</f>
        <v>-9.2500000000000027E-2</v>
      </c>
      <c r="W84" s="433">
        <f>(AC84-P84)/12+V84</f>
        <v>-9.2083333333333364E-2</v>
      </c>
      <c r="X84" s="433">
        <f>(AC84-P84)/12+W84</f>
        <v>-9.1666666666666702E-2</v>
      </c>
      <c r="Y84" s="433">
        <f>(AC84-P84)/12+X84</f>
        <v>-9.1250000000000039E-2</v>
      </c>
      <c r="Z84" s="433">
        <f>(AC84-P84)/12+Y84</f>
        <v>-9.0833333333333377E-2</v>
      </c>
      <c r="AA84" s="433">
        <f>(AC84-P84)/12+Z84</f>
        <v>-9.0416666666666715E-2</v>
      </c>
      <c r="AB84" s="433">
        <f>(AC84-P84)/12+AA84</f>
        <v>-9.0000000000000052E-2</v>
      </c>
      <c r="AC84" s="444">
        <f>'packages (indiv)'!AC113</f>
        <v>-0.09</v>
      </c>
      <c r="AD84" s="433">
        <f>(AP84-AC84)/12+AC84</f>
        <v>-8.9166666666666658E-2</v>
      </c>
      <c r="AE84" s="433">
        <f>(AP84-AC84)/12+AD84</f>
        <v>-8.8333333333333319E-2</v>
      </c>
      <c r="AF84" s="433">
        <f>(AP84-AC84)/12+AE84</f>
        <v>-8.7499999999999981E-2</v>
      </c>
      <c r="AG84" s="433">
        <f>(AP84-AC84)/12+AF84</f>
        <v>-8.6666666666666642E-2</v>
      </c>
      <c r="AH84" s="433">
        <f>(AP84-AC84)/12+AG84</f>
        <v>-8.5833333333333303E-2</v>
      </c>
      <c r="AI84" s="433">
        <f>(AP84-AC84)/12+AH84</f>
        <v>-8.4999999999999964E-2</v>
      </c>
      <c r="AJ84" s="433">
        <f>(AP84-AC84)/12+AI84</f>
        <v>-8.4166666666666626E-2</v>
      </c>
      <c r="AK84" s="433">
        <f>(AP84-AC84)/12+AJ84</f>
        <v>-8.3333333333333287E-2</v>
      </c>
      <c r="AL84" s="433">
        <f>(AP84-AC84)/12+AK84</f>
        <v>-8.2499999999999948E-2</v>
      </c>
      <c r="AM84" s="433">
        <f>(AP84-AC84)/12+AL84</f>
        <v>-8.166666666666661E-2</v>
      </c>
      <c r="AN84" s="433">
        <f>(AP84-AC84)/12+AM84</f>
        <v>-8.0833333333333271E-2</v>
      </c>
      <c r="AO84" s="433">
        <f>(AP84-AC84)/12+AN84</f>
        <v>-7.9999999999999932E-2</v>
      </c>
      <c r="AP84" s="444">
        <f>'packages (indiv)'!AP113</f>
        <v>-7.9999999999999988E-2</v>
      </c>
      <c r="AQ84" s="433">
        <f>(BC84-AP84)/12+AP84</f>
        <v>-7.9166666666666649E-2</v>
      </c>
      <c r="AR84" s="433">
        <f>(BC84-AP84)/12+AQ84</f>
        <v>-7.833333333333331E-2</v>
      </c>
      <c r="AS84" s="433">
        <f>(BC84-AP84)/12+AR84</f>
        <v>-7.7499999999999972E-2</v>
      </c>
      <c r="AT84" s="433">
        <f>(BC84-AP84)/12+AS84</f>
        <v>-7.6666666666666633E-2</v>
      </c>
      <c r="AU84" s="433">
        <f>(BC84-AP84)/12+AT84</f>
        <v>-7.5833333333333294E-2</v>
      </c>
      <c r="AV84" s="433">
        <f>(BC84-AP84)/12+AU84</f>
        <v>-7.4999999999999956E-2</v>
      </c>
      <c r="AW84" s="433">
        <f>(BC84-AP84)/12+AV84</f>
        <v>-7.4166666666666617E-2</v>
      </c>
      <c r="AX84" s="433">
        <f>(BC84-AP84)/12+AW84</f>
        <v>-7.3333333333333278E-2</v>
      </c>
      <c r="AY84" s="433">
        <f>(BC84-AP84)/12+AX84</f>
        <v>-7.2499999999999939E-2</v>
      </c>
      <c r="AZ84" s="433">
        <f>(BC84-AP84)/12+AY84</f>
        <v>-7.1666666666666601E-2</v>
      </c>
      <c r="BA84" s="433">
        <f>(BC84-AP84)/12+AZ84</f>
        <v>-7.0833333333333262E-2</v>
      </c>
      <c r="BB84" s="433">
        <f>(BC84-AP84)/12+BA84</f>
        <v>-6.9999999999999923E-2</v>
      </c>
      <c r="BC84" s="444">
        <f>'packages (indiv)'!BC113</f>
        <v>-6.9999999999999979E-2</v>
      </c>
      <c r="BD84" s="433">
        <f>(BP84-BC84)/12+BC84</f>
        <v>-6.916666666666664E-2</v>
      </c>
      <c r="BE84" s="433">
        <f>(BP84-BC84)/12+BD84</f>
        <v>-6.8333333333333302E-2</v>
      </c>
      <c r="BF84" s="433">
        <f>(BP84-BC84)/12+BE84</f>
        <v>-6.7499999999999963E-2</v>
      </c>
      <c r="BG84" s="433">
        <f>(BP84-BC84)/12+BF84</f>
        <v>-6.6666666666666624E-2</v>
      </c>
      <c r="BH84" s="433">
        <f>(BP84-BC84)/12+BG84</f>
        <v>-6.5833333333333285E-2</v>
      </c>
      <c r="BI84" s="433">
        <f>(BP84-BC84)/12+BH84</f>
        <v>-6.4999999999999947E-2</v>
      </c>
      <c r="BJ84" s="433">
        <f>(BP84-BC84)/12+BI84</f>
        <v>-6.4166666666666608E-2</v>
      </c>
      <c r="BK84" s="433">
        <f>(BP84-BC84)/12+BJ84</f>
        <v>-6.3333333333333269E-2</v>
      </c>
      <c r="BL84" s="433">
        <f>(BP84-BC84)/12+BK84</f>
        <v>-6.2499999999999938E-2</v>
      </c>
      <c r="BM84" s="433">
        <f>(BP84-BC84)/12+BL84</f>
        <v>-6.1666666666666606E-2</v>
      </c>
      <c r="BN84" s="433">
        <f>(BP84-BC84)/12+BM84</f>
        <v>-6.0833333333333274E-2</v>
      </c>
      <c r="BO84" s="433">
        <f>(BP84-BC84)/12+BN84</f>
        <v>-5.9999999999999942E-2</v>
      </c>
      <c r="BP84" s="444">
        <f>'packages (indiv)'!BP113</f>
        <v>-5.9999999999999977E-2</v>
      </c>
      <c r="CF84" s="4" t="s">
        <v>1075</v>
      </c>
      <c r="CG84" s="445" t="s">
        <v>231</v>
      </c>
    </row>
    <row r="85" spans="1:85">
      <c r="A85" s="4" t="s">
        <v>701</v>
      </c>
      <c r="B85" s="295" t="s">
        <v>231</v>
      </c>
      <c r="D85" s="293">
        <f>P85</f>
        <v>1.2E-2</v>
      </c>
      <c r="E85" s="293">
        <f t="shared" ref="E85:O85" si="302">D85</f>
        <v>1.2E-2</v>
      </c>
      <c r="F85" s="293">
        <f t="shared" si="302"/>
        <v>1.2E-2</v>
      </c>
      <c r="G85" s="293">
        <f t="shared" si="302"/>
        <v>1.2E-2</v>
      </c>
      <c r="H85" s="293">
        <f t="shared" si="302"/>
        <v>1.2E-2</v>
      </c>
      <c r="I85" s="293">
        <f t="shared" si="302"/>
        <v>1.2E-2</v>
      </c>
      <c r="J85" s="293">
        <f t="shared" si="302"/>
        <v>1.2E-2</v>
      </c>
      <c r="K85" s="293">
        <f t="shared" si="302"/>
        <v>1.2E-2</v>
      </c>
      <c r="L85" s="293">
        <f t="shared" si="302"/>
        <v>1.2E-2</v>
      </c>
      <c r="M85" s="293">
        <f t="shared" si="302"/>
        <v>1.2E-2</v>
      </c>
      <c r="N85" s="293">
        <f t="shared" si="302"/>
        <v>1.2E-2</v>
      </c>
      <c r="O85" s="293">
        <f t="shared" si="302"/>
        <v>1.2E-2</v>
      </c>
      <c r="P85" s="350">
        <v>1.2E-2</v>
      </c>
      <c r="Q85" s="293">
        <f>AC85</f>
        <v>1.14E-2</v>
      </c>
      <c r="R85" s="293">
        <f t="shared" ref="R85:AB85" si="303">Q85</f>
        <v>1.14E-2</v>
      </c>
      <c r="S85" s="293">
        <f t="shared" si="303"/>
        <v>1.14E-2</v>
      </c>
      <c r="T85" s="293">
        <f t="shared" si="303"/>
        <v>1.14E-2</v>
      </c>
      <c r="U85" s="293">
        <f t="shared" si="303"/>
        <v>1.14E-2</v>
      </c>
      <c r="V85" s="293">
        <f t="shared" si="303"/>
        <v>1.14E-2</v>
      </c>
      <c r="W85" s="293">
        <f t="shared" si="303"/>
        <v>1.14E-2</v>
      </c>
      <c r="X85" s="293">
        <f t="shared" si="303"/>
        <v>1.14E-2</v>
      </c>
      <c r="Y85" s="293">
        <f t="shared" si="303"/>
        <v>1.14E-2</v>
      </c>
      <c r="Z85" s="293">
        <f t="shared" si="303"/>
        <v>1.14E-2</v>
      </c>
      <c r="AA85" s="293">
        <f t="shared" si="303"/>
        <v>1.14E-2</v>
      </c>
      <c r="AB85" s="293">
        <f t="shared" si="303"/>
        <v>1.14E-2</v>
      </c>
      <c r="AC85" s="350">
        <f>P85*95%</f>
        <v>1.14E-2</v>
      </c>
      <c r="AD85" s="293">
        <f>AP85</f>
        <v>1.0829999999999999E-2</v>
      </c>
      <c r="AE85" s="293">
        <f t="shared" ref="AE85:AO85" si="304">AD85</f>
        <v>1.0829999999999999E-2</v>
      </c>
      <c r="AF85" s="293">
        <f t="shared" si="304"/>
        <v>1.0829999999999999E-2</v>
      </c>
      <c r="AG85" s="293">
        <f t="shared" si="304"/>
        <v>1.0829999999999999E-2</v>
      </c>
      <c r="AH85" s="293">
        <f t="shared" si="304"/>
        <v>1.0829999999999999E-2</v>
      </c>
      <c r="AI85" s="293">
        <f t="shared" si="304"/>
        <v>1.0829999999999999E-2</v>
      </c>
      <c r="AJ85" s="293">
        <f t="shared" si="304"/>
        <v>1.0829999999999999E-2</v>
      </c>
      <c r="AK85" s="293">
        <f t="shared" si="304"/>
        <v>1.0829999999999999E-2</v>
      </c>
      <c r="AL85" s="293">
        <f t="shared" si="304"/>
        <v>1.0829999999999999E-2</v>
      </c>
      <c r="AM85" s="293">
        <f t="shared" si="304"/>
        <v>1.0829999999999999E-2</v>
      </c>
      <c r="AN85" s="293">
        <f t="shared" si="304"/>
        <v>1.0829999999999999E-2</v>
      </c>
      <c r="AO85" s="293">
        <f t="shared" si="304"/>
        <v>1.0829999999999999E-2</v>
      </c>
      <c r="AP85" s="350">
        <f>AC85*95%</f>
        <v>1.0829999999999999E-2</v>
      </c>
      <c r="AQ85" s="293">
        <f>BC85</f>
        <v>1.0288499999999999E-2</v>
      </c>
      <c r="AR85" s="293">
        <f t="shared" ref="AR85:BB85" si="305">AQ85</f>
        <v>1.0288499999999999E-2</v>
      </c>
      <c r="AS85" s="293">
        <f t="shared" si="305"/>
        <v>1.0288499999999999E-2</v>
      </c>
      <c r="AT85" s="293">
        <f t="shared" si="305"/>
        <v>1.0288499999999999E-2</v>
      </c>
      <c r="AU85" s="293">
        <f t="shared" si="305"/>
        <v>1.0288499999999999E-2</v>
      </c>
      <c r="AV85" s="293">
        <f t="shared" si="305"/>
        <v>1.0288499999999999E-2</v>
      </c>
      <c r="AW85" s="293">
        <f t="shared" si="305"/>
        <v>1.0288499999999999E-2</v>
      </c>
      <c r="AX85" s="293">
        <f t="shared" si="305"/>
        <v>1.0288499999999999E-2</v>
      </c>
      <c r="AY85" s="293">
        <f t="shared" si="305"/>
        <v>1.0288499999999999E-2</v>
      </c>
      <c r="AZ85" s="293">
        <f t="shared" si="305"/>
        <v>1.0288499999999999E-2</v>
      </c>
      <c r="BA85" s="293">
        <f t="shared" si="305"/>
        <v>1.0288499999999999E-2</v>
      </c>
      <c r="BB85" s="293">
        <f t="shared" si="305"/>
        <v>1.0288499999999999E-2</v>
      </c>
      <c r="BC85" s="350">
        <f>AP85*95%</f>
        <v>1.0288499999999999E-2</v>
      </c>
      <c r="BD85" s="293">
        <f>BP85</f>
        <v>9.7740749999999984E-3</v>
      </c>
      <c r="BE85" s="293">
        <f t="shared" ref="BE85:BO85" si="306">BD85</f>
        <v>9.7740749999999984E-3</v>
      </c>
      <c r="BF85" s="293">
        <f t="shared" si="306"/>
        <v>9.7740749999999984E-3</v>
      </c>
      <c r="BG85" s="293">
        <f t="shared" si="306"/>
        <v>9.7740749999999984E-3</v>
      </c>
      <c r="BH85" s="293">
        <f t="shared" si="306"/>
        <v>9.7740749999999984E-3</v>
      </c>
      <c r="BI85" s="293">
        <f t="shared" si="306"/>
        <v>9.7740749999999984E-3</v>
      </c>
      <c r="BJ85" s="293">
        <f t="shared" si="306"/>
        <v>9.7740749999999984E-3</v>
      </c>
      <c r="BK85" s="293">
        <f t="shared" si="306"/>
        <v>9.7740749999999984E-3</v>
      </c>
      <c r="BL85" s="293">
        <f t="shared" si="306"/>
        <v>9.7740749999999984E-3</v>
      </c>
      <c r="BM85" s="293">
        <f t="shared" si="306"/>
        <v>9.7740749999999984E-3</v>
      </c>
      <c r="BN85" s="293">
        <f t="shared" si="306"/>
        <v>9.7740749999999984E-3</v>
      </c>
      <c r="BO85" s="293">
        <f t="shared" si="306"/>
        <v>9.7740749999999984E-3</v>
      </c>
      <c r="BP85" s="350">
        <f>BC85*95%</f>
        <v>9.7740749999999984E-3</v>
      </c>
      <c r="CF85" s="4" t="s">
        <v>1076</v>
      </c>
      <c r="CG85" s="295" t="s">
        <v>231</v>
      </c>
    </row>
    <row r="86" spans="1:85">
      <c r="A86" s="4" t="s">
        <v>512</v>
      </c>
      <c r="B86" s="295" t="s">
        <v>231</v>
      </c>
      <c r="D86" s="293">
        <f>P86</f>
        <v>-0.02</v>
      </c>
      <c r="E86" s="293">
        <f t="shared" ref="E86:O86" si="307">D86</f>
        <v>-0.02</v>
      </c>
      <c r="F86" s="293">
        <f t="shared" si="307"/>
        <v>-0.02</v>
      </c>
      <c r="G86" s="293">
        <f t="shared" si="307"/>
        <v>-0.02</v>
      </c>
      <c r="H86" s="293">
        <f t="shared" si="307"/>
        <v>-0.02</v>
      </c>
      <c r="I86" s="293">
        <f t="shared" si="307"/>
        <v>-0.02</v>
      </c>
      <c r="J86" s="293">
        <f t="shared" si="307"/>
        <v>-0.02</v>
      </c>
      <c r="K86" s="293">
        <f t="shared" si="307"/>
        <v>-0.02</v>
      </c>
      <c r="L86" s="293">
        <f t="shared" si="307"/>
        <v>-0.02</v>
      </c>
      <c r="M86" s="293">
        <f t="shared" si="307"/>
        <v>-0.02</v>
      </c>
      <c r="N86" s="293">
        <f t="shared" si="307"/>
        <v>-0.02</v>
      </c>
      <c r="O86" s="293">
        <f t="shared" si="307"/>
        <v>-0.02</v>
      </c>
      <c r="P86" s="350">
        <f>'Debit card (indiv)'!P55</f>
        <v>-0.02</v>
      </c>
      <c r="Q86" s="293">
        <f>AC86</f>
        <v>-1.9E-2</v>
      </c>
      <c r="R86" s="293">
        <f t="shared" ref="R86:AB86" si="308">Q86</f>
        <v>-1.9E-2</v>
      </c>
      <c r="S86" s="293">
        <f t="shared" si="308"/>
        <v>-1.9E-2</v>
      </c>
      <c r="T86" s="293">
        <f t="shared" si="308"/>
        <v>-1.9E-2</v>
      </c>
      <c r="U86" s="293">
        <f t="shared" si="308"/>
        <v>-1.9E-2</v>
      </c>
      <c r="V86" s="293">
        <f t="shared" si="308"/>
        <v>-1.9E-2</v>
      </c>
      <c r="W86" s="293">
        <f t="shared" si="308"/>
        <v>-1.9E-2</v>
      </c>
      <c r="X86" s="293">
        <f t="shared" si="308"/>
        <v>-1.9E-2</v>
      </c>
      <c r="Y86" s="293">
        <f t="shared" si="308"/>
        <v>-1.9E-2</v>
      </c>
      <c r="Z86" s="293">
        <f t="shared" si="308"/>
        <v>-1.9E-2</v>
      </c>
      <c r="AA86" s="293">
        <f t="shared" si="308"/>
        <v>-1.9E-2</v>
      </c>
      <c r="AB86" s="293">
        <f t="shared" si="308"/>
        <v>-1.9E-2</v>
      </c>
      <c r="AC86" s="350">
        <f>'Debit card (indiv)'!AC55</f>
        <v>-1.9E-2</v>
      </c>
      <c r="AD86" s="293">
        <f>AP86</f>
        <v>-1.805E-2</v>
      </c>
      <c r="AE86" s="293">
        <f t="shared" ref="AE86:AO86" si="309">AD86</f>
        <v>-1.805E-2</v>
      </c>
      <c r="AF86" s="293">
        <f t="shared" si="309"/>
        <v>-1.805E-2</v>
      </c>
      <c r="AG86" s="293">
        <f t="shared" si="309"/>
        <v>-1.805E-2</v>
      </c>
      <c r="AH86" s="293">
        <f t="shared" si="309"/>
        <v>-1.805E-2</v>
      </c>
      <c r="AI86" s="293">
        <f t="shared" si="309"/>
        <v>-1.805E-2</v>
      </c>
      <c r="AJ86" s="293">
        <f t="shared" si="309"/>
        <v>-1.805E-2</v>
      </c>
      <c r="AK86" s="293">
        <f t="shared" si="309"/>
        <v>-1.805E-2</v>
      </c>
      <c r="AL86" s="293">
        <f t="shared" si="309"/>
        <v>-1.805E-2</v>
      </c>
      <c r="AM86" s="293">
        <f t="shared" si="309"/>
        <v>-1.805E-2</v>
      </c>
      <c r="AN86" s="293">
        <f t="shared" si="309"/>
        <v>-1.805E-2</v>
      </c>
      <c r="AO86" s="293">
        <f t="shared" si="309"/>
        <v>-1.805E-2</v>
      </c>
      <c r="AP86" s="350">
        <f>'Debit card (indiv)'!AP55</f>
        <v>-1.805E-2</v>
      </c>
      <c r="AQ86" s="293">
        <f>BC86</f>
        <v>-1.71475E-2</v>
      </c>
      <c r="AR86" s="293">
        <f t="shared" ref="AR86:BB86" si="310">AQ86</f>
        <v>-1.71475E-2</v>
      </c>
      <c r="AS86" s="293">
        <f t="shared" si="310"/>
        <v>-1.71475E-2</v>
      </c>
      <c r="AT86" s="293">
        <f t="shared" si="310"/>
        <v>-1.71475E-2</v>
      </c>
      <c r="AU86" s="293">
        <f t="shared" si="310"/>
        <v>-1.71475E-2</v>
      </c>
      <c r="AV86" s="293">
        <f t="shared" si="310"/>
        <v>-1.71475E-2</v>
      </c>
      <c r="AW86" s="293">
        <f t="shared" si="310"/>
        <v>-1.71475E-2</v>
      </c>
      <c r="AX86" s="293">
        <f t="shared" si="310"/>
        <v>-1.71475E-2</v>
      </c>
      <c r="AY86" s="293">
        <f t="shared" si="310"/>
        <v>-1.71475E-2</v>
      </c>
      <c r="AZ86" s="293">
        <f t="shared" si="310"/>
        <v>-1.71475E-2</v>
      </c>
      <c r="BA86" s="293">
        <f t="shared" si="310"/>
        <v>-1.71475E-2</v>
      </c>
      <c r="BB86" s="293">
        <f t="shared" si="310"/>
        <v>-1.71475E-2</v>
      </c>
      <c r="BC86" s="350">
        <f>'Debit card (indiv)'!BC55</f>
        <v>-1.71475E-2</v>
      </c>
      <c r="BD86" s="293">
        <f>BP86</f>
        <v>-1.6290124999999999E-2</v>
      </c>
      <c r="BE86" s="293">
        <f t="shared" ref="BE86:BO86" si="311">BD86</f>
        <v>-1.6290124999999999E-2</v>
      </c>
      <c r="BF86" s="293">
        <f t="shared" si="311"/>
        <v>-1.6290124999999999E-2</v>
      </c>
      <c r="BG86" s="293">
        <f t="shared" si="311"/>
        <v>-1.6290124999999999E-2</v>
      </c>
      <c r="BH86" s="293">
        <f t="shared" si="311"/>
        <v>-1.6290124999999999E-2</v>
      </c>
      <c r="BI86" s="293">
        <f t="shared" si="311"/>
        <v>-1.6290124999999999E-2</v>
      </c>
      <c r="BJ86" s="293">
        <f t="shared" si="311"/>
        <v>-1.6290124999999999E-2</v>
      </c>
      <c r="BK86" s="293">
        <f t="shared" si="311"/>
        <v>-1.6290124999999999E-2</v>
      </c>
      <c r="BL86" s="293">
        <f t="shared" si="311"/>
        <v>-1.6290124999999999E-2</v>
      </c>
      <c r="BM86" s="293">
        <f t="shared" si="311"/>
        <v>-1.6290124999999999E-2</v>
      </c>
      <c r="BN86" s="293">
        <f t="shared" si="311"/>
        <v>-1.6290124999999999E-2</v>
      </c>
      <c r="BO86" s="293">
        <f t="shared" si="311"/>
        <v>-1.6290124999999999E-2</v>
      </c>
      <c r="BP86" s="350">
        <f>'Debit card (indiv)'!BP55</f>
        <v>-1.6290124999999999E-2</v>
      </c>
      <c r="CF86" s="4" t="s">
        <v>1077</v>
      </c>
      <c r="CG86" s="295" t="s">
        <v>231</v>
      </c>
    </row>
    <row r="87" spans="1:85">
      <c r="A87" s="4" t="s">
        <v>511</v>
      </c>
      <c r="B87" s="295" t="s">
        <v>231</v>
      </c>
      <c r="D87" s="293">
        <f>P87</f>
        <v>0</v>
      </c>
      <c r="E87" s="293">
        <f t="shared" ref="E87:O87" si="312">D87</f>
        <v>0</v>
      </c>
      <c r="F87" s="293">
        <f t="shared" si="312"/>
        <v>0</v>
      </c>
      <c r="G87" s="293">
        <f t="shared" si="312"/>
        <v>0</v>
      </c>
      <c r="H87" s="293">
        <f t="shared" si="312"/>
        <v>0</v>
      </c>
      <c r="I87" s="293">
        <f t="shared" si="312"/>
        <v>0</v>
      </c>
      <c r="J87" s="293">
        <f t="shared" si="312"/>
        <v>0</v>
      </c>
      <c r="K87" s="293">
        <f t="shared" si="312"/>
        <v>0</v>
      </c>
      <c r="L87" s="293">
        <f t="shared" si="312"/>
        <v>0</v>
      </c>
      <c r="M87" s="293">
        <f t="shared" si="312"/>
        <v>0</v>
      </c>
      <c r="N87" s="293">
        <f t="shared" si="312"/>
        <v>0</v>
      </c>
      <c r="O87" s="293">
        <f t="shared" si="312"/>
        <v>0</v>
      </c>
      <c r="P87" s="350">
        <v>0</v>
      </c>
      <c r="Q87" s="293">
        <f>AC87</f>
        <v>0</v>
      </c>
      <c r="R87" s="293">
        <f t="shared" ref="R87:AB87" si="313">Q87</f>
        <v>0</v>
      </c>
      <c r="S87" s="293">
        <f t="shared" si="313"/>
        <v>0</v>
      </c>
      <c r="T87" s="293">
        <f t="shared" si="313"/>
        <v>0</v>
      </c>
      <c r="U87" s="293">
        <f t="shared" si="313"/>
        <v>0</v>
      </c>
      <c r="V87" s="293">
        <f t="shared" si="313"/>
        <v>0</v>
      </c>
      <c r="W87" s="293">
        <f t="shared" si="313"/>
        <v>0</v>
      </c>
      <c r="X87" s="293">
        <f t="shared" si="313"/>
        <v>0</v>
      </c>
      <c r="Y87" s="293">
        <f t="shared" si="313"/>
        <v>0</v>
      </c>
      <c r="Z87" s="293">
        <f t="shared" si="313"/>
        <v>0</v>
      </c>
      <c r="AA87" s="293">
        <f t="shared" si="313"/>
        <v>0</v>
      </c>
      <c r="AB87" s="293">
        <f t="shared" si="313"/>
        <v>0</v>
      </c>
      <c r="AC87" s="350">
        <f>P87</f>
        <v>0</v>
      </c>
      <c r="AD87" s="293">
        <f>AP87</f>
        <v>0</v>
      </c>
      <c r="AE87" s="293">
        <f t="shared" ref="AE87:AO87" si="314">AD87</f>
        <v>0</v>
      </c>
      <c r="AF87" s="293">
        <f t="shared" si="314"/>
        <v>0</v>
      </c>
      <c r="AG87" s="293">
        <f t="shared" si="314"/>
        <v>0</v>
      </c>
      <c r="AH87" s="293">
        <f t="shared" si="314"/>
        <v>0</v>
      </c>
      <c r="AI87" s="293">
        <f t="shared" si="314"/>
        <v>0</v>
      </c>
      <c r="AJ87" s="293">
        <f t="shared" si="314"/>
        <v>0</v>
      </c>
      <c r="AK87" s="293">
        <f t="shared" si="314"/>
        <v>0</v>
      </c>
      <c r="AL87" s="293">
        <f t="shared" si="314"/>
        <v>0</v>
      </c>
      <c r="AM87" s="293">
        <f t="shared" si="314"/>
        <v>0</v>
      </c>
      <c r="AN87" s="293">
        <f t="shared" si="314"/>
        <v>0</v>
      </c>
      <c r="AO87" s="293">
        <f t="shared" si="314"/>
        <v>0</v>
      </c>
      <c r="AP87" s="350">
        <f>AC87</f>
        <v>0</v>
      </c>
      <c r="AQ87" s="293">
        <f>BC87</f>
        <v>0</v>
      </c>
      <c r="AR87" s="293">
        <f t="shared" ref="AR87:BB87" si="315">AQ87</f>
        <v>0</v>
      </c>
      <c r="AS87" s="293">
        <f t="shared" si="315"/>
        <v>0</v>
      </c>
      <c r="AT87" s="293">
        <f t="shared" si="315"/>
        <v>0</v>
      </c>
      <c r="AU87" s="293">
        <f t="shared" si="315"/>
        <v>0</v>
      </c>
      <c r="AV87" s="293">
        <f t="shared" si="315"/>
        <v>0</v>
      </c>
      <c r="AW87" s="293">
        <f t="shared" si="315"/>
        <v>0</v>
      </c>
      <c r="AX87" s="293">
        <f t="shared" si="315"/>
        <v>0</v>
      </c>
      <c r="AY87" s="293">
        <f t="shared" si="315"/>
        <v>0</v>
      </c>
      <c r="AZ87" s="293">
        <f t="shared" si="315"/>
        <v>0</v>
      </c>
      <c r="BA87" s="293">
        <f t="shared" si="315"/>
        <v>0</v>
      </c>
      <c r="BB87" s="293">
        <f t="shared" si="315"/>
        <v>0</v>
      </c>
      <c r="BC87" s="350">
        <f>AP87</f>
        <v>0</v>
      </c>
      <c r="BD87" s="293">
        <f>BP87</f>
        <v>0</v>
      </c>
      <c r="BE87" s="293">
        <f t="shared" ref="BE87:BO87" si="316">BD87</f>
        <v>0</v>
      </c>
      <c r="BF87" s="293">
        <f t="shared" si="316"/>
        <v>0</v>
      </c>
      <c r="BG87" s="293">
        <f t="shared" si="316"/>
        <v>0</v>
      </c>
      <c r="BH87" s="293">
        <f t="shared" si="316"/>
        <v>0</v>
      </c>
      <c r="BI87" s="293">
        <f t="shared" si="316"/>
        <v>0</v>
      </c>
      <c r="BJ87" s="293">
        <f t="shared" si="316"/>
        <v>0</v>
      </c>
      <c r="BK87" s="293">
        <f t="shared" si="316"/>
        <v>0</v>
      </c>
      <c r="BL87" s="293">
        <f t="shared" si="316"/>
        <v>0</v>
      </c>
      <c r="BM87" s="293">
        <f t="shared" si="316"/>
        <v>0</v>
      </c>
      <c r="BN87" s="293">
        <f t="shared" si="316"/>
        <v>0</v>
      </c>
      <c r="BO87" s="293">
        <f t="shared" si="316"/>
        <v>0</v>
      </c>
      <c r="BP87" s="350">
        <f>BC87</f>
        <v>0</v>
      </c>
      <c r="CF87" s="4" t="s">
        <v>1078</v>
      </c>
      <c r="CG87" s="295" t="s">
        <v>231</v>
      </c>
    </row>
    <row r="88" spans="1:85" s="3" customFormat="1">
      <c r="A88" s="300" t="s">
        <v>700</v>
      </c>
      <c r="B88" s="402" t="s">
        <v>130</v>
      </c>
      <c r="C88" s="5"/>
      <c r="P88" s="397"/>
      <c r="AC88" s="397"/>
      <c r="AP88" s="397"/>
      <c r="BC88" s="397"/>
      <c r="BP88" s="397"/>
      <c r="CF88" s="300" t="s">
        <v>1079</v>
      </c>
      <c r="CG88" s="402" t="s">
        <v>966</v>
      </c>
    </row>
    <row r="89" spans="1:85" s="3" customFormat="1">
      <c r="A89" s="398" t="s">
        <v>699</v>
      </c>
      <c r="B89" s="12" t="s">
        <v>130</v>
      </c>
      <c r="C89" s="5"/>
      <c r="D89" s="3">
        <f>P89</f>
        <v>0</v>
      </c>
      <c r="E89" s="3">
        <f t="shared" ref="E89:O89" si="317">D89</f>
        <v>0</v>
      </c>
      <c r="F89" s="3">
        <f t="shared" si="317"/>
        <v>0</v>
      </c>
      <c r="G89" s="3">
        <f t="shared" si="317"/>
        <v>0</v>
      </c>
      <c r="H89" s="3">
        <f t="shared" si="317"/>
        <v>0</v>
      </c>
      <c r="I89" s="3">
        <f t="shared" si="317"/>
        <v>0</v>
      </c>
      <c r="J89" s="3">
        <f t="shared" si="317"/>
        <v>0</v>
      </c>
      <c r="K89" s="3">
        <f t="shared" si="317"/>
        <v>0</v>
      </c>
      <c r="L89" s="3">
        <f t="shared" si="317"/>
        <v>0</v>
      </c>
      <c r="M89" s="3">
        <f t="shared" si="317"/>
        <v>0</v>
      </c>
      <c r="N89" s="3">
        <f t="shared" si="317"/>
        <v>0</v>
      </c>
      <c r="O89" s="3">
        <f t="shared" si="317"/>
        <v>0</v>
      </c>
      <c r="P89" s="443">
        <v>0</v>
      </c>
      <c r="Q89" s="3">
        <f>AC89</f>
        <v>0</v>
      </c>
      <c r="R89" s="3">
        <f t="shared" ref="R89:AB89" si="318">Q89</f>
        <v>0</v>
      </c>
      <c r="S89" s="3">
        <f t="shared" si="318"/>
        <v>0</v>
      </c>
      <c r="T89" s="3">
        <f t="shared" si="318"/>
        <v>0</v>
      </c>
      <c r="U89" s="3">
        <f t="shared" si="318"/>
        <v>0</v>
      </c>
      <c r="V89" s="3">
        <f t="shared" si="318"/>
        <v>0</v>
      </c>
      <c r="W89" s="3">
        <f t="shared" si="318"/>
        <v>0</v>
      </c>
      <c r="X89" s="3">
        <f t="shared" si="318"/>
        <v>0</v>
      </c>
      <c r="Y89" s="3">
        <f t="shared" si="318"/>
        <v>0</v>
      </c>
      <c r="Z89" s="3">
        <f t="shared" si="318"/>
        <v>0</v>
      </c>
      <c r="AA89" s="3">
        <f t="shared" si="318"/>
        <v>0</v>
      </c>
      <c r="AB89" s="3">
        <f t="shared" si="318"/>
        <v>0</v>
      </c>
      <c r="AC89" s="443">
        <f>P89</f>
        <v>0</v>
      </c>
      <c r="AD89" s="3">
        <f>AP89</f>
        <v>0</v>
      </c>
      <c r="AE89" s="3">
        <f t="shared" ref="AE89:AO89" si="319">AD89</f>
        <v>0</v>
      </c>
      <c r="AF89" s="3">
        <f t="shared" si="319"/>
        <v>0</v>
      </c>
      <c r="AG89" s="3">
        <f t="shared" si="319"/>
        <v>0</v>
      </c>
      <c r="AH89" s="3">
        <f t="shared" si="319"/>
        <v>0</v>
      </c>
      <c r="AI89" s="3">
        <f t="shared" si="319"/>
        <v>0</v>
      </c>
      <c r="AJ89" s="3">
        <f t="shared" si="319"/>
        <v>0</v>
      </c>
      <c r="AK89" s="3">
        <f t="shared" si="319"/>
        <v>0</v>
      </c>
      <c r="AL89" s="3">
        <f t="shared" si="319"/>
        <v>0</v>
      </c>
      <c r="AM89" s="3">
        <f t="shared" si="319"/>
        <v>0</v>
      </c>
      <c r="AN89" s="3">
        <f t="shared" si="319"/>
        <v>0</v>
      </c>
      <c r="AO89" s="3">
        <f t="shared" si="319"/>
        <v>0</v>
      </c>
      <c r="AP89" s="443">
        <f>AC89</f>
        <v>0</v>
      </c>
      <c r="AQ89" s="3">
        <f>BC89</f>
        <v>0</v>
      </c>
      <c r="AR89" s="3">
        <f t="shared" ref="AR89:BB89" si="320">AQ89</f>
        <v>0</v>
      </c>
      <c r="AS89" s="3">
        <f t="shared" si="320"/>
        <v>0</v>
      </c>
      <c r="AT89" s="3">
        <f t="shared" si="320"/>
        <v>0</v>
      </c>
      <c r="AU89" s="3">
        <f t="shared" si="320"/>
        <v>0</v>
      </c>
      <c r="AV89" s="3">
        <f t="shared" si="320"/>
        <v>0</v>
      </c>
      <c r="AW89" s="3">
        <f t="shared" si="320"/>
        <v>0</v>
      </c>
      <c r="AX89" s="3">
        <f t="shared" si="320"/>
        <v>0</v>
      </c>
      <c r="AY89" s="3">
        <f t="shared" si="320"/>
        <v>0</v>
      </c>
      <c r="AZ89" s="3">
        <f t="shared" si="320"/>
        <v>0</v>
      </c>
      <c r="BA89" s="3">
        <f t="shared" si="320"/>
        <v>0</v>
      </c>
      <c r="BB89" s="3">
        <f t="shared" si="320"/>
        <v>0</v>
      </c>
      <c r="BC89" s="443">
        <f>AP89</f>
        <v>0</v>
      </c>
      <c r="BD89" s="3">
        <f>BP89</f>
        <v>0</v>
      </c>
      <c r="BE89" s="3">
        <f t="shared" ref="BE89:BO89" si="321">BD89</f>
        <v>0</v>
      </c>
      <c r="BF89" s="3">
        <f t="shared" si="321"/>
        <v>0</v>
      </c>
      <c r="BG89" s="3">
        <f t="shared" si="321"/>
        <v>0</v>
      </c>
      <c r="BH89" s="3">
        <f t="shared" si="321"/>
        <v>0</v>
      </c>
      <c r="BI89" s="3">
        <f t="shared" si="321"/>
        <v>0</v>
      </c>
      <c r="BJ89" s="3">
        <f t="shared" si="321"/>
        <v>0</v>
      </c>
      <c r="BK89" s="3">
        <f t="shared" si="321"/>
        <v>0</v>
      </c>
      <c r="BL89" s="3">
        <f t="shared" si="321"/>
        <v>0</v>
      </c>
      <c r="BM89" s="3">
        <f t="shared" si="321"/>
        <v>0</v>
      </c>
      <c r="BN89" s="3">
        <f t="shared" si="321"/>
        <v>0</v>
      </c>
      <c r="BO89" s="3">
        <f t="shared" si="321"/>
        <v>0</v>
      </c>
      <c r="BP89" s="443">
        <f>BC89</f>
        <v>0</v>
      </c>
      <c r="CF89" s="398" t="s">
        <v>1073</v>
      </c>
      <c r="CG89" s="12" t="s">
        <v>966</v>
      </c>
    </row>
    <row r="90" spans="1:85" s="3" customFormat="1">
      <c r="A90" s="398" t="s">
        <v>698</v>
      </c>
      <c r="B90" s="12" t="s">
        <v>130</v>
      </c>
      <c r="C90" s="5"/>
      <c r="P90" s="397"/>
      <c r="AC90" s="397"/>
      <c r="AP90" s="397"/>
      <c r="BC90" s="397"/>
      <c r="BP90" s="397"/>
      <c r="CF90" s="398" t="s">
        <v>1074</v>
      </c>
      <c r="CG90" s="12" t="s">
        <v>966</v>
      </c>
    </row>
    <row r="91" spans="1:85" s="440" customFormat="1" ht="10.199999999999999">
      <c r="A91" s="442" t="s">
        <v>138</v>
      </c>
      <c r="B91" s="12" t="s">
        <v>130</v>
      </c>
      <c r="D91" s="440">
        <f>P91</f>
        <v>0</v>
      </c>
      <c r="E91" s="440">
        <f t="shared" ref="E91:O91" si="322">D91</f>
        <v>0</v>
      </c>
      <c r="F91" s="440">
        <f t="shared" si="322"/>
        <v>0</v>
      </c>
      <c r="G91" s="440">
        <f t="shared" si="322"/>
        <v>0</v>
      </c>
      <c r="H91" s="440">
        <f t="shared" si="322"/>
        <v>0</v>
      </c>
      <c r="I91" s="440">
        <f t="shared" si="322"/>
        <v>0</v>
      </c>
      <c r="J91" s="440">
        <f t="shared" si="322"/>
        <v>0</v>
      </c>
      <c r="K91" s="440">
        <f t="shared" si="322"/>
        <v>0</v>
      </c>
      <c r="L91" s="440">
        <f t="shared" si="322"/>
        <v>0</v>
      </c>
      <c r="M91" s="440">
        <f t="shared" si="322"/>
        <v>0</v>
      </c>
      <c r="N91" s="440">
        <f t="shared" si="322"/>
        <v>0</v>
      </c>
      <c r="O91" s="440">
        <f t="shared" si="322"/>
        <v>0</v>
      </c>
      <c r="P91" s="441">
        <v>0</v>
      </c>
      <c r="Q91" s="440">
        <f>AC91</f>
        <v>0</v>
      </c>
      <c r="R91" s="440">
        <f t="shared" ref="R91:AB91" si="323">Q91</f>
        <v>0</v>
      </c>
      <c r="S91" s="440">
        <f t="shared" si="323"/>
        <v>0</v>
      </c>
      <c r="T91" s="440">
        <f t="shared" si="323"/>
        <v>0</v>
      </c>
      <c r="U91" s="440">
        <f t="shared" si="323"/>
        <v>0</v>
      </c>
      <c r="V91" s="440">
        <f t="shared" si="323"/>
        <v>0</v>
      </c>
      <c r="W91" s="440">
        <f t="shared" si="323"/>
        <v>0</v>
      </c>
      <c r="X91" s="440">
        <f t="shared" si="323"/>
        <v>0</v>
      </c>
      <c r="Y91" s="440">
        <f t="shared" si="323"/>
        <v>0</v>
      </c>
      <c r="Z91" s="440">
        <f t="shared" si="323"/>
        <v>0</v>
      </c>
      <c r="AA91" s="440">
        <f t="shared" si="323"/>
        <v>0</v>
      </c>
      <c r="AB91" s="440">
        <f t="shared" si="323"/>
        <v>0</v>
      </c>
      <c r="AC91" s="441">
        <f>P91</f>
        <v>0</v>
      </c>
      <c r="AD91" s="440">
        <f>AP91</f>
        <v>0</v>
      </c>
      <c r="AE91" s="440">
        <f t="shared" ref="AE91:AO91" si="324">AD91</f>
        <v>0</v>
      </c>
      <c r="AF91" s="440">
        <f t="shared" si="324"/>
        <v>0</v>
      </c>
      <c r="AG91" s="440">
        <f t="shared" si="324"/>
        <v>0</v>
      </c>
      <c r="AH91" s="440">
        <f t="shared" si="324"/>
        <v>0</v>
      </c>
      <c r="AI91" s="440">
        <f t="shared" si="324"/>
        <v>0</v>
      </c>
      <c r="AJ91" s="440">
        <f t="shared" si="324"/>
        <v>0</v>
      </c>
      <c r="AK91" s="440">
        <f t="shared" si="324"/>
        <v>0</v>
      </c>
      <c r="AL91" s="440">
        <f t="shared" si="324"/>
        <v>0</v>
      </c>
      <c r="AM91" s="440">
        <f t="shared" si="324"/>
        <v>0</v>
      </c>
      <c r="AN91" s="440">
        <f t="shared" si="324"/>
        <v>0</v>
      </c>
      <c r="AO91" s="440">
        <f t="shared" si="324"/>
        <v>0</v>
      </c>
      <c r="AP91" s="441">
        <f>AC91</f>
        <v>0</v>
      </c>
      <c r="AQ91" s="440">
        <f>BC91</f>
        <v>0</v>
      </c>
      <c r="AR91" s="440">
        <f t="shared" ref="AR91:BB91" si="325">AQ91</f>
        <v>0</v>
      </c>
      <c r="AS91" s="440">
        <f t="shared" si="325"/>
        <v>0</v>
      </c>
      <c r="AT91" s="440">
        <f t="shared" si="325"/>
        <v>0</v>
      </c>
      <c r="AU91" s="440">
        <f t="shared" si="325"/>
        <v>0</v>
      </c>
      <c r="AV91" s="440">
        <f t="shared" si="325"/>
        <v>0</v>
      </c>
      <c r="AW91" s="440">
        <f t="shared" si="325"/>
        <v>0</v>
      </c>
      <c r="AX91" s="440">
        <f t="shared" si="325"/>
        <v>0</v>
      </c>
      <c r="AY91" s="440">
        <f t="shared" si="325"/>
        <v>0</v>
      </c>
      <c r="AZ91" s="440">
        <f t="shared" si="325"/>
        <v>0</v>
      </c>
      <c r="BA91" s="440">
        <f t="shared" si="325"/>
        <v>0</v>
      </c>
      <c r="BB91" s="440">
        <f t="shared" si="325"/>
        <v>0</v>
      </c>
      <c r="BC91" s="441">
        <f>AP91</f>
        <v>0</v>
      </c>
      <c r="BD91" s="440">
        <f>BP91</f>
        <v>0</v>
      </c>
      <c r="BE91" s="440">
        <f t="shared" ref="BE91:BO91" si="326">BD91</f>
        <v>0</v>
      </c>
      <c r="BF91" s="440">
        <f t="shared" si="326"/>
        <v>0</v>
      </c>
      <c r="BG91" s="440">
        <f t="shared" si="326"/>
        <v>0</v>
      </c>
      <c r="BH91" s="440">
        <f t="shared" si="326"/>
        <v>0</v>
      </c>
      <c r="BI91" s="440">
        <f t="shared" si="326"/>
        <v>0</v>
      </c>
      <c r="BJ91" s="440">
        <f t="shared" si="326"/>
        <v>0</v>
      </c>
      <c r="BK91" s="440">
        <f t="shared" si="326"/>
        <v>0</v>
      </c>
      <c r="BL91" s="440">
        <f t="shared" si="326"/>
        <v>0</v>
      </c>
      <c r="BM91" s="440">
        <f t="shared" si="326"/>
        <v>0</v>
      </c>
      <c r="BN91" s="440">
        <f t="shared" si="326"/>
        <v>0</v>
      </c>
      <c r="BO91" s="440">
        <f t="shared" si="326"/>
        <v>0</v>
      </c>
      <c r="BP91" s="441">
        <f>BC91</f>
        <v>0</v>
      </c>
      <c r="CF91" s="442" t="s">
        <v>1002</v>
      </c>
      <c r="CG91" s="12" t="s">
        <v>966</v>
      </c>
    </row>
    <row r="92" spans="1:85" s="440" customFormat="1" ht="10.199999999999999">
      <c r="A92" s="442" t="s">
        <v>142</v>
      </c>
      <c r="B92" s="12" t="s">
        <v>130</v>
      </c>
      <c r="D92" s="440">
        <f>P92</f>
        <v>0</v>
      </c>
      <c r="E92" s="440">
        <f t="shared" ref="E92:O92" si="327">D92</f>
        <v>0</v>
      </c>
      <c r="F92" s="440">
        <f t="shared" si="327"/>
        <v>0</v>
      </c>
      <c r="G92" s="440">
        <f t="shared" si="327"/>
        <v>0</v>
      </c>
      <c r="H92" s="440">
        <f t="shared" si="327"/>
        <v>0</v>
      </c>
      <c r="I92" s="440">
        <f t="shared" si="327"/>
        <v>0</v>
      </c>
      <c r="J92" s="440">
        <f t="shared" si="327"/>
        <v>0</v>
      </c>
      <c r="K92" s="440">
        <f t="shared" si="327"/>
        <v>0</v>
      </c>
      <c r="L92" s="440">
        <f t="shared" si="327"/>
        <v>0</v>
      </c>
      <c r="M92" s="440">
        <f t="shared" si="327"/>
        <v>0</v>
      </c>
      <c r="N92" s="440">
        <f t="shared" si="327"/>
        <v>0</v>
      </c>
      <c r="O92" s="440">
        <f t="shared" si="327"/>
        <v>0</v>
      </c>
      <c r="P92" s="441">
        <v>0</v>
      </c>
      <c r="Q92" s="440">
        <f>AC92</f>
        <v>0</v>
      </c>
      <c r="R92" s="440">
        <f t="shared" ref="R92:AB92" si="328">Q92</f>
        <v>0</v>
      </c>
      <c r="S92" s="440">
        <f t="shared" si="328"/>
        <v>0</v>
      </c>
      <c r="T92" s="440">
        <f t="shared" si="328"/>
        <v>0</v>
      </c>
      <c r="U92" s="440">
        <f t="shared" si="328"/>
        <v>0</v>
      </c>
      <c r="V92" s="440">
        <f t="shared" si="328"/>
        <v>0</v>
      </c>
      <c r="W92" s="440">
        <f t="shared" si="328"/>
        <v>0</v>
      </c>
      <c r="X92" s="440">
        <f t="shared" si="328"/>
        <v>0</v>
      </c>
      <c r="Y92" s="440">
        <f t="shared" si="328"/>
        <v>0</v>
      </c>
      <c r="Z92" s="440">
        <f t="shared" si="328"/>
        <v>0</v>
      </c>
      <c r="AA92" s="440">
        <f t="shared" si="328"/>
        <v>0</v>
      </c>
      <c r="AB92" s="440">
        <f t="shared" si="328"/>
        <v>0</v>
      </c>
      <c r="AC92" s="441">
        <f>P92</f>
        <v>0</v>
      </c>
      <c r="AD92" s="440">
        <f>AP92</f>
        <v>0</v>
      </c>
      <c r="AE92" s="440">
        <f t="shared" ref="AE92:AO92" si="329">AD92</f>
        <v>0</v>
      </c>
      <c r="AF92" s="440">
        <f t="shared" si="329"/>
        <v>0</v>
      </c>
      <c r="AG92" s="440">
        <f t="shared" si="329"/>
        <v>0</v>
      </c>
      <c r="AH92" s="440">
        <f t="shared" si="329"/>
        <v>0</v>
      </c>
      <c r="AI92" s="440">
        <f t="shared" si="329"/>
        <v>0</v>
      </c>
      <c r="AJ92" s="440">
        <f t="shared" si="329"/>
        <v>0</v>
      </c>
      <c r="AK92" s="440">
        <f t="shared" si="329"/>
        <v>0</v>
      </c>
      <c r="AL92" s="440">
        <f t="shared" si="329"/>
        <v>0</v>
      </c>
      <c r="AM92" s="440">
        <f t="shared" si="329"/>
        <v>0</v>
      </c>
      <c r="AN92" s="440">
        <f t="shared" si="329"/>
        <v>0</v>
      </c>
      <c r="AO92" s="440">
        <f t="shared" si="329"/>
        <v>0</v>
      </c>
      <c r="AP92" s="441">
        <f>AC92</f>
        <v>0</v>
      </c>
      <c r="AQ92" s="440">
        <f>BC92</f>
        <v>0</v>
      </c>
      <c r="AR92" s="440">
        <f t="shared" ref="AR92:BB92" si="330">AQ92</f>
        <v>0</v>
      </c>
      <c r="AS92" s="440">
        <f t="shared" si="330"/>
        <v>0</v>
      </c>
      <c r="AT92" s="440">
        <f t="shared" si="330"/>
        <v>0</v>
      </c>
      <c r="AU92" s="440">
        <f t="shared" si="330"/>
        <v>0</v>
      </c>
      <c r="AV92" s="440">
        <f t="shared" si="330"/>
        <v>0</v>
      </c>
      <c r="AW92" s="440">
        <f t="shared" si="330"/>
        <v>0</v>
      </c>
      <c r="AX92" s="440">
        <f t="shared" si="330"/>
        <v>0</v>
      </c>
      <c r="AY92" s="440">
        <f t="shared" si="330"/>
        <v>0</v>
      </c>
      <c r="AZ92" s="440">
        <f t="shared" si="330"/>
        <v>0</v>
      </c>
      <c r="BA92" s="440">
        <f t="shared" si="330"/>
        <v>0</v>
      </c>
      <c r="BB92" s="440">
        <f t="shared" si="330"/>
        <v>0</v>
      </c>
      <c r="BC92" s="441">
        <f>AP92</f>
        <v>0</v>
      </c>
      <c r="BD92" s="440">
        <f>BP92</f>
        <v>0</v>
      </c>
      <c r="BE92" s="440">
        <f t="shared" ref="BE92:BO92" si="331">BD92</f>
        <v>0</v>
      </c>
      <c r="BF92" s="440">
        <f t="shared" si="331"/>
        <v>0</v>
      </c>
      <c r="BG92" s="440">
        <f t="shared" si="331"/>
        <v>0</v>
      </c>
      <c r="BH92" s="440">
        <f t="shared" si="331"/>
        <v>0</v>
      </c>
      <c r="BI92" s="440">
        <f t="shared" si="331"/>
        <v>0</v>
      </c>
      <c r="BJ92" s="440">
        <f t="shared" si="331"/>
        <v>0</v>
      </c>
      <c r="BK92" s="440">
        <f t="shared" si="331"/>
        <v>0</v>
      </c>
      <c r="BL92" s="440">
        <f t="shared" si="331"/>
        <v>0</v>
      </c>
      <c r="BM92" s="440">
        <f t="shared" si="331"/>
        <v>0</v>
      </c>
      <c r="BN92" s="440">
        <f t="shared" si="331"/>
        <v>0</v>
      </c>
      <c r="BO92" s="440">
        <f t="shared" si="331"/>
        <v>0</v>
      </c>
      <c r="BP92" s="441">
        <f>BC92</f>
        <v>0</v>
      </c>
      <c r="CF92" s="442" t="s">
        <v>1003</v>
      </c>
      <c r="CG92" s="12" t="s">
        <v>966</v>
      </c>
    </row>
    <row r="93" spans="1:85" s="440" customFormat="1" ht="10.199999999999999">
      <c r="A93" s="442" t="s">
        <v>145</v>
      </c>
      <c r="B93" s="12" t="s">
        <v>130</v>
      </c>
      <c r="D93" s="440">
        <f>P93</f>
        <v>0</v>
      </c>
      <c r="E93" s="440">
        <f t="shared" ref="E93:O93" si="332">D93</f>
        <v>0</v>
      </c>
      <c r="F93" s="440">
        <f t="shared" si="332"/>
        <v>0</v>
      </c>
      <c r="G93" s="440">
        <f t="shared" si="332"/>
        <v>0</v>
      </c>
      <c r="H93" s="440">
        <f t="shared" si="332"/>
        <v>0</v>
      </c>
      <c r="I93" s="440">
        <f t="shared" si="332"/>
        <v>0</v>
      </c>
      <c r="J93" s="440">
        <f t="shared" si="332"/>
        <v>0</v>
      </c>
      <c r="K93" s="440">
        <f t="shared" si="332"/>
        <v>0</v>
      </c>
      <c r="L93" s="440">
        <f t="shared" si="332"/>
        <v>0</v>
      </c>
      <c r="M93" s="440">
        <f t="shared" si="332"/>
        <v>0</v>
      </c>
      <c r="N93" s="440">
        <f t="shared" si="332"/>
        <v>0</v>
      </c>
      <c r="O93" s="440">
        <f t="shared" si="332"/>
        <v>0</v>
      </c>
      <c r="P93" s="441">
        <v>0</v>
      </c>
      <c r="Q93" s="440">
        <f>AC93</f>
        <v>0</v>
      </c>
      <c r="R93" s="440">
        <f t="shared" ref="R93:AB93" si="333">Q93</f>
        <v>0</v>
      </c>
      <c r="S93" s="440">
        <f t="shared" si="333"/>
        <v>0</v>
      </c>
      <c r="T93" s="440">
        <f t="shared" si="333"/>
        <v>0</v>
      </c>
      <c r="U93" s="440">
        <f t="shared" si="333"/>
        <v>0</v>
      </c>
      <c r="V93" s="440">
        <f t="shared" si="333"/>
        <v>0</v>
      </c>
      <c r="W93" s="440">
        <f t="shared" si="333"/>
        <v>0</v>
      </c>
      <c r="X93" s="440">
        <f t="shared" si="333"/>
        <v>0</v>
      </c>
      <c r="Y93" s="440">
        <f t="shared" si="333"/>
        <v>0</v>
      </c>
      <c r="Z93" s="440">
        <f t="shared" si="333"/>
        <v>0</v>
      </c>
      <c r="AA93" s="440">
        <f t="shared" si="333"/>
        <v>0</v>
      </c>
      <c r="AB93" s="440">
        <f t="shared" si="333"/>
        <v>0</v>
      </c>
      <c r="AC93" s="441">
        <f>P93</f>
        <v>0</v>
      </c>
      <c r="AD93" s="440">
        <f>AP93</f>
        <v>0</v>
      </c>
      <c r="AE93" s="440">
        <f t="shared" ref="AE93:AO93" si="334">AD93</f>
        <v>0</v>
      </c>
      <c r="AF93" s="440">
        <f t="shared" si="334"/>
        <v>0</v>
      </c>
      <c r="AG93" s="440">
        <f t="shared" si="334"/>
        <v>0</v>
      </c>
      <c r="AH93" s="440">
        <f t="shared" si="334"/>
        <v>0</v>
      </c>
      <c r="AI93" s="440">
        <f t="shared" si="334"/>
        <v>0</v>
      </c>
      <c r="AJ93" s="440">
        <f t="shared" si="334"/>
        <v>0</v>
      </c>
      <c r="AK93" s="440">
        <f t="shared" si="334"/>
        <v>0</v>
      </c>
      <c r="AL93" s="440">
        <f t="shared" si="334"/>
        <v>0</v>
      </c>
      <c r="AM93" s="440">
        <f t="shared" si="334"/>
        <v>0</v>
      </c>
      <c r="AN93" s="440">
        <f t="shared" si="334"/>
        <v>0</v>
      </c>
      <c r="AO93" s="440">
        <f t="shared" si="334"/>
        <v>0</v>
      </c>
      <c r="AP93" s="441">
        <f>AC93</f>
        <v>0</v>
      </c>
      <c r="AQ93" s="440">
        <f>BC93</f>
        <v>0</v>
      </c>
      <c r="AR93" s="440">
        <f t="shared" ref="AR93:BB93" si="335">AQ93</f>
        <v>0</v>
      </c>
      <c r="AS93" s="440">
        <f t="shared" si="335"/>
        <v>0</v>
      </c>
      <c r="AT93" s="440">
        <f t="shared" si="335"/>
        <v>0</v>
      </c>
      <c r="AU93" s="440">
        <f t="shared" si="335"/>
        <v>0</v>
      </c>
      <c r="AV93" s="440">
        <f t="shared" si="335"/>
        <v>0</v>
      </c>
      <c r="AW93" s="440">
        <f t="shared" si="335"/>
        <v>0</v>
      </c>
      <c r="AX93" s="440">
        <f t="shared" si="335"/>
        <v>0</v>
      </c>
      <c r="AY93" s="440">
        <f t="shared" si="335"/>
        <v>0</v>
      </c>
      <c r="AZ93" s="440">
        <f t="shared" si="335"/>
        <v>0</v>
      </c>
      <c r="BA93" s="440">
        <f t="shared" si="335"/>
        <v>0</v>
      </c>
      <c r="BB93" s="440">
        <f t="shared" si="335"/>
        <v>0</v>
      </c>
      <c r="BC93" s="441">
        <f>AP93</f>
        <v>0</v>
      </c>
      <c r="BD93" s="440">
        <f>BP93</f>
        <v>0</v>
      </c>
      <c r="BE93" s="440">
        <f t="shared" ref="BE93:BO93" si="336">BD93</f>
        <v>0</v>
      </c>
      <c r="BF93" s="440">
        <f t="shared" si="336"/>
        <v>0</v>
      </c>
      <c r="BG93" s="440">
        <f t="shared" si="336"/>
        <v>0</v>
      </c>
      <c r="BH93" s="440">
        <f t="shared" si="336"/>
        <v>0</v>
      </c>
      <c r="BI93" s="440">
        <f t="shared" si="336"/>
        <v>0</v>
      </c>
      <c r="BJ93" s="440">
        <f t="shared" si="336"/>
        <v>0</v>
      </c>
      <c r="BK93" s="440">
        <f t="shared" si="336"/>
        <v>0</v>
      </c>
      <c r="BL93" s="440">
        <f t="shared" si="336"/>
        <v>0</v>
      </c>
      <c r="BM93" s="440">
        <f t="shared" si="336"/>
        <v>0</v>
      </c>
      <c r="BN93" s="440">
        <f t="shared" si="336"/>
        <v>0</v>
      </c>
      <c r="BO93" s="440">
        <f t="shared" si="336"/>
        <v>0</v>
      </c>
      <c r="BP93" s="441">
        <f>BC93</f>
        <v>0</v>
      </c>
      <c r="CF93" s="442" t="s">
        <v>1004</v>
      </c>
      <c r="CG93" s="12" t="s">
        <v>966</v>
      </c>
    </row>
    <row r="94" spans="1:85" s="440" customFormat="1" ht="10.199999999999999">
      <c r="A94" s="442" t="s">
        <v>620</v>
      </c>
      <c r="B94" s="12" t="s">
        <v>130</v>
      </c>
      <c r="D94" s="440">
        <f>P94</f>
        <v>0</v>
      </c>
      <c r="E94" s="440">
        <f t="shared" ref="E94:O94" si="337">D94</f>
        <v>0</v>
      </c>
      <c r="F94" s="440">
        <f t="shared" si="337"/>
        <v>0</v>
      </c>
      <c r="G94" s="440">
        <f t="shared" si="337"/>
        <v>0</v>
      </c>
      <c r="H94" s="440">
        <f t="shared" si="337"/>
        <v>0</v>
      </c>
      <c r="I94" s="440">
        <f t="shared" si="337"/>
        <v>0</v>
      </c>
      <c r="J94" s="440">
        <f t="shared" si="337"/>
        <v>0</v>
      </c>
      <c r="K94" s="440">
        <f t="shared" si="337"/>
        <v>0</v>
      </c>
      <c r="L94" s="440">
        <f t="shared" si="337"/>
        <v>0</v>
      </c>
      <c r="M94" s="440">
        <f t="shared" si="337"/>
        <v>0</v>
      </c>
      <c r="N94" s="440">
        <f t="shared" si="337"/>
        <v>0</v>
      </c>
      <c r="O94" s="440">
        <f t="shared" si="337"/>
        <v>0</v>
      </c>
      <c r="P94" s="441">
        <v>0</v>
      </c>
      <c r="Q94" s="440">
        <f>AC94</f>
        <v>0</v>
      </c>
      <c r="R94" s="440">
        <f t="shared" ref="R94:AB94" si="338">Q94</f>
        <v>0</v>
      </c>
      <c r="S94" s="440">
        <f t="shared" si="338"/>
        <v>0</v>
      </c>
      <c r="T94" s="440">
        <f t="shared" si="338"/>
        <v>0</v>
      </c>
      <c r="U94" s="440">
        <f t="shared" si="338"/>
        <v>0</v>
      </c>
      <c r="V94" s="440">
        <f t="shared" si="338"/>
        <v>0</v>
      </c>
      <c r="W94" s="440">
        <f t="shared" si="338"/>
        <v>0</v>
      </c>
      <c r="X94" s="440">
        <f t="shared" si="338"/>
        <v>0</v>
      </c>
      <c r="Y94" s="440">
        <f t="shared" si="338"/>
        <v>0</v>
      </c>
      <c r="Z94" s="440">
        <f t="shared" si="338"/>
        <v>0</v>
      </c>
      <c r="AA94" s="440">
        <f t="shared" si="338"/>
        <v>0</v>
      </c>
      <c r="AB94" s="440">
        <f t="shared" si="338"/>
        <v>0</v>
      </c>
      <c r="AC94" s="441">
        <f>P94</f>
        <v>0</v>
      </c>
      <c r="AD94" s="440">
        <f>AP94</f>
        <v>0</v>
      </c>
      <c r="AE94" s="440">
        <f t="shared" ref="AE94:AO94" si="339">AD94</f>
        <v>0</v>
      </c>
      <c r="AF94" s="440">
        <f t="shared" si="339"/>
        <v>0</v>
      </c>
      <c r="AG94" s="440">
        <f t="shared" si="339"/>
        <v>0</v>
      </c>
      <c r="AH94" s="440">
        <f t="shared" si="339"/>
        <v>0</v>
      </c>
      <c r="AI94" s="440">
        <f t="shared" si="339"/>
        <v>0</v>
      </c>
      <c r="AJ94" s="440">
        <f t="shared" si="339"/>
        <v>0</v>
      </c>
      <c r="AK94" s="440">
        <f t="shared" si="339"/>
        <v>0</v>
      </c>
      <c r="AL94" s="440">
        <f t="shared" si="339"/>
        <v>0</v>
      </c>
      <c r="AM94" s="440">
        <f t="shared" si="339"/>
        <v>0</v>
      </c>
      <c r="AN94" s="440">
        <f t="shared" si="339"/>
        <v>0</v>
      </c>
      <c r="AO94" s="440">
        <f t="shared" si="339"/>
        <v>0</v>
      </c>
      <c r="AP94" s="441">
        <f>AC94</f>
        <v>0</v>
      </c>
      <c r="AQ94" s="440">
        <f>BC94</f>
        <v>0</v>
      </c>
      <c r="AR94" s="440">
        <f t="shared" ref="AR94:BB94" si="340">AQ94</f>
        <v>0</v>
      </c>
      <c r="AS94" s="440">
        <f t="shared" si="340"/>
        <v>0</v>
      </c>
      <c r="AT94" s="440">
        <f t="shared" si="340"/>
        <v>0</v>
      </c>
      <c r="AU94" s="440">
        <f t="shared" si="340"/>
        <v>0</v>
      </c>
      <c r="AV94" s="440">
        <f t="shared" si="340"/>
        <v>0</v>
      </c>
      <c r="AW94" s="440">
        <f t="shared" si="340"/>
        <v>0</v>
      </c>
      <c r="AX94" s="440">
        <f t="shared" si="340"/>
        <v>0</v>
      </c>
      <c r="AY94" s="440">
        <f t="shared" si="340"/>
        <v>0</v>
      </c>
      <c r="AZ94" s="440">
        <f t="shared" si="340"/>
        <v>0</v>
      </c>
      <c r="BA94" s="440">
        <f t="shared" si="340"/>
        <v>0</v>
      </c>
      <c r="BB94" s="440">
        <f t="shared" si="340"/>
        <v>0</v>
      </c>
      <c r="BC94" s="441">
        <f>AP94</f>
        <v>0</v>
      </c>
      <c r="BD94" s="440">
        <f>BP94</f>
        <v>0</v>
      </c>
      <c r="BE94" s="440">
        <f t="shared" ref="BE94:BO94" si="341">BD94</f>
        <v>0</v>
      </c>
      <c r="BF94" s="440">
        <f t="shared" si="341"/>
        <v>0</v>
      </c>
      <c r="BG94" s="440">
        <f t="shared" si="341"/>
        <v>0</v>
      </c>
      <c r="BH94" s="440">
        <f t="shared" si="341"/>
        <v>0</v>
      </c>
      <c r="BI94" s="440">
        <f t="shared" si="341"/>
        <v>0</v>
      </c>
      <c r="BJ94" s="440">
        <f t="shared" si="341"/>
        <v>0</v>
      </c>
      <c r="BK94" s="440">
        <f t="shared" si="341"/>
        <v>0</v>
      </c>
      <c r="BL94" s="440">
        <f t="shared" si="341"/>
        <v>0</v>
      </c>
      <c r="BM94" s="440">
        <f t="shared" si="341"/>
        <v>0</v>
      </c>
      <c r="BN94" s="440">
        <f t="shared" si="341"/>
        <v>0</v>
      </c>
      <c r="BO94" s="440">
        <f t="shared" si="341"/>
        <v>0</v>
      </c>
      <c r="BP94" s="441">
        <f>BC94</f>
        <v>0</v>
      </c>
      <c r="CF94" s="442" t="s">
        <v>1005</v>
      </c>
      <c r="CG94" s="12" t="s">
        <v>966</v>
      </c>
    </row>
    <row r="95" spans="1:85">
      <c r="P95" s="349"/>
      <c r="AC95" s="349"/>
      <c r="AP95" s="349"/>
      <c r="BC95" s="349"/>
      <c r="BP95" s="349"/>
    </row>
    <row r="96" spans="1:85" s="1" customFormat="1">
      <c r="A96" s="421"/>
      <c r="B96" s="423" t="s">
        <v>665</v>
      </c>
      <c r="C96" s="422"/>
      <c r="D96" s="421" t="s">
        <v>107</v>
      </c>
      <c r="E96" s="421" t="s">
        <v>135</v>
      </c>
      <c r="F96" s="421" t="s">
        <v>136</v>
      </c>
      <c r="G96" s="421" t="s">
        <v>137</v>
      </c>
      <c r="H96" s="421" t="s">
        <v>138</v>
      </c>
      <c r="I96" s="421" t="s">
        <v>139</v>
      </c>
      <c r="J96" s="421" t="s">
        <v>140</v>
      </c>
      <c r="K96" s="421" t="s">
        <v>141</v>
      </c>
      <c r="L96" s="421" t="s">
        <v>142</v>
      </c>
      <c r="M96" s="421" t="s">
        <v>143</v>
      </c>
      <c r="N96" s="421" t="s">
        <v>144</v>
      </c>
      <c r="O96" s="421" t="s">
        <v>145</v>
      </c>
      <c r="P96" s="420" t="s">
        <v>146</v>
      </c>
      <c r="Q96" s="421" t="s">
        <v>107</v>
      </c>
      <c r="R96" s="421" t="s">
        <v>135</v>
      </c>
      <c r="S96" s="421" t="s">
        <v>136</v>
      </c>
      <c r="T96" s="421" t="s">
        <v>137</v>
      </c>
      <c r="U96" s="421" t="s">
        <v>138</v>
      </c>
      <c r="V96" s="421" t="s">
        <v>139</v>
      </c>
      <c r="W96" s="421" t="s">
        <v>140</v>
      </c>
      <c r="X96" s="421" t="s">
        <v>141</v>
      </c>
      <c r="Y96" s="421" t="s">
        <v>142</v>
      </c>
      <c r="Z96" s="421" t="s">
        <v>143</v>
      </c>
      <c r="AA96" s="421" t="s">
        <v>144</v>
      </c>
      <c r="AB96" s="421" t="s">
        <v>145</v>
      </c>
      <c r="AC96" s="420" t="s">
        <v>151</v>
      </c>
      <c r="AD96" s="421" t="s">
        <v>107</v>
      </c>
      <c r="AE96" s="421" t="s">
        <v>135</v>
      </c>
      <c r="AF96" s="421" t="s">
        <v>136</v>
      </c>
      <c r="AG96" s="421" t="s">
        <v>137</v>
      </c>
      <c r="AH96" s="421" t="s">
        <v>138</v>
      </c>
      <c r="AI96" s="421" t="s">
        <v>139</v>
      </c>
      <c r="AJ96" s="421" t="s">
        <v>140</v>
      </c>
      <c r="AK96" s="421" t="s">
        <v>141</v>
      </c>
      <c r="AL96" s="421" t="s">
        <v>142</v>
      </c>
      <c r="AM96" s="421" t="s">
        <v>143</v>
      </c>
      <c r="AN96" s="421" t="s">
        <v>144</v>
      </c>
      <c r="AO96" s="421" t="s">
        <v>145</v>
      </c>
      <c r="AP96" s="420" t="s">
        <v>152</v>
      </c>
      <c r="AQ96" s="421" t="s">
        <v>107</v>
      </c>
      <c r="AR96" s="421" t="s">
        <v>135</v>
      </c>
      <c r="AS96" s="421" t="s">
        <v>136</v>
      </c>
      <c r="AT96" s="421" t="s">
        <v>137</v>
      </c>
      <c r="AU96" s="421" t="s">
        <v>138</v>
      </c>
      <c r="AV96" s="421" t="s">
        <v>139</v>
      </c>
      <c r="AW96" s="421" t="s">
        <v>140</v>
      </c>
      <c r="AX96" s="421" t="s">
        <v>141</v>
      </c>
      <c r="AY96" s="421" t="s">
        <v>142</v>
      </c>
      <c r="AZ96" s="421" t="s">
        <v>143</v>
      </c>
      <c r="BA96" s="421" t="s">
        <v>144</v>
      </c>
      <c r="BB96" s="421" t="s">
        <v>145</v>
      </c>
      <c r="BC96" s="420" t="s">
        <v>153</v>
      </c>
      <c r="BD96" s="421" t="s">
        <v>107</v>
      </c>
      <c r="BE96" s="421" t="s">
        <v>135</v>
      </c>
      <c r="BF96" s="421" t="s">
        <v>136</v>
      </c>
      <c r="BG96" s="421" t="s">
        <v>137</v>
      </c>
      <c r="BH96" s="421" t="s">
        <v>138</v>
      </c>
      <c r="BI96" s="421" t="s">
        <v>139</v>
      </c>
      <c r="BJ96" s="421" t="s">
        <v>140</v>
      </c>
      <c r="BK96" s="421" t="s">
        <v>141</v>
      </c>
      <c r="BL96" s="421" t="s">
        <v>142</v>
      </c>
      <c r="BM96" s="421" t="s">
        <v>143</v>
      </c>
      <c r="BN96" s="421" t="s">
        <v>144</v>
      </c>
      <c r="BO96" s="421" t="s">
        <v>145</v>
      </c>
      <c r="BP96" s="420" t="s">
        <v>154</v>
      </c>
      <c r="CF96" s="421"/>
      <c r="CG96" s="423"/>
    </row>
    <row r="97" spans="1:85" s="3" customFormat="1">
      <c r="A97" s="296" t="s">
        <v>513</v>
      </c>
      <c r="B97" s="12" t="s">
        <v>502</v>
      </c>
      <c r="C97" s="5"/>
      <c r="D97" s="3">
        <f t="shared" ref="D97:O97" si="342">D98+D99</f>
        <v>0</v>
      </c>
      <c r="E97" s="3">
        <f t="shared" si="342"/>
        <v>0</v>
      </c>
      <c r="F97" s="3">
        <f t="shared" si="342"/>
        <v>0</v>
      </c>
      <c r="G97" s="3">
        <f t="shared" si="342"/>
        <v>0</v>
      </c>
      <c r="H97" s="3">
        <f t="shared" si="342"/>
        <v>0</v>
      </c>
      <c r="I97" s="3">
        <f t="shared" si="342"/>
        <v>0</v>
      </c>
      <c r="J97" s="3">
        <f t="shared" si="342"/>
        <v>0</v>
      </c>
      <c r="K97" s="3">
        <f t="shared" si="342"/>
        <v>0</v>
      </c>
      <c r="L97" s="3">
        <f t="shared" si="342"/>
        <v>-0.284616538075252</v>
      </c>
      <c r="M97" s="3">
        <f t="shared" si="342"/>
        <v>-0.88080366395412479</v>
      </c>
      <c r="N97" s="3">
        <f t="shared" si="342"/>
        <v>-1.4158151541944701</v>
      </c>
      <c r="O97" s="3">
        <f t="shared" si="342"/>
        <v>-2.0216551284259077</v>
      </c>
      <c r="P97" s="397">
        <f t="shared" ref="P97:P120" si="343">SUM(D97:O97)</f>
        <v>-4.6028904846497554</v>
      </c>
      <c r="Q97" s="3">
        <f t="shared" ref="Q97:AB97" si="344">Q98+Q99</f>
        <v>-4.1797918896394126</v>
      </c>
      <c r="R97" s="3">
        <f t="shared" si="344"/>
        <v>-7.4882724933346339</v>
      </c>
      <c r="S97" s="3">
        <f t="shared" si="344"/>
        <v>-12.409864297765642</v>
      </c>
      <c r="T97" s="3">
        <f t="shared" si="344"/>
        <v>-16.094583790888549</v>
      </c>
      <c r="U97" s="3">
        <f t="shared" si="344"/>
        <v>-20.942571740273877</v>
      </c>
      <c r="V97" s="3">
        <f t="shared" si="344"/>
        <v>-24.515569144556427</v>
      </c>
      <c r="W97" s="3">
        <f t="shared" si="344"/>
        <v>-29.790046927040571</v>
      </c>
      <c r="X97" s="3">
        <f t="shared" si="344"/>
        <v>-34.302943799581278</v>
      </c>
      <c r="Y97" s="3">
        <f t="shared" si="344"/>
        <v>-37.606483665059805</v>
      </c>
      <c r="Z97" s="3">
        <f t="shared" si="344"/>
        <v>-43.450018454911685</v>
      </c>
      <c r="AA97" s="3">
        <f t="shared" si="344"/>
        <v>-46.511363511009542</v>
      </c>
      <c r="AB97" s="3">
        <f t="shared" si="344"/>
        <v>-52.566797452475541</v>
      </c>
      <c r="AC97" s="397">
        <f t="shared" ref="AC97:AC120" si="345">SUM(Q97:AB97)</f>
        <v>-329.85830716653697</v>
      </c>
      <c r="AD97" s="3">
        <f t="shared" ref="AD97:AO97" si="346">AD98+AD99</f>
        <v>-53.561367540143131</v>
      </c>
      <c r="AE97" s="3">
        <f t="shared" si="346"/>
        <v>-54.171739291247427</v>
      </c>
      <c r="AF97" s="3">
        <f t="shared" si="346"/>
        <v>-64.024105325710934</v>
      </c>
      <c r="AG97" s="3">
        <f t="shared" si="346"/>
        <v>-65.949204377015178</v>
      </c>
      <c r="AH97" s="3">
        <f t="shared" si="346"/>
        <v>-72.330372113049265</v>
      </c>
      <c r="AI97" s="3">
        <f t="shared" si="346"/>
        <v>-74.087632789841351</v>
      </c>
      <c r="AJ97" s="3">
        <f t="shared" si="346"/>
        <v>-80.812851053928597</v>
      </c>
      <c r="AK97" s="3">
        <f t="shared" si="346"/>
        <v>-85.082348923333797</v>
      </c>
      <c r="AL97" s="3">
        <f t="shared" si="346"/>
        <v>-86.468823342602462</v>
      </c>
      <c r="AM97" s="3">
        <f t="shared" si="346"/>
        <v>-93.604903753031465</v>
      </c>
      <c r="AN97" s="3">
        <f t="shared" si="346"/>
        <v>-94.674022304268377</v>
      </c>
      <c r="AO97" s="3">
        <f t="shared" si="346"/>
        <v>-101.86184082863208</v>
      </c>
      <c r="AP97" s="397">
        <f t="shared" ref="AP97:AP120" si="347">SUM(AD97:AO97)</f>
        <v>-926.62921164280431</v>
      </c>
      <c r="AQ97" s="3">
        <f t="shared" ref="AQ97:BB97" si="348">AQ98+AQ99</f>
        <v>-94.908229410105321</v>
      </c>
      <c r="AR97" s="3">
        <f t="shared" si="348"/>
        <v>-90.915755409948019</v>
      </c>
      <c r="AS97" s="3">
        <f t="shared" si="348"/>
        <v>-101.9745738393289</v>
      </c>
      <c r="AT97" s="3">
        <f t="shared" si="348"/>
        <v>-100.00287634828545</v>
      </c>
      <c r="AU97" s="3">
        <f t="shared" si="348"/>
        <v>-104.72705659672113</v>
      </c>
      <c r="AV97" s="3">
        <f t="shared" si="348"/>
        <v>-102.70870407136496</v>
      </c>
      <c r="AW97" s="3">
        <f t="shared" si="348"/>
        <v>-107.53801065370587</v>
      </c>
      <c r="AX97" s="3">
        <f t="shared" si="348"/>
        <v>-108.93041147280792</v>
      </c>
      <c r="AY97" s="3">
        <f t="shared" si="348"/>
        <v>-106.73832451793149</v>
      </c>
      <c r="AZ97" s="3">
        <f t="shared" si="348"/>
        <v>-111.6227721459141</v>
      </c>
      <c r="BA97" s="3">
        <f t="shared" si="348"/>
        <v>-109.25572196931341</v>
      </c>
      <c r="BB97" s="3">
        <f t="shared" si="348"/>
        <v>-113.98100822146381</v>
      </c>
      <c r="BC97" s="397">
        <f t="shared" ref="BC97:BC120" si="349">SUM(AQ97:BB97)</f>
        <v>-1253.3034446568902</v>
      </c>
      <c r="BD97" s="3">
        <f t="shared" ref="BD97:BO97" si="350">BD98+BD99</f>
        <v>-95.817383022054599</v>
      </c>
      <c r="BE97" s="3">
        <f t="shared" si="350"/>
        <v>-89.431347127457428</v>
      </c>
      <c r="BF97" s="3">
        <f t="shared" si="350"/>
        <v>-97.664976642874819</v>
      </c>
      <c r="BG97" s="3">
        <f t="shared" si="350"/>
        <v>-93.244280260352525</v>
      </c>
      <c r="BH97" s="3">
        <f t="shared" si="350"/>
        <v>-95.06008447014085</v>
      </c>
      <c r="BI97" s="3">
        <f t="shared" si="350"/>
        <v>-90.748008237119336</v>
      </c>
      <c r="BJ97" s="3">
        <f t="shared" si="350"/>
        <v>-92.47650601913827</v>
      </c>
      <c r="BK97" s="3">
        <f t="shared" si="350"/>
        <v>-91.156834370837089</v>
      </c>
      <c r="BL97" s="3">
        <f t="shared" si="350"/>
        <v>-86.903752890459714</v>
      </c>
      <c r="BM97" s="3">
        <f t="shared" si="350"/>
        <v>-88.394826866834933</v>
      </c>
      <c r="BN97" s="3">
        <f t="shared" si="350"/>
        <v>-84.123341682733553</v>
      </c>
      <c r="BO97" s="3">
        <f t="shared" si="350"/>
        <v>-85.299921012727452</v>
      </c>
      <c r="BP97" s="397">
        <f t="shared" ref="BP97:BP120" si="351">SUM(BD97:BO97)</f>
        <v>-1090.3212626027305</v>
      </c>
      <c r="CF97" s="296" t="s">
        <v>871</v>
      </c>
      <c r="CG97" s="12" t="s">
        <v>965</v>
      </c>
    </row>
    <row r="98" spans="1:85" s="5" customFormat="1" outlineLevel="1">
      <c r="A98" s="297" t="s">
        <v>466</v>
      </c>
      <c r="B98" s="12" t="s">
        <v>502</v>
      </c>
      <c r="D98" s="5">
        <f t="shared" ref="D98:O98" si="352">AVERAGE(C45:D45)*D75/365*D1</f>
        <v>0</v>
      </c>
      <c r="E98" s="5">
        <f t="shared" si="352"/>
        <v>0</v>
      </c>
      <c r="F98" s="5">
        <f t="shared" si="352"/>
        <v>0</v>
      </c>
      <c r="G98" s="5">
        <f t="shared" si="352"/>
        <v>0</v>
      </c>
      <c r="H98" s="5">
        <f t="shared" si="352"/>
        <v>0</v>
      </c>
      <c r="I98" s="5">
        <f t="shared" si="352"/>
        <v>0</v>
      </c>
      <c r="J98" s="5">
        <f t="shared" si="352"/>
        <v>0</v>
      </c>
      <c r="K98" s="5">
        <f t="shared" si="352"/>
        <v>0</v>
      </c>
      <c r="L98" s="5">
        <f t="shared" si="352"/>
        <v>7.1106999197375328E-2</v>
      </c>
      <c r="M98" s="5">
        <f t="shared" si="352"/>
        <v>0.24108051861114735</v>
      </c>
      <c r="N98" s="5">
        <f t="shared" si="352"/>
        <v>0.4366057644791479</v>
      </c>
      <c r="O98" s="5">
        <f t="shared" si="352"/>
        <v>0.70029577911407748</v>
      </c>
      <c r="P98" s="383">
        <f t="shared" si="343"/>
        <v>1.449089061401748</v>
      </c>
      <c r="Q98" s="5">
        <f t="shared" ref="Q98:AB98" si="353">AVERAGE(P45:Q45)*Q75/365*Q1</f>
        <v>1.7015731306615423</v>
      </c>
      <c r="R98" s="5">
        <f t="shared" si="353"/>
        <v>3.1416969529055123</v>
      </c>
      <c r="S98" s="5">
        <f t="shared" si="353"/>
        <v>5.3796404414180348</v>
      </c>
      <c r="T98" s="5">
        <f t="shared" si="353"/>
        <v>7.2103934506818295</v>
      </c>
      <c r="U98" s="5">
        <f t="shared" si="353"/>
        <v>9.6947595655941896</v>
      </c>
      <c r="V98" s="5">
        <f t="shared" si="353"/>
        <v>11.723716895645193</v>
      </c>
      <c r="W98" s="5">
        <f t="shared" si="353"/>
        <v>14.712440616402887</v>
      </c>
      <c r="X98" s="5">
        <f t="shared" si="353"/>
        <v>17.490661013972463</v>
      </c>
      <c r="Y98" s="5">
        <f t="shared" si="353"/>
        <v>19.791205698630449</v>
      </c>
      <c r="Z98" s="5">
        <f t="shared" si="353"/>
        <v>23.594579137552767</v>
      </c>
      <c r="AA98" s="5">
        <f t="shared" si="353"/>
        <v>26.054210121548174</v>
      </c>
      <c r="AB98" s="5">
        <f t="shared" si="353"/>
        <v>30.367067799469893</v>
      </c>
      <c r="AC98" s="383">
        <f t="shared" si="345"/>
        <v>170.86194482448292</v>
      </c>
      <c r="AD98" s="5">
        <f t="shared" ref="AD98:AO98" si="354">AVERAGE(AC45:AD45)*AD75/365*AD1</f>
        <v>35.594973767586374</v>
      </c>
      <c r="AE98" s="5">
        <f t="shared" si="354"/>
        <v>37.133071721414687</v>
      </c>
      <c r="AF98" s="5">
        <f t="shared" si="354"/>
        <v>45.292958829177046</v>
      </c>
      <c r="AG98" s="5">
        <f t="shared" si="354"/>
        <v>48.142088240872759</v>
      </c>
      <c r="AH98" s="5">
        <f t="shared" si="354"/>
        <v>54.47542552385417</v>
      </c>
      <c r="AI98" s="5">
        <f t="shared" si="354"/>
        <v>57.561705045287582</v>
      </c>
      <c r="AJ98" s="5">
        <f t="shared" si="354"/>
        <v>64.762955620573706</v>
      </c>
      <c r="AK98" s="5">
        <f t="shared" si="354"/>
        <v>70.323587697861228</v>
      </c>
      <c r="AL98" s="5">
        <f t="shared" si="354"/>
        <v>73.705519130124088</v>
      </c>
      <c r="AM98" s="5">
        <f t="shared" si="354"/>
        <v>82.278817486023087</v>
      </c>
      <c r="AN98" s="5">
        <f t="shared" si="354"/>
        <v>85.81154058637118</v>
      </c>
      <c r="AO98" s="5">
        <f t="shared" si="354"/>
        <v>95.197383329952984</v>
      </c>
      <c r="AP98" s="383">
        <f t="shared" si="347"/>
        <v>750.28002697909892</v>
      </c>
      <c r="AQ98" s="5">
        <f t="shared" ref="AQ98:BB98" si="355">AVERAGE(AP45:AQ45)*AQ75/365*AQ1</f>
        <v>105.89124866930857</v>
      </c>
      <c r="AR98" s="5">
        <f t="shared" si="355"/>
        <v>104.76282743846537</v>
      </c>
      <c r="AS98" s="5">
        <f t="shared" si="355"/>
        <v>121.46370514422073</v>
      </c>
      <c r="AT98" s="5">
        <f t="shared" si="355"/>
        <v>123.13961705594876</v>
      </c>
      <c r="AU98" s="5">
        <f t="shared" si="355"/>
        <v>133.32980845757871</v>
      </c>
      <c r="AV98" s="5">
        <f t="shared" si="355"/>
        <v>135.21331415378958</v>
      </c>
      <c r="AW98" s="5">
        <f t="shared" si="355"/>
        <v>146.41564832617638</v>
      </c>
      <c r="AX98" s="5">
        <f t="shared" si="355"/>
        <v>153.41444165011171</v>
      </c>
      <c r="AY98" s="5">
        <f t="shared" si="355"/>
        <v>155.53085101173431</v>
      </c>
      <c r="AZ98" s="5">
        <f t="shared" si="355"/>
        <v>168.31582983124076</v>
      </c>
      <c r="BA98" s="5">
        <f t="shared" si="355"/>
        <v>170.52932614731907</v>
      </c>
      <c r="BB98" s="5">
        <f t="shared" si="355"/>
        <v>184.19534598414026</v>
      </c>
      <c r="BC98" s="383">
        <f t="shared" si="349"/>
        <v>1702.2019638700342</v>
      </c>
      <c r="BD98" s="5">
        <f t="shared" ref="BD98:BO98" si="356">AVERAGE(BC45:BD45)*BD75/365*BD1</f>
        <v>200.33823564036899</v>
      </c>
      <c r="BE98" s="5">
        <f t="shared" si="356"/>
        <v>194.63115866019538</v>
      </c>
      <c r="BF98" s="5">
        <f t="shared" si="356"/>
        <v>221.59528021582764</v>
      </c>
      <c r="BG98" s="5">
        <f t="shared" si="356"/>
        <v>220.72127848107448</v>
      </c>
      <c r="BH98" s="5">
        <f t="shared" si="356"/>
        <v>234.93427114971945</v>
      </c>
      <c r="BI98" s="5">
        <f t="shared" si="356"/>
        <v>234.34944350402355</v>
      </c>
      <c r="BJ98" s="5">
        <f t="shared" si="356"/>
        <v>249.757405455542</v>
      </c>
      <c r="BK98" s="5">
        <f t="shared" si="356"/>
        <v>257.72085068588706</v>
      </c>
      <c r="BL98" s="5">
        <f t="shared" si="356"/>
        <v>257.46622764668251</v>
      </c>
      <c r="BM98" s="5">
        <f t="shared" si="356"/>
        <v>274.73655969444269</v>
      </c>
      <c r="BN98" s="5">
        <f t="shared" si="356"/>
        <v>274.62681416051123</v>
      </c>
      <c r="BO98" s="5">
        <f t="shared" si="356"/>
        <v>292.87126586941093</v>
      </c>
      <c r="BP98" s="383">
        <f t="shared" si="351"/>
        <v>2913.7487911636858</v>
      </c>
      <c r="CF98" s="297" t="s">
        <v>861</v>
      </c>
      <c r="CG98" s="12" t="s">
        <v>965</v>
      </c>
    </row>
    <row r="99" spans="1:85" s="5" customFormat="1" outlineLevel="1">
      <c r="A99" s="297" t="s">
        <v>158</v>
      </c>
      <c r="B99" s="12" t="s">
        <v>502</v>
      </c>
      <c r="D99" s="5">
        <f t="shared" ref="D99:O99" si="357">AVERAGE(C36:D36)*D77/365*D1</f>
        <v>0</v>
      </c>
      <c r="E99" s="5">
        <f t="shared" si="357"/>
        <v>0</v>
      </c>
      <c r="F99" s="5">
        <f t="shared" si="357"/>
        <v>0</v>
      </c>
      <c r="G99" s="5">
        <f t="shared" si="357"/>
        <v>0</v>
      </c>
      <c r="H99" s="5">
        <f t="shared" si="357"/>
        <v>0</v>
      </c>
      <c r="I99" s="5">
        <f t="shared" si="357"/>
        <v>0</v>
      </c>
      <c r="J99" s="5">
        <f t="shared" si="357"/>
        <v>0</v>
      </c>
      <c r="K99" s="5">
        <f t="shared" si="357"/>
        <v>0</v>
      </c>
      <c r="L99" s="5">
        <f t="shared" si="357"/>
        <v>-0.35572353727262734</v>
      </c>
      <c r="M99" s="5">
        <f t="shared" si="357"/>
        <v>-1.1218841825652721</v>
      </c>
      <c r="N99" s="5">
        <f t="shared" si="357"/>
        <v>-1.852420918673618</v>
      </c>
      <c r="O99" s="5">
        <f t="shared" si="357"/>
        <v>-2.721950907539985</v>
      </c>
      <c r="P99" s="383">
        <f t="shared" si="343"/>
        <v>-6.051979546051502</v>
      </c>
      <c r="Q99" s="5">
        <f t="shared" ref="Q99:AB99" si="358">AVERAGE(P36:Q36)*Q77/365*Q1</f>
        <v>-5.8813650203009544</v>
      </c>
      <c r="R99" s="5">
        <f t="shared" si="358"/>
        <v>-10.629969446240146</v>
      </c>
      <c r="S99" s="5">
        <f t="shared" si="358"/>
        <v>-17.789504739183677</v>
      </c>
      <c r="T99" s="5">
        <f t="shared" si="358"/>
        <v>-23.304977241570381</v>
      </c>
      <c r="U99" s="5">
        <f t="shared" si="358"/>
        <v>-30.637331305868067</v>
      </c>
      <c r="V99" s="5">
        <f t="shared" si="358"/>
        <v>-36.23928604020162</v>
      </c>
      <c r="W99" s="5">
        <f t="shared" si="358"/>
        <v>-44.502487543443458</v>
      </c>
      <c r="X99" s="5">
        <f t="shared" si="358"/>
        <v>-51.793604813553742</v>
      </c>
      <c r="Y99" s="5">
        <f t="shared" si="358"/>
        <v>-57.397689363690255</v>
      </c>
      <c r="Z99" s="5">
        <f t="shared" si="358"/>
        <v>-67.044597592464456</v>
      </c>
      <c r="AA99" s="5">
        <f t="shared" si="358"/>
        <v>-72.565573632557715</v>
      </c>
      <c r="AB99" s="5">
        <f t="shared" si="358"/>
        <v>-82.933865251945434</v>
      </c>
      <c r="AC99" s="383">
        <f t="shared" si="345"/>
        <v>-500.72025199101995</v>
      </c>
      <c r="AD99" s="5">
        <f t="shared" ref="AD99:AO99" si="359">AVERAGE(AC36:AD36)*AD77/365*AD1</f>
        <v>-89.156341307729505</v>
      </c>
      <c r="AE99" s="5">
        <f t="shared" si="359"/>
        <v>-91.304811012662114</v>
      </c>
      <c r="AF99" s="5">
        <f t="shared" si="359"/>
        <v>-109.31706415488797</v>
      </c>
      <c r="AG99" s="5">
        <f t="shared" si="359"/>
        <v>-114.09129261788793</v>
      </c>
      <c r="AH99" s="5">
        <f t="shared" si="359"/>
        <v>-126.80579763690343</v>
      </c>
      <c r="AI99" s="5">
        <f t="shared" si="359"/>
        <v>-131.64933783512893</v>
      </c>
      <c r="AJ99" s="5">
        <f t="shared" si="359"/>
        <v>-145.5758066745023</v>
      </c>
      <c r="AK99" s="5">
        <f t="shared" si="359"/>
        <v>-155.40593662119502</v>
      </c>
      <c r="AL99" s="5">
        <f t="shared" si="359"/>
        <v>-160.17434247272655</v>
      </c>
      <c r="AM99" s="5">
        <f t="shared" si="359"/>
        <v>-175.88372123905455</v>
      </c>
      <c r="AN99" s="5">
        <f t="shared" si="359"/>
        <v>-180.48556289063956</v>
      </c>
      <c r="AO99" s="5">
        <f t="shared" si="359"/>
        <v>-197.05922415858507</v>
      </c>
      <c r="AP99" s="383">
        <f t="shared" si="347"/>
        <v>-1676.9092386219027</v>
      </c>
      <c r="AQ99" s="5">
        <f t="shared" ref="AQ99:BB99" si="360">AVERAGE(AP36:AQ36)*AQ77/365*AQ1</f>
        <v>-200.79947807941389</v>
      </c>
      <c r="AR99" s="5">
        <f t="shared" si="360"/>
        <v>-195.67858284841338</v>
      </c>
      <c r="AS99" s="5">
        <f t="shared" si="360"/>
        <v>-223.43827898354962</v>
      </c>
      <c r="AT99" s="5">
        <f t="shared" si="360"/>
        <v>-223.14249340423422</v>
      </c>
      <c r="AU99" s="5">
        <f t="shared" si="360"/>
        <v>-238.05686505429983</v>
      </c>
      <c r="AV99" s="5">
        <f t="shared" si="360"/>
        <v>-237.92201822515455</v>
      </c>
      <c r="AW99" s="5">
        <f t="shared" si="360"/>
        <v>-253.95365897988225</v>
      </c>
      <c r="AX99" s="5">
        <f t="shared" si="360"/>
        <v>-262.34485312291963</v>
      </c>
      <c r="AY99" s="5">
        <f t="shared" si="360"/>
        <v>-262.2691755296658</v>
      </c>
      <c r="AZ99" s="5">
        <f t="shared" si="360"/>
        <v>-279.93860197715486</v>
      </c>
      <c r="BA99" s="5">
        <f t="shared" si="360"/>
        <v>-279.78504811663248</v>
      </c>
      <c r="BB99" s="5">
        <f t="shared" si="360"/>
        <v>-298.17635420560407</v>
      </c>
      <c r="BC99" s="383">
        <f t="shared" si="349"/>
        <v>-2955.5054085269248</v>
      </c>
      <c r="BD99" s="5">
        <f t="shared" ref="BD99:BO99" si="361">AVERAGE(BC36:BD36)*BD77/365*BD1</f>
        <v>-296.15561866242359</v>
      </c>
      <c r="BE99" s="5">
        <f t="shared" si="361"/>
        <v>-284.06250578765281</v>
      </c>
      <c r="BF99" s="5">
        <f t="shared" si="361"/>
        <v>-319.26025685870246</v>
      </c>
      <c r="BG99" s="5">
        <f t="shared" si="361"/>
        <v>-313.965558741427</v>
      </c>
      <c r="BH99" s="5">
        <f t="shared" si="361"/>
        <v>-329.9943556198603</v>
      </c>
      <c r="BI99" s="5">
        <f t="shared" si="361"/>
        <v>-325.09745174114289</v>
      </c>
      <c r="BJ99" s="5">
        <f t="shared" si="361"/>
        <v>-342.23391147468027</v>
      </c>
      <c r="BK99" s="5">
        <f t="shared" si="361"/>
        <v>-348.87768505672415</v>
      </c>
      <c r="BL99" s="5">
        <f t="shared" si="361"/>
        <v>-344.36998053714223</v>
      </c>
      <c r="BM99" s="5">
        <f t="shared" si="361"/>
        <v>-363.13138656127762</v>
      </c>
      <c r="BN99" s="5">
        <f t="shared" si="361"/>
        <v>-358.75015584324478</v>
      </c>
      <c r="BO99" s="5">
        <f t="shared" si="361"/>
        <v>-378.17118688213839</v>
      </c>
      <c r="BP99" s="383">
        <f t="shared" si="351"/>
        <v>-4004.0700537664161</v>
      </c>
      <c r="CF99" s="297" t="s">
        <v>867</v>
      </c>
      <c r="CG99" s="12" t="s">
        <v>965</v>
      </c>
    </row>
    <row r="100" spans="1:85" s="3" customFormat="1">
      <c r="A100" s="296" t="s">
        <v>514</v>
      </c>
      <c r="B100" s="12" t="s">
        <v>502</v>
      </c>
      <c r="C100" s="5"/>
      <c r="D100" s="3">
        <f t="shared" ref="D100:O100" si="362">D101+D102+D103</f>
        <v>0</v>
      </c>
      <c r="E100" s="3">
        <f t="shared" si="362"/>
        <v>0</v>
      </c>
      <c r="F100" s="3">
        <f t="shared" si="362"/>
        <v>0</v>
      </c>
      <c r="G100" s="3">
        <f t="shared" si="362"/>
        <v>0</v>
      </c>
      <c r="H100" s="3">
        <f t="shared" si="362"/>
        <v>0</v>
      </c>
      <c r="I100" s="3">
        <f t="shared" si="362"/>
        <v>0</v>
      </c>
      <c r="J100" s="3">
        <f t="shared" si="362"/>
        <v>0</v>
      </c>
      <c r="K100" s="3">
        <f t="shared" si="362"/>
        <v>0</v>
      </c>
      <c r="L100" s="3">
        <f t="shared" si="362"/>
        <v>0</v>
      </c>
      <c r="M100" s="3">
        <f t="shared" si="362"/>
        <v>0</v>
      </c>
      <c r="N100" s="3">
        <f t="shared" si="362"/>
        <v>0</v>
      </c>
      <c r="O100" s="3">
        <f t="shared" si="362"/>
        <v>0</v>
      </c>
      <c r="P100" s="397">
        <f t="shared" si="343"/>
        <v>0</v>
      </c>
      <c r="Q100" s="3">
        <f t="shared" ref="Q100:AB100" si="363">Q101+Q102+Q103</f>
        <v>0</v>
      </c>
      <c r="R100" s="3">
        <f t="shared" si="363"/>
        <v>0</v>
      </c>
      <c r="S100" s="3">
        <f t="shared" si="363"/>
        <v>0</v>
      </c>
      <c r="T100" s="3">
        <f t="shared" si="363"/>
        <v>0</v>
      </c>
      <c r="U100" s="3">
        <f t="shared" si="363"/>
        <v>0</v>
      </c>
      <c r="V100" s="3">
        <f t="shared" si="363"/>
        <v>0</v>
      </c>
      <c r="W100" s="3">
        <f t="shared" si="363"/>
        <v>0</v>
      </c>
      <c r="X100" s="3">
        <f t="shared" si="363"/>
        <v>0</v>
      </c>
      <c r="Y100" s="3">
        <f t="shared" si="363"/>
        <v>0</v>
      </c>
      <c r="Z100" s="3">
        <f t="shared" si="363"/>
        <v>0</v>
      </c>
      <c r="AA100" s="3">
        <f t="shared" si="363"/>
        <v>0</v>
      </c>
      <c r="AB100" s="3">
        <f t="shared" si="363"/>
        <v>0</v>
      </c>
      <c r="AC100" s="397">
        <f t="shared" si="345"/>
        <v>0</v>
      </c>
      <c r="AD100" s="3">
        <f t="shared" ref="AD100:AO100" si="364">AD101+AD102+AD103</f>
        <v>0</v>
      </c>
      <c r="AE100" s="3">
        <f t="shared" si="364"/>
        <v>0</v>
      </c>
      <c r="AF100" s="3">
        <f t="shared" si="364"/>
        <v>0</v>
      </c>
      <c r="AG100" s="3">
        <f t="shared" si="364"/>
        <v>0</v>
      </c>
      <c r="AH100" s="3">
        <f t="shared" si="364"/>
        <v>0</v>
      </c>
      <c r="AI100" s="3">
        <f t="shared" si="364"/>
        <v>0</v>
      </c>
      <c r="AJ100" s="3">
        <f t="shared" si="364"/>
        <v>0</v>
      </c>
      <c r="AK100" s="3">
        <f t="shared" si="364"/>
        <v>0</v>
      </c>
      <c r="AL100" s="3">
        <f t="shared" si="364"/>
        <v>0</v>
      </c>
      <c r="AM100" s="3">
        <f t="shared" si="364"/>
        <v>0</v>
      </c>
      <c r="AN100" s="3">
        <f t="shared" si="364"/>
        <v>0</v>
      </c>
      <c r="AO100" s="3">
        <f t="shared" si="364"/>
        <v>0</v>
      </c>
      <c r="AP100" s="397">
        <f t="shared" si="347"/>
        <v>0</v>
      </c>
      <c r="AQ100" s="3">
        <f t="shared" ref="AQ100:BB100" si="365">AQ101+AQ102+AQ103</f>
        <v>0</v>
      </c>
      <c r="AR100" s="3">
        <f t="shared" si="365"/>
        <v>0</v>
      </c>
      <c r="AS100" s="3">
        <f t="shared" si="365"/>
        <v>0</v>
      </c>
      <c r="AT100" s="3">
        <f t="shared" si="365"/>
        <v>0</v>
      </c>
      <c r="AU100" s="3">
        <f t="shared" si="365"/>
        <v>0</v>
      </c>
      <c r="AV100" s="3">
        <f t="shared" si="365"/>
        <v>0</v>
      </c>
      <c r="AW100" s="3">
        <f t="shared" si="365"/>
        <v>0</v>
      </c>
      <c r="AX100" s="3">
        <f t="shared" si="365"/>
        <v>0</v>
      </c>
      <c r="AY100" s="3">
        <f t="shared" si="365"/>
        <v>0</v>
      </c>
      <c r="AZ100" s="3">
        <f t="shared" si="365"/>
        <v>0</v>
      </c>
      <c r="BA100" s="3">
        <f t="shared" si="365"/>
        <v>0</v>
      </c>
      <c r="BB100" s="3">
        <f t="shared" si="365"/>
        <v>0</v>
      </c>
      <c r="BC100" s="397">
        <f t="shared" si="349"/>
        <v>0</v>
      </c>
      <c r="BD100" s="3">
        <f t="shared" ref="BD100:BO100" si="366">BD101+BD102+BD103</f>
        <v>0</v>
      </c>
      <c r="BE100" s="3">
        <f t="shared" si="366"/>
        <v>0</v>
      </c>
      <c r="BF100" s="3">
        <f t="shared" si="366"/>
        <v>0</v>
      </c>
      <c r="BG100" s="3">
        <f t="shared" si="366"/>
        <v>0</v>
      </c>
      <c r="BH100" s="3">
        <f t="shared" si="366"/>
        <v>0</v>
      </c>
      <c r="BI100" s="3">
        <f t="shared" si="366"/>
        <v>0</v>
      </c>
      <c r="BJ100" s="3">
        <f t="shared" si="366"/>
        <v>0</v>
      </c>
      <c r="BK100" s="3">
        <f t="shared" si="366"/>
        <v>0</v>
      </c>
      <c r="BL100" s="3">
        <f t="shared" si="366"/>
        <v>0</v>
      </c>
      <c r="BM100" s="3">
        <f t="shared" si="366"/>
        <v>0</v>
      </c>
      <c r="BN100" s="3">
        <f t="shared" si="366"/>
        <v>0</v>
      </c>
      <c r="BO100" s="3">
        <f t="shared" si="366"/>
        <v>0</v>
      </c>
      <c r="BP100" s="397">
        <f t="shared" si="351"/>
        <v>0</v>
      </c>
      <c r="CF100" s="296" t="s">
        <v>870</v>
      </c>
      <c r="CG100" s="12" t="s">
        <v>965</v>
      </c>
    </row>
    <row r="101" spans="1:85" s="5" customFormat="1" outlineLevel="1">
      <c r="A101" s="297" t="s">
        <v>275</v>
      </c>
      <c r="B101" s="12" t="s">
        <v>502</v>
      </c>
      <c r="P101" s="383">
        <f t="shared" si="343"/>
        <v>0</v>
      </c>
      <c r="AC101" s="383">
        <f t="shared" si="345"/>
        <v>0</v>
      </c>
      <c r="AP101" s="383">
        <f t="shared" si="347"/>
        <v>0</v>
      </c>
      <c r="BC101" s="383">
        <f t="shared" si="349"/>
        <v>0</v>
      </c>
      <c r="BP101" s="383">
        <f t="shared" si="351"/>
        <v>0</v>
      </c>
      <c r="CF101" s="297" t="s">
        <v>862</v>
      </c>
      <c r="CG101" s="12" t="s">
        <v>965</v>
      </c>
    </row>
    <row r="102" spans="1:85" s="5" customFormat="1" outlineLevel="1">
      <c r="A102" s="297" t="s">
        <v>274</v>
      </c>
      <c r="B102" s="12" t="s">
        <v>502</v>
      </c>
      <c r="P102" s="383">
        <f t="shared" si="343"/>
        <v>0</v>
      </c>
      <c r="AC102" s="383">
        <f t="shared" si="345"/>
        <v>0</v>
      </c>
      <c r="AP102" s="383">
        <f t="shared" si="347"/>
        <v>0</v>
      </c>
      <c r="BC102" s="383">
        <f t="shared" si="349"/>
        <v>0</v>
      </c>
      <c r="BP102" s="383">
        <f t="shared" si="351"/>
        <v>0</v>
      </c>
      <c r="CF102" s="297" t="s">
        <v>874</v>
      </c>
      <c r="CG102" s="12" t="s">
        <v>965</v>
      </c>
    </row>
    <row r="103" spans="1:85" s="5" customFormat="1" outlineLevel="1">
      <c r="A103" s="297" t="s">
        <v>515</v>
      </c>
      <c r="B103" s="12" t="s">
        <v>502</v>
      </c>
      <c r="P103" s="383">
        <f t="shared" si="343"/>
        <v>0</v>
      </c>
      <c r="AC103" s="383">
        <f t="shared" si="345"/>
        <v>0</v>
      </c>
      <c r="AP103" s="383">
        <f t="shared" si="347"/>
        <v>0</v>
      </c>
      <c r="BC103" s="383">
        <f t="shared" si="349"/>
        <v>0</v>
      </c>
      <c r="BP103" s="383">
        <f t="shared" si="351"/>
        <v>0</v>
      </c>
      <c r="CF103" s="297" t="s">
        <v>869</v>
      </c>
      <c r="CG103" s="12" t="s">
        <v>965</v>
      </c>
    </row>
    <row r="104" spans="1:85" s="63" customFormat="1">
      <c r="A104" s="298" t="s">
        <v>516</v>
      </c>
      <c r="B104" s="12" t="s">
        <v>502</v>
      </c>
      <c r="C104" s="299"/>
      <c r="D104" s="63">
        <f t="shared" ref="D104:O104" si="367">D97+D100</f>
        <v>0</v>
      </c>
      <c r="E104" s="63">
        <f t="shared" si="367"/>
        <v>0</v>
      </c>
      <c r="F104" s="63">
        <f t="shared" si="367"/>
        <v>0</v>
      </c>
      <c r="G104" s="63">
        <f t="shared" si="367"/>
        <v>0</v>
      </c>
      <c r="H104" s="63">
        <f t="shared" si="367"/>
        <v>0</v>
      </c>
      <c r="I104" s="63">
        <f t="shared" si="367"/>
        <v>0</v>
      </c>
      <c r="J104" s="63">
        <f t="shared" si="367"/>
        <v>0</v>
      </c>
      <c r="K104" s="63">
        <f t="shared" si="367"/>
        <v>0</v>
      </c>
      <c r="L104" s="63">
        <f t="shared" si="367"/>
        <v>-0.284616538075252</v>
      </c>
      <c r="M104" s="63">
        <f t="shared" si="367"/>
        <v>-0.88080366395412479</v>
      </c>
      <c r="N104" s="63">
        <f t="shared" si="367"/>
        <v>-1.4158151541944701</v>
      </c>
      <c r="O104" s="63">
        <f t="shared" si="367"/>
        <v>-2.0216551284259077</v>
      </c>
      <c r="P104" s="419">
        <f t="shared" si="343"/>
        <v>-4.6028904846497554</v>
      </c>
      <c r="Q104" s="63">
        <f t="shared" ref="Q104:AB104" si="368">Q97+Q100</f>
        <v>-4.1797918896394126</v>
      </c>
      <c r="R104" s="63">
        <f t="shared" si="368"/>
        <v>-7.4882724933346339</v>
      </c>
      <c r="S104" s="63">
        <f t="shared" si="368"/>
        <v>-12.409864297765642</v>
      </c>
      <c r="T104" s="63">
        <f t="shared" si="368"/>
        <v>-16.094583790888549</v>
      </c>
      <c r="U104" s="63">
        <f t="shared" si="368"/>
        <v>-20.942571740273877</v>
      </c>
      <c r="V104" s="63">
        <f t="shared" si="368"/>
        <v>-24.515569144556427</v>
      </c>
      <c r="W104" s="63">
        <f t="shared" si="368"/>
        <v>-29.790046927040571</v>
      </c>
      <c r="X104" s="63">
        <f t="shared" si="368"/>
        <v>-34.302943799581278</v>
      </c>
      <c r="Y104" s="63">
        <f t="shared" si="368"/>
        <v>-37.606483665059805</v>
      </c>
      <c r="Z104" s="63">
        <f t="shared" si="368"/>
        <v>-43.450018454911685</v>
      </c>
      <c r="AA104" s="63">
        <f t="shared" si="368"/>
        <v>-46.511363511009542</v>
      </c>
      <c r="AB104" s="63">
        <f t="shared" si="368"/>
        <v>-52.566797452475541</v>
      </c>
      <c r="AC104" s="419">
        <f t="shared" si="345"/>
        <v>-329.85830716653697</v>
      </c>
      <c r="AD104" s="63">
        <f t="shared" ref="AD104:AO104" si="369">AD97+AD100</f>
        <v>-53.561367540143131</v>
      </c>
      <c r="AE104" s="63">
        <f t="shared" si="369"/>
        <v>-54.171739291247427</v>
      </c>
      <c r="AF104" s="63">
        <f t="shared" si="369"/>
        <v>-64.024105325710934</v>
      </c>
      <c r="AG104" s="63">
        <f t="shared" si="369"/>
        <v>-65.949204377015178</v>
      </c>
      <c r="AH104" s="63">
        <f t="shared" si="369"/>
        <v>-72.330372113049265</v>
      </c>
      <c r="AI104" s="63">
        <f t="shared" si="369"/>
        <v>-74.087632789841351</v>
      </c>
      <c r="AJ104" s="63">
        <f t="shared" si="369"/>
        <v>-80.812851053928597</v>
      </c>
      <c r="AK104" s="63">
        <f t="shared" si="369"/>
        <v>-85.082348923333797</v>
      </c>
      <c r="AL104" s="63">
        <f t="shared" si="369"/>
        <v>-86.468823342602462</v>
      </c>
      <c r="AM104" s="63">
        <f t="shared" si="369"/>
        <v>-93.604903753031465</v>
      </c>
      <c r="AN104" s="63">
        <f t="shared" si="369"/>
        <v>-94.674022304268377</v>
      </c>
      <c r="AO104" s="63">
        <f t="shared" si="369"/>
        <v>-101.86184082863208</v>
      </c>
      <c r="AP104" s="419">
        <f t="shared" si="347"/>
        <v>-926.62921164280431</v>
      </c>
      <c r="AQ104" s="63">
        <f t="shared" ref="AQ104:BB104" si="370">AQ97+AQ100</f>
        <v>-94.908229410105321</v>
      </c>
      <c r="AR104" s="63">
        <f t="shared" si="370"/>
        <v>-90.915755409948019</v>
      </c>
      <c r="AS104" s="63">
        <f t="shared" si="370"/>
        <v>-101.9745738393289</v>
      </c>
      <c r="AT104" s="63">
        <f t="shared" si="370"/>
        <v>-100.00287634828545</v>
      </c>
      <c r="AU104" s="63">
        <f t="shared" si="370"/>
        <v>-104.72705659672113</v>
      </c>
      <c r="AV104" s="63">
        <f t="shared" si="370"/>
        <v>-102.70870407136496</v>
      </c>
      <c r="AW104" s="63">
        <f t="shared" si="370"/>
        <v>-107.53801065370587</v>
      </c>
      <c r="AX104" s="63">
        <f t="shared" si="370"/>
        <v>-108.93041147280792</v>
      </c>
      <c r="AY104" s="63">
        <f t="shared" si="370"/>
        <v>-106.73832451793149</v>
      </c>
      <c r="AZ104" s="63">
        <f t="shared" si="370"/>
        <v>-111.6227721459141</v>
      </c>
      <c r="BA104" s="63">
        <f t="shared" si="370"/>
        <v>-109.25572196931341</v>
      </c>
      <c r="BB104" s="63">
        <f t="shared" si="370"/>
        <v>-113.98100822146381</v>
      </c>
      <c r="BC104" s="419">
        <f t="shared" si="349"/>
        <v>-1253.3034446568902</v>
      </c>
      <c r="BD104" s="63">
        <f t="shared" ref="BD104:BO104" si="371">BD97+BD100</f>
        <v>-95.817383022054599</v>
      </c>
      <c r="BE104" s="63">
        <f t="shared" si="371"/>
        <v>-89.431347127457428</v>
      </c>
      <c r="BF104" s="63">
        <f t="shared" si="371"/>
        <v>-97.664976642874819</v>
      </c>
      <c r="BG104" s="63">
        <f t="shared" si="371"/>
        <v>-93.244280260352525</v>
      </c>
      <c r="BH104" s="63">
        <f t="shared" si="371"/>
        <v>-95.06008447014085</v>
      </c>
      <c r="BI104" s="63">
        <f t="shared" si="371"/>
        <v>-90.748008237119336</v>
      </c>
      <c r="BJ104" s="63">
        <f t="shared" si="371"/>
        <v>-92.47650601913827</v>
      </c>
      <c r="BK104" s="63">
        <f t="shared" si="371"/>
        <v>-91.156834370837089</v>
      </c>
      <c r="BL104" s="63">
        <f t="shared" si="371"/>
        <v>-86.903752890459714</v>
      </c>
      <c r="BM104" s="63">
        <f t="shared" si="371"/>
        <v>-88.394826866834933</v>
      </c>
      <c r="BN104" s="63">
        <f t="shared" si="371"/>
        <v>-84.123341682733553</v>
      </c>
      <c r="BO104" s="63">
        <f t="shared" si="371"/>
        <v>-85.299921012727452</v>
      </c>
      <c r="BP104" s="419">
        <f t="shared" si="351"/>
        <v>-1090.3212626027305</v>
      </c>
      <c r="CF104" s="298" t="s">
        <v>868</v>
      </c>
      <c r="CG104" s="12" t="s">
        <v>965</v>
      </c>
    </row>
    <row r="105" spans="1:85" s="3" customFormat="1">
      <c r="A105" s="296" t="s">
        <v>517</v>
      </c>
      <c r="B105" s="12" t="s">
        <v>502</v>
      </c>
      <c r="C105" s="5"/>
      <c r="D105" s="3">
        <f t="shared" ref="D105:O105" si="372">AVERAGE(C36:D36)*D84/365*D1</f>
        <v>0</v>
      </c>
      <c r="E105" s="3">
        <f t="shared" si="372"/>
        <v>0</v>
      </c>
      <c r="F105" s="3">
        <f t="shared" si="372"/>
        <v>0</v>
      </c>
      <c r="G105" s="3">
        <f t="shared" si="372"/>
        <v>0</v>
      </c>
      <c r="H105" s="3">
        <f t="shared" si="372"/>
        <v>0</v>
      </c>
      <c r="I105" s="3">
        <f t="shared" si="372"/>
        <v>0</v>
      </c>
      <c r="J105" s="3">
        <f t="shared" si="372"/>
        <v>0</v>
      </c>
      <c r="K105" s="3">
        <f t="shared" si="372"/>
        <v>0</v>
      </c>
      <c r="L105" s="3">
        <f t="shared" si="372"/>
        <v>-0.20739541432567815</v>
      </c>
      <c r="M105" s="3">
        <f t="shared" si="372"/>
        <v>-0.65143489520326359</v>
      </c>
      <c r="N105" s="3">
        <f t="shared" si="372"/>
        <v>-1.0712502597950928</v>
      </c>
      <c r="O105" s="3">
        <f t="shared" si="372"/>
        <v>-1.5676589040090863</v>
      </c>
      <c r="P105" s="397">
        <f t="shared" si="343"/>
        <v>-3.4977394733331209</v>
      </c>
      <c r="Q105" s="3">
        <f t="shared" ref="Q105:AB105" si="373">AVERAGE(P36:Q36)*Q84/365*Q1</f>
        <v>-3.590374158211084</v>
      </c>
      <c r="R105" s="3">
        <f t="shared" si="373"/>
        <v>-6.4612228018586526</v>
      </c>
      <c r="S105" s="3">
        <f t="shared" si="373"/>
        <v>-10.766119210815852</v>
      </c>
      <c r="T105" s="3">
        <f t="shared" si="373"/>
        <v>-14.04261731633194</v>
      </c>
      <c r="U105" s="3">
        <f t="shared" si="373"/>
        <v>-18.38000855819265</v>
      </c>
      <c r="V105" s="3">
        <f t="shared" si="373"/>
        <v>-21.64517383388155</v>
      </c>
      <c r="W105" s="3">
        <f t="shared" si="373"/>
        <v>-26.463275152364215</v>
      </c>
      <c r="X105" s="3">
        <f t="shared" si="373"/>
        <v>-30.662277886263855</v>
      </c>
      <c r="Y105" s="3">
        <f t="shared" si="373"/>
        <v>-33.828495842512091</v>
      </c>
      <c r="Z105" s="3">
        <f t="shared" si="373"/>
        <v>-39.337161284234305</v>
      </c>
      <c r="AA105" s="3">
        <f t="shared" si="373"/>
        <v>-42.384950024534632</v>
      </c>
      <c r="AB105" s="3">
        <f t="shared" si="373"/>
        <v>-48.222036196498969</v>
      </c>
      <c r="AC105" s="397">
        <f t="shared" si="345"/>
        <v>-295.78371226569976</v>
      </c>
      <c r="AD105" s="3">
        <f t="shared" ref="AD105:AO105" si="374">AVERAGE(AC36:AD36)*AD84/365*AD1</f>
        <v>-54.912655424373838</v>
      </c>
      <c r="AE105" s="3">
        <f t="shared" si="374"/>
        <v>-55.715650699400634</v>
      </c>
      <c r="AF105" s="3">
        <f t="shared" si="374"/>
        <v>-66.083980230943979</v>
      </c>
      <c r="AG105" s="3">
        <f t="shared" si="374"/>
        <v>-68.319712753980639</v>
      </c>
      <c r="AH105" s="3">
        <f t="shared" si="374"/>
        <v>-75.210380984634</v>
      </c>
      <c r="AI105" s="3">
        <f t="shared" si="374"/>
        <v>-77.332414546990947</v>
      </c>
      <c r="AJ105" s="3">
        <f t="shared" si="374"/>
        <v>-84.682675018644773</v>
      </c>
      <c r="AK105" s="3">
        <f t="shared" si="374"/>
        <v>-89.51439238591955</v>
      </c>
      <c r="AL105" s="3">
        <f t="shared" si="374"/>
        <v>-91.347083299777452</v>
      </c>
      <c r="AM105" s="3">
        <f t="shared" si="374"/>
        <v>-99.302353891514059</v>
      </c>
      <c r="AN105" s="3">
        <f t="shared" si="374"/>
        <v>-100.87029940794146</v>
      </c>
      <c r="AO105" s="3">
        <f t="shared" si="374"/>
        <v>-109.00800672581106</v>
      </c>
      <c r="AP105" s="397">
        <f t="shared" si="347"/>
        <v>-972.29960536993235</v>
      </c>
      <c r="AQ105" s="3">
        <f t="shared" ref="AQ105:BB105" si="375">AVERAGE(AP36:AQ36)*AQ84/365*AQ1</f>
        <v>-118.09723061116107</v>
      </c>
      <c r="AR105" s="3">
        <f t="shared" si="375"/>
        <v>-113.88565972442035</v>
      </c>
      <c r="AS105" s="3">
        <f t="shared" si="375"/>
        <v>-128.67162625024451</v>
      </c>
      <c r="AT105" s="3">
        <f t="shared" si="375"/>
        <v>-127.13254680631134</v>
      </c>
      <c r="AU105" s="3">
        <f t="shared" si="375"/>
        <v>-134.16928939679912</v>
      </c>
      <c r="AV105" s="3">
        <f t="shared" si="375"/>
        <v>-132.63329084371705</v>
      </c>
      <c r="AW105" s="3">
        <f t="shared" si="375"/>
        <v>-140.01168101797083</v>
      </c>
      <c r="AX105" s="3">
        <f t="shared" si="375"/>
        <v>-143.02745195411072</v>
      </c>
      <c r="AY105" s="3">
        <f t="shared" si="375"/>
        <v>-141.3758021201391</v>
      </c>
      <c r="AZ105" s="3">
        <f t="shared" si="375"/>
        <v>-149.18124272696758</v>
      </c>
      <c r="BA105" s="3">
        <f t="shared" si="375"/>
        <v>-147.38076746402498</v>
      </c>
      <c r="BB105" s="3">
        <f t="shared" si="375"/>
        <v>-155.23665757608316</v>
      </c>
      <c r="BC105" s="397">
        <f t="shared" si="349"/>
        <v>-1630.8032464919499</v>
      </c>
      <c r="BD105" s="3">
        <f t="shared" ref="BD105:BO105" si="376">AVERAGE(BC36:BD36)*BD84/365*BD1</f>
        <v>-164.60857599457009</v>
      </c>
      <c r="BE105" s="3">
        <f t="shared" si="376"/>
        <v>-156.00199228859859</v>
      </c>
      <c r="BF105" s="3">
        <f t="shared" si="376"/>
        <v>-173.21290723864848</v>
      </c>
      <c r="BG105" s="3">
        <f t="shared" si="376"/>
        <v>-168.25592644235093</v>
      </c>
      <c r="BH105" s="3">
        <f t="shared" si="376"/>
        <v>-174.65458128724669</v>
      </c>
      <c r="BI105" s="3">
        <f t="shared" si="376"/>
        <v>-169.90359093187217</v>
      </c>
      <c r="BJ105" s="3">
        <f t="shared" si="376"/>
        <v>-176.5859605345446</v>
      </c>
      <c r="BK105" s="3">
        <f t="shared" si="376"/>
        <v>-177.69581985812997</v>
      </c>
      <c r="BL105" s="3">
        <f t="shared" si="376"/>
        <v>-173.11113483996476</v>
      </c>
      <c r="BM105" s="3">
        <f t="shared" si="376"/>
        <v>-180.12831798643606</v>
      </c>
      <c r="BN105" s="3">
        <f t="shared" si="376"/>
        <v>-175.56966554747842</v>
      </c>
      <c r="BO105" s="3">
        <f t="shared" si="376"/>
        <v>-182.55910542222443</v>
      </c>
      <c r="BP105" s="397">
        <f t="shared" si="351"/>
        <v>-2072.2875783720651</v>
      </c>
      <c r="CF105" s="296" t="s">
        <v>873</v>
      </c>
      <c r="CG105" s="12" t="s">
        <v>965</v>
      </c>
    </row>
    <row r="106" spans="1:85" s="63" customFormat="1">
      <c r="A106" s="298" t="s">
        <v>518</v>
      </c>
      <c r="B106" s="12" t="s">
        <v>502</v>
      </c>
      <c r="C106" s="299"/>
      <c r="D106" s="63">
        <f t="shared" ref="D106:O106" si="377">D104+D105</f>
        <v>0</v>
      </c>
      <c r="E106" s="63">
        <f t="shared" si="377"/>
        <v>0</v>
      </c>
      <c r="F106" s="63">
        <f t="shared" si="377"/>
        <v>0</v>
      </c>
      <c r="G106" s="63">
        <f t="shared" si="377"/>
        <v>0</v>
      </c>
      <c r="H106" s="63">
        <f t="shared" si="377"/>
        <v>0</v>
      </c>
      <c r="I106" s="63">
        <f t="shared" si="377"/>
        <v>0</v>
      </c>
      <c r="J106" s="63">
        <f t="shared" si="377"/>
        <v>0</v>
      </c>
      <c r="K106" s="63">
        <f t="shared" si="377"/>
        <v>0</v>
      </c>
      <c r="L106" s="63">
        <f t="shared" si="377"/>
        <v>-0.49201195240093015</v>
      </c>
      <c r="M106" s="63">
        <f t="shared" si="377"/>
        <v>-1.5322385591573884</v>
      </c>
      <c r="N106" s="63">
        <f t="shared" si="377"/>
        <v>-2.4870654139895629</v>
      </c>
      <c r="O106" s="63">
        <f t="shared" si="377"/>
        <v>-3.5893140324349941</v>
      </c>
      <c r="P106" s="419">
        <f t="shared" si="343"/>
        <v>-8.1006299579828749</v>
      </c>
      <c r="Q106" s="63">
        <f t="shared" ref="Q106:AB106" si="378">Q104+Q105</f>
        <v>-7.7701660478504966</v>
      </c>
      <c r="R106" s="63">
        <f t="shared" si="378"/>
        <v>-13.949495295193287</v>
      </c>
      <c r="S106" s="63">
        <f t="shared" si="378"/>
        <v>-23.175983508581496</v>
      </c>
      <c r="T106" s="63">
        <f t="shared" si="378"/>
        <v>-30.137201107220491</v>
      </c>
      <c r="U106" s="63">
        <f t="shared" si="378"/>
        <v>-39.322580298466526</v>
      </c>
      <c r="V106" s="63">
        <f t="shared" si="378"/>
        <v>-46.16074297843798</v>
      </c>
      <c r="W106" s="63">
        <f t="shared" si="378"/>
        <v>-56.253322079404782</v>
      </c>
      <c r="X106" s="63">
        <f t="shared" si="378"/>
        <v>-64.965221685845137</v>
      </c>
      <c r="Y106" s="63">
        <f t="shared" si="378"/>
        <v>-71.434979507571896</v>
      </c>
      <c r="Z106" s="63">
        <f t="shared" si="378"/>
        <v>-82.787179739145984</v>
      </c>
      <c r="AA106" s="63">
        <f t="shared" si="378"/>
        <v>-88.896313535544181</v>
      </c>
      <c r="AB106" s="63">
        <f t="shared" si="378"/>
        <v>-100.7888336489745</v>
      </c>
      <c r="AC106" s="419">
        <f t="shared" si="345"/>
        <v>-625.64201943223679</v>
      </c>
      <c r="AD106" s="63">
        <f t="shared" ref="AD106:AO106" si="379">AD104+AD105</f>
        <v>-108.47402296451696</v>
      </c>
      <c r="AE106" s="63">
        <f t="shared" si="379"/>
        <v>-109.88738999064806</v>
      </c>
      <c r="AF106" s="63">
        <f t="shared" si="379"/>
        <v>-130.10808555665491</v>
      </c>
      <c r="AG106" s="63">
        <f t="shared" si="379"/>
        <v>-134.26891713099582</v>
      </c>
      <c r="AH106" s="63">
        <f t="shared" si="379"/>
        <v>-147.54075309768325</v>
      </c>
      <c r="AI106" s="63">
        <f t="shared" si="379"/>
        <v>-151.42004733683228</v>
      </c>
      <c r="AJ106" s="63">
        <f t="shared" si="379"/>
        <v>-165.49552607257337</v>
      </c>
      <c r="AK106" s="63">
        <f t="shared" si="379"/>
        <v>-174.59674130925333</v>
      </c>
      <c r="AL106" s="63">
        <f t="shared" si="379"/>
        <v>-177.8159066423799</v>
      </c>
      <c r="AM106" s="63">
        <f t="shared" si="379"/>
        <v>-192.90725764454552</v>
      </c>
      <c r="AN106" s="63">
        <f t="shared" si="379"/>
        <v>-195.54432171220984</v>
      </c>
      <c r="AO106" s="63">
        <f t="shared" si="379"/>
        <v>-210.86984755444314</v>
      </c>
      <c r="AP106" s="419">
        <f t="shared" si="347"/>
        <v>-1898.9288170127365</v>
      </c>
      <c r="AQ106" s="63">
        <f t="shared" ref="AQ106:BB106" si="380">AQ104+AQ105</f>
        <v>-213.0054600212664</v>
      </c>
      <c r="AR106" s="63">
        <f t="shared" si="380"/>
        <v>-204.80141513436837</v>
      </c>
      <c r="AS106" s="63">
        <f t="shared" si="380"/>
        <v>-230.64620008957343</v>
      </c>
      <c r="AT106" s="63">
        <f t="shared" si="380"/>
        <v>-227.13542315459679</v>
      </c>
      <c r="AU106" s="63">
        <f t="shared" si="380"/>
        <v>-238.89634599352024</v>
      </c>
      <c r="AV106" s="63">
        <f t="shared" si="380"/>
        <v>-235.34199491508201</v>
      </c>
      <c r="AW106" s="63">
        <f t="shared" si="380"/>
        <v>-247.5496916716767</v>
      </c>
      <c r="AX106" s="63">
        <f t="shared" si="380"/>
        <v>-251.95786342691864</v>
      </c>
      <c r="AY106" s="63">
        <f t="shared" si="380"/>
        <v>-248.11412663807059</v>
      </c>
      <c r="AZ106" s="63">
        <f t="shared" si="380"/>
        <v>-260.80401487288168</v>
      </c>
      <c r="BA106" s="63">
        <f t="shared" si="380"/>
        <v>-256.6364894333384</v>
      </c>
      <c r="BB106" s="63">
        <f t="shared" si="380"/>
        <v>-269.21766579754694</v>
      </c>
      <c r="BC106" s="419">
        <f t="shared" si="349"/>
        <v>-2884.1066911488406</v>
      </c>
      <c r="BD106" s="63">
        <f t="shared" ref="BD106:BO106" si="381">BD104+BD105</f>
        <v>-260.42595901662469</v>
      </c>
      <c r="BE106" s="63">
        <f t="shared" si="381"/>
        <v>-245.43333941605601</v>
      </c>
      <c r="BF106" s="63">
        <f t="shared" si="381"/>
        <v>-270.8778838815233</v>
      </c>
      <c r="BG106" s="63">
        <f t="shared" si="381"/>
        <v>-261.50020670270345</v>
      </c>
      <c r="BH106" s="63">
        <f t="shared" si="381"/>
        <v>-269.71466575738754</v>
      </c>
      <c r="BI106" s="63">
        <f t="shared" si="381"/>
        <v>-260.65159916899154</v>
      </c>
      <c r="BJ106" s="63">
        <f t="shared" si="381"/>
        <v>-269.06246655368284</v>
      </c>
      <c r="BK106" s="63">
        <f t="shared" si="381"/>
        <v>-268.85265422896703</v>
      </c>
      <c r="BL106" s="63">
        <f t="shared" si="381"/>
        <v>-260.01488773042445</v>
      </c>
      <c r="BM106" s="63">
        <f t="shared" si="381"/>
        <v>-268.52314485327099</v>
      </c>
      <c r="BN106" s="63">
        <f t="shared" si="381"/>
        <v>-259.69300723021195</v>
      </c>
      <c r="BO106" s="63">
        <f t="shared" si="381"/>
        <v>-267.85902643495189</v>
      </c>
      <c r="BP106" s="419">
        <f t="shared" si="351"/>
        <v>-3162.6088409747958</v>
      </c>
      <c r="CF106" s="298" t="s">
        <v>872</v>
      </c>
      <c r="CG106" s="12" t="s">
        <v>965</v>
      </c>
    </row>
    <row r="107" spans="1:85" s="3" customFormat="1">
      <c r="A107" s="296" t="s">
        <v>471</v>
      </c>
      <c r="B107" s="12" t="s">
        <v>502</v>
      </c>
      <c r="C107" s="5"/>
      <c r="D107" s="3">
        <f t="shared" ref="D107:O107" si="382">D108+D109+D110</f>
        <v>0</v>
      </c>
      <c r="E107" s="3">
        <f t="shared" si="382"/>
        <v>0</v>
      </c>
      <c r="F107" s="3">
        <f t="shared" si="382"/>
        <v>0</v>
      </c>
      <c r="G107" s="3">
        <f t="shared" si="382"/>
        <v>0</v>
      </c>
      <c r="H107" s="3">
        <f t="shared" si="382"/>
        <v>0</v>
      </c>
      <c r="I107" s="3">
        <f t="shared" si="382"/>
        <v>0</v>
      </c>
      <c r="J107" s="3">
        <f t="shared" si="382"/>
        <v>0</v>
      </c>
      <c r="K107" s="3">
        <f t="shared" si="382"/>
        <v>0</v>
      </c>
      <c r="L107" s="3">
        <f t="shared" si="382"/>
        <v>0.29100000732138004</v>
      </c>
      <c r="M107" s="3">
        <f t="shared" si="382"/>
        <v>0.32421721892049948</v>
      </c>
      <c r="N107" s="3">
        <f t="shared" si="382"/>
        <v>0.35744038228308445</v>
      </c>
      <c r="O107" s="3">
        <f t="shared" si="382"/>
        <v>0.374059013093401</v>
      </c>
      <c r="P107" s="397">
        <f t="shared" si="343"/>
        <v>1.346716621618365</v>
      </c>
      <c r="Q107" s="3">
        <f t="shared" ref="Q107:AB107" si="383">Q108+Q109+Q110</f>
        <v>2.3789934901762457</v>
      </c>
      <c r="R107" s="3">
        <f t="shared" si="383"/>
        <v>2.5452609116489144</v>
      </c>
      <c r="S107" s="3">
        <f t="shared" si="383"/>
        <v>2.8206893205894437</v>
      </c>
      <c r="T107" s="3">
        <f t="shared" si="383"/>
        <v>3.0995618839131143</v>
      </c>
      <c r="U107" s="3">
        <f t="shared" si="383"/>
        <v>3.3814581539808857</v>
      </c>
      <c r="V107" s="3">
        <f t="shared" si="383"/>
        <v>3.6659594755330498</v>
      </c>
      <c r="W107" s="3">
        <f t="shared" si="383"/>
        <v>3.9526498583092402</v>
      </c>
      <c r="X107" s="3">
        <f t="shared" si="383"/>
        <v>4.2411168292984982</v>
      </c>
      <c r="Y107" s="3">
        <f t="shared" si="383"/>
        <v>4.530952262191339</v>
      </c>
      <c r="Z107" s="3">
        <f t="shared" si="383"/>
        <v>4.8217531817262742</v>
      </c>
      <c r="AA107" s="3">
        <f t="shared" si="383"/>
        <v>5.113122540751573</v>
      </c>
      <c r="AB107" s="3">
        <f t="shared" si="383"/>
        <v>5.264168510385157</v>
      </c>
      <c r="AC107" s="397">
        <f t="shared" si="345"/>
        <v>45.815686418503731</v>
      </c>
      <c r="AD107" s="3">
        <f t="shared" ref="AD107:AO107" si="384">AD108+AD109+AD110</f>
        <v>8.4357472336743857</v>
      </c>
      <c r="AE107" s="3">
        <f t="shared" si="384"/>
        <v>5.9210075410317113</v>
      </c>
      <c r="AF107" s="3">
        <f t="shared" si="384"/>
        <v>6.274806332880515</v>
      </c>
      <c r="AG107" s="3">
        <f t="shared" si="384"/>
        <v>6.6317844683826213</v>
      </c>
      <c r="AH107" s="3">
        <f t="shared" si="384"/>
        <v>6.9913804376590036</v>
      </c>
      <c r="AI107" s="3">
        <f t="shared" si="384"/>
        <v>7.3530410356457789</v>
      </c>
      <c r="AJ107" s="3">
        <f t="shared" si="384"/>
        <v>7.7162223752142189</v>
      </c>
      <c r="AK107" s="3">
        <f t="shared" si="384"/>
        <v>8.080390853415663</v>
      </c>
      <c r="AL107" s="3">
        <f t="shared" si="384"/>
        <v>8.4450240687374141</v>
      </c>
      <c r="AM107" s="3">
        <f t="shared" si="384"/>
        <v>8.8096116874829455</v>
      </c>
      <c r="AN107" s="3">
        <f t="shared" si="384"/>
        <v>9.1736562576196228</v>
      </c>
      <c r="AO107" s="3">
        <f t="shared" si="384"/>
        <v>9.3194180324455775</v>
      </c>
      <c r="AP107" s="397">
        <f t="shared" si="347"/>
        <v>93.152090324189459</v>
      </c>
      <c r="AQ107" s="3">
        <f t="shared" ref="AQ107:BB107" si="385">AQ108+AQ109+AQ110</f>
        <v>14.917758137633756</v>
      </c>
      <c r="AR107" s="3">
        <f t="shared" si="385"/>
        <v>8.6642935174753113</v>
      </c>
      <c r="AS107" s="3">
        <f t="shared" si="385"/>
        <v>8.9626951159336414</v>
      </c>
      <c r="AT107" s="3">
        <f t="shared" si="385"/>
        <v>9.2641428247963375</v>
      </c>
      <c r="AU107" s="3">
        <f t="shared" si="385"/>
        <v>9.5680979869305087</v>
      </c>
      <c r="AV107" s="3">
        <f t="shared" si="385"/>
        <v>9.8740334162043322</v>
      </c>
      <c r="AW107" s="3">
        <f t="shared" si="385"/>
        <v>10.181434216651102</v>
      </c>
      <c r="AX107" s="3">
        <f t="shared" si="385"/>
        <v>10.489798545532549</v>
      </c>
      <c r="AY107" s="3">
        <f t="shared" si="385"/>
        <v>10.798638319384297</v>
      </c>
      <c r="AZ107" s="3">
        <f t="shared" si="385"/>
        <v>11.107479862363759</v>
      </c>
      <c r="BA107" s="3">
        <f t="shared" si="385"/>
        <v>11.415864496457225</v>
      </c>
      <c r="BB107" s="3">
        <f t="shared" si="385"/>
        <v>11.476722933475816</v>
      </c>
      <c r="BC107" s="397">
        <f t="shared" si="349"/>
        <v>126.72095937283864</v>
      </c>
      <c r="BD107" s="3">
        <f t="shared" ref="BD107:BO107" si="386">BD108+BD109+BD110</f>
        <v>20.048564633163451</v>
      </c>
      <c r="BE107" s="3">
        <f t="shared" si="386"/>
        <v>10.641805092349482</v>
      </c>
      <c r="BF107" s="3">
        <f t="shared" si="386"/>
        <v>10.893484809788839</v>
      </c>
      <c r="BG107" s="3">
        <f t="shared" si="386"/>
        <v>11.149428744289626</v>
      </c>
      <c r="BH107" s="3">
        <f t="shared" si="386"/>
        <v>11.409057313307246</v>
      </c>
      <c r="BI107" s="3">
        <f t="shared" si="386"/>
        <v>11.67180545982934</v>
      </c>
      <c r="BJ107" s="3">
        <f t="shared" si="386"/>
        <v>11.937123379367849</v>
      </c>
      <c r="BK107" s="3">
        <f t="shared" si="386"/>
        <v>12.204477180500966</v>
      </c>
      <c r="BL107" s="3">
        <f t="shared" si="386"/>
        <v>12.473349479079491</v>
      </c>
      <c r="BM107" s="3">
        <f t="shared" si="386"/>
        <v>12.743239926458548</v>
      </c>
      <c r="BN107" s="3">
        <f t="shared" si="386"/>
        <v>13.013665672352102</v>
      </c>
      <c r="BO107" s="3">
        <f t="shared" si="386"/>
        <v>13.000521820295349</v>
      </c>
      <c r="BP107" s="397">
        <f t="shared" si="351"/>
        <v>151.18652351078228</v>
      </c>
      <c r="CF107" s="296" t="s">
        <v>863</v>
      </c>
      <c r="CG107" s="12" t="s">
        <v>965</v>
      </c>
    </row>
    <row r="108" spans="1:85" s="5" customFormat="1" outlineLevel="1">
      <c r="A108" s="297" t="s">
        <v>519</v>
      </c>
      <c r="B108" s="12" t="s">
        <v>502</v>
      </c>
      <c r="D108" s="5">
        <f t="shared" ref="D108:O108" si="387">D53*D76</f>
        <v>0</v>
      </c>
      <c r="E108" s="5">
        <f t="shared" si="387"/>
        <v>0</v>
      </c>
      <c r="F108" s="5">
        <f t="shared" si="387"/>
        <v>0</v>
      </c>
      <c r="G108" s="5">
        <f t="shared" si="387"/>
        <v>0</v>
      </c>
      <c r="H108" s="5">
        <f t="shared" si="387"/>
        <v>0</v>
      </c>
      <c r="I108" s="5">
        <f t="shared" si="387"/>
        <v>0</v>
      </c>
      <c r="J108" s="5">
        <f t="shared" si="387"/>
        <v>0</v>
      </c>
      <c r="K108" s="5">
        <f t="shared" si="387"/>
        <v>0</v>
      </c>
      <c r="L108" s="5">
        <f t="shared" si="387"/>
        <v>0</v>
      </c>
      <c r="M108" s="5">
        <f t="shared" si="387"/>
        <v>0</v>
      </c>
      <c r="N108" s="5">
        <f t="shared" si="387"/>
        <v>0</v>
      </c>
      <c r="O108" s="5">
        <f t="shared" si="387"/>
        <v>0</v>
      </c>
      <c r="P108" s="383">
        <f t="shared" si="343"/>
        <v>0</v>
      </c>
      <c r="Q108" s="5">
        <f t="shared" ref="Q108:AB108" si="388">Q53*Q76</f>
        <v>0</v>
      </c>
      <c r="R108" s="5">
        <f t="shared" si="388"/>
        <v>0</v>
      </c>
      <c r="S108" s="5">
        <f t="shared" si="388"/>
        <v>0</v>
      </c>
      <c r="T108" s="5">
        <f t="shared" si="388"/>
        <v>0</v>
      </c>
      <c r="U108" s="5">
        <f t="shared" si="388"/>
        <v>0</v>
      </c>
      <c r="V108" s="5">
        <f t="shared" si="388"/>
        <v>0</v>
      </c>
      <c r="W108" s="5">
        <f t="shared" si="388"/>
        <v>0</v>
      </c>
      <c r="X108" s="5">
        <f t="shared" si="388"/>
        <v>0</v>
      </c>
      <c r="Y108" s="5">
        <f t="shared" si="388"/>
        <v>0</v>
      </c>
      <c r="Z108" s="5">
        <f t="shared" si="388"/>
        <v>0</v>
      </c>
      <c r="AA108" s="5">
        <f t="shared" si="388"/>
        <v>0</v>
      </c>
      <c r="AB108" s="5">
        <f t="shared" si="388"/>
        <v>0</v>
      </c>
      <c r="AC108" s="383">
        <f t="shared" si="345"/>
        <v>0</v>
      </c>
      <c r="AD108" s="5">
        <f t="shared" ref="AD108:AO108" si="389">AD53*AD76</f>
        <v>0</v>
      </c>
      <c r="AE108" s="5">
        <f t="shared" si="389"/>
        <v>0</v>
      </c>
      <c r="AF108" s="5">
        <f t="shared" si="389"/>
        <v>0</v>
      </c>
      <c r="AG108" s="5">
        <f t="shared" si="389"/>
        <v>0</v>
      </c>
      <c r="AH108" s="5">
        <f t="shared" si="389"/>
        <v>0</v>
      </c>
      <c r="AI108" s="5">
        <f t="shared" si="389"/>
        <v>0</v>
      </c>
      <c r="AJ108" s="5">
        <f t="shared" si="389"/>
        <v>0</v>
      </c>
      <c r="AK108" s="5">
        <f t="shared" si="389"/>
        <v>0</v>
      </c>
      <c r="AL108" s="5">
        <f t="shared" si="389"/>
        <v>0</v>
      </c>
      <c r="AM108" s="5">
        <f t="shared" si="389"/>
        <v>0</v>
      </c>
      <c r="AN108" s="5">
        <f t="shared" si="389"/>
        <v>0</v>
      </c>
      <c r="AO108" s="5">
        <f t="shared" si="389"/>
        <v>0</v>
      </c>
      <c r="AP108" s="383">
        <f t="shared" si="347"/>
        <v>0</v>
      </c>
      <c r="AQ108" s="5">
        <f t="shared" ref="AQ108:BB108" si="390">AQ53*AQ76</f>
        <v>0</v>
      </c>
      <c r="AR108" s="5">
        <f t="shared" si="390"/>
        <v>0</v>
      </c>
      <c r="AS108" s="5">
        <f t="shared" si="390"/>
        <v>0</v>
      </c>
      <c r="AT108" s="5">
        <f t="shared" si="390"/>
        <v>0</v>
      </c>
      <c r="AU108" s="5">
        <f t="shared" si="390"/>
        <v>0</v>
      </c>
      <c r="AV108" s="5">
        <f t="shared" si="390"/>
        <v>0</v>
      </c>
      <c r="AW108" s="5">
        <f t="shared" si="390"/>
        <v>0</v>
      </c>
      <c r="AX108" s="5">
        <f t="shared" si="390"/>
        <v>0</v>
      </c>
      <c r="AY108" s="5">
        <f t="shared" si="390"/>
        <v>0</v>
      </c>
      <c r="AZ108" s="5">
        <f t="shared" si="390"/>
        <v>0</v>
      </c>
      <c r="BA108" s="5">
        <f t="shared" si="390"/>
        <v>0</v>
      </c>
      <c r="BB108" s="5">
        <f t="shared" si="390"/>
        <v>0</v>
      </c>
      <c r="BC108" s="383">
        <f t="shared" si="349"/>
        <v>0</v>
      </c>
      <c r="BD108" s="5">
        <f t="shared" ref="BD108:BO108" si="391">BD53*BD76</f>
        <v>0</v>
      </c>
      <c r="BE108" s="5">
        <f t="shared" si="391"/>
        <v>0</v>
      </c>
      <c r="BF108" s="5">
        <f t="shared" si="391"/>
        <v>0</v>
      </c>
      <c r="BG108" s="5">
        <f t="shared" si="391"/>
        <v>0</v>
      </c>
      <c r="BH108" s="5">
        <f t="shared" si="391"/>
        <v>0</v>
      </c>
      <c r="BI108" s="5">
        <f t="shared" si="391"/>
        <v>0</v>
      </c>
      <c r="BJ108" s="5">
        <f t="shared" si="391"/>
        <v>0</v>
      </c>
      <c r="BK108" s="5">
        <f t="shared" si="391"/>
        <v>0</v>
      </c>
      <c r="BL108" s="5">
        <f t="shared" si="391"/>
        <v>0</v>
      </c>
      <c r="BM108" s="5">
        <f t="shared" si="391"/>
        <v>0</v>
      </c>
      <c r="BN108" s="5">
        <f t="shared" si="391"/>
        <v>0</v>
      </c>
      <c r="BO108" s="5">
        <f t="shared" si="391"/>
        <v>0</v>
      </c>
      <c r="BP108" s="383">
        <f t="shared" si="351"/>
        <v>0</v>
      </c>
      <c r="CF108" s="297" t="s">
        <v>1031</v>
      </c>
      <c r="CG108" s="12" t="s">
        <v>965</v>
      </c>
    </row>
    <row r="109" spans="1:85" s="5" customFormat="1" outlineLevel="1">
      <c r="A109" s="297" t="s">
        <v>520</v>
      </c>
      <c r="B109" s="12" t="s">
        <v>502</v>
      </c>
      <c r="D109" s="5">
        <f t="shared" ref="D109:O109" si="392">D54*(100%-D74)*D85</f>
        <v>0</v>
      </c>
      <c r="E109" s="5">
        <f t="shared" si="392"/>
        <v>0</v>
      </c>
      <c r="F109" s="5">
        <f t="shared" si="392"/>
        <v>0</v>
      </c>
      <c r="G109" s="5">
        <f t="shared" si="392"/>
        <v>0</v>
      </c>
      <c r="H109" s="5">
        <f t="shared" si="392"/>
        <v>0</v>
      </c>
      <c r="I109" s="5">
        <f t="shared" si="392"/>
        <v>0</v>
      </c>
      <c r="J109" s="5">
        <f t="shared" si="392"/>
        <v>0</v>
      </c>
      <c r="K109" s="5">
        <f t="shared" si="392"/>
        <v>0</v>
      </c>
      <c r="L109" s="5">
        <f t="shared" si="392"/>
        <v>0.29100000732138004</v>
      </c>
      <c r="M109" s="5">
        <f t="shared" si="392"/>
        <v>0.32421721892049948</v>
      </c>
      <c r="N109" s="5">
        <f t="shared" si="392"/>
        <v>0.35744038228308445</v>
      </c>
      <c r="O109" s="5">
        <f t="shared" si="392"/>
        <v>0.374059013093401</v>
      </c>
      <c r="P109" s="383">
        <f t="shared" si="343"/>
        <v>1.346716621618365</v>
      </c>
      <c r="Q109" s="5">
        <f t="shared" ref="Q109:AB109" si="393">Q54*(100%-Q74)*Q85</f>
        <v>2.3789934901762457</v>
      </c>
      <c r="R109" s="5">
        <f t="shared" si="393"/>
        <v>2.5452609116489144</v>
      </c>
      <c r="S109" s="5">
        <f t="shared" si="393"/>
        <v>2.8206893205894437</v>
      </c>
      <c r="T109" s="5">
        <f t="shared" si="393"/>
        <v>3.0995618839131143</v>
      </c>
      <c r="U109" s="5">
        <f t="shared" si="393"/>
        <v>3.3814581539808857</v>
      </c>
      <c r="V109" s="5">
        <f t="shared" si="393"/>
        <v>3.6659594755330498</v>
      </c>
      <c r="W109" s="5">
        <f t="shared" si="393"/>
        <v>3.9526498583092402</v>
      </c>
      <c r="X109" s="5">
        <f t="shared" si="393"/>
        <v>4.2411168292984982</v>
      </c>
      <c r="Y109" s="5">
        <f t="shared" si="393"/>
        <v>4.530952262191339</v>
      </c>
      <c r="Z109" s="5">
        <f t="shared" si="393"/>
        <v>4.8217531817262742</v>
      </c>
      <c r="AA109" s="5">
        <f t="shared" si="393"/>
        <v>5.113122540751573</v>
      </c>
      <c r="AB109" s="5">
        <f t="shared" si="393"/>
        <v>5.264168510385157</v>
      </c>
      <c r="AC109" s="383">
        <f t="shared" si="345"/>
        <v>45.815686418503731</v>
      </c>
      <c r="AD109" s="5">
        <f t="shared" ref="AD109:AO109" si="394">AD54*(100%-AD74)*AD85</f>
        <v>8.4357472336743857</v>
      </c>
      <c r="AE109" s="5">
        <f t="shared" si="394"/>
        <v>5.9210075410317113</v>
      </c>
      <c r="AF109" s="5">
        <f t="shared" si="394"/>
        <v>6.274806332880515</v>
      </c>
      <c r="AG109" s="5">
        <f t="shared" si="394"/>
        <v>6.6317844683826213</v>
      </c>
      <c r="AH109" s="5">
        <f t="shared" si="394"/>
        <v>6.9913804376590036</v>
      </c>
      <c r="AI109" s="5">
        <f t="shared" si="394"/>
        <v>7.3530410356457789</v>
      </c>
      <c r="AJ109" s="5">
        <f t="shared" si="394"/>
        <v>7.7162223752142189</v>
      </c>
      <c r="AK109" s="5">
        <f t="shared" si="394"/>
        <v>8.080390853415663</v>
      </c>
      <c r="AL109" s="5">
        <f t="shared" si="394"/>
        <v>8.4450240687374141</v>
      </c>
      <c r="AM109" s="5">
        <f t="shared" si="394"/>
        <v>8.8096116874829455</v>
      </c>
      <c r="AN109" s="5">
        <f t="shared" si="394"/>
        <v>9.1736562576196228</v>
      </c>
      <c r="AO109" s="5">
        <f t="shared" si="394"/>
        <v>9.3194180324455775</v>
      </c>
      <c r="AP109" s="383">
        <f t="shared" si="347"/>
        <v>93.152090324189459</v>
      </c>
      <c r="AQ109" s="5">
        <f t="shared" ref="AQ109:BB109" si="395">AQ54*(100%-AQ74)*AQ85</f>
        <v>14.917758137633756</v>
      </c>
      <c r="AR109" s="5">
        <f t="shared" si="395"/>
        <v>8.6642935174753113</v>
      </c>
      <c r="AS109" s="5">
        <f t="shared" si="395"/>
        <v>8.9626951159336414</v>
      </c>
      <c r="AT109" s="5">
        <f t="shared" si="395"/>
        <v>9.2641428247963375</v>
      </c>
      <c r="AU109" s="5">
        <f t="shared" si="395"/>
        <v>9.5680979869305087</v>
      </c>
      <c r="AV109" s="5">
        <f t="shared" si="395"/>
        <v>9.8740334162043322</v>
      </c>
      <c r="AW109" s="5">
        <f t="shared" si="395"/>
        <v>10.181434216651102</v>
      </c>
      <c r="AX109" s="5">
        <f t="shared" si="395"/>
        <v>10.489798545532549</v>
      </c>
      <c r="AY109" s="5">
        <f t="shared" si="395"/>
        <v>10.798638319384297</v>
      </c>
      <c r="AZ109" s="5">
        <f t="shared" si="395"/>
        <v>11.107479862363759</v>
      </c>
      <c r="BA109" s="5">
        <f t="shared" si="395"/>
        <v>11.415864496457225</v>
      </c>
      <c r="BB109" s="5">
        <f t="shared" si="395"/>
        <v>11.476722933475816</v>
      </c>
      <c r="BC109" s="383">
        <f t="shared" si="349"/>
        <v>126.72095937283864</v>
      </c>
      <c r="BD109" s="5">
        <f t="shared" ref="BD109:BO109" si="396">BD54*(100%-BD74)*BD85</f>
        <v>20.048564633163451</v>
      </c>
      <c r="BE109" s="5">
        <f t="shared" si="396"/>
        <v>10.641805092349482</v>
      </c>
      <c r="BF109" s="5">
        <f t="shared" si="396"/>
        <v>10.893484809788839</v>
      </c>
      <c r="BG109" s="5">
        <f t="shared" si="396"/>
        <v>11.149428744289626</v>
      </c>
      <c r="BH109" s="5">
        <f t="shared" si="396"/>
        <v>11.409057313307246</v>
      </c>
      <c r="BI109" s="5">
        <f t="shared" si="396"/>
        <v>11.67180545982934</v>
      </c>
      <c r="BJ109" s="5">
        <f t="shared" si="396"/>
        <v>11.937123379367849</v>
      </c>
      <c r="BK109" s="5">
        <f t="shared" si="396"/>
        <v>12.204477180500966</v>
      </c>
      <c r="BL109" s="5">
        <f t="shared" si="396"/>
        <v>12.473349479079491</v>
      </c>
      <c r="BM109" s="5">
        <f t="shared" si="396"/>
        <v>12.743239926458548</v>
      </c>
      <c r="BN109" s="5">
        <f t="shared" si="396"/>
        <v>13.013665672352102</v>
      </c>
      <c r="BO109" s="5">
        <f t="shared" si="396"/>
        <v>13.000521820295349</v>
      </c>
      <c r="BP109" s="383">
        <f t="shared" si="351"/>
        <v>151.18652351078228</v>
      </c>
      <c r="CF109" s="297" t="s">
        <v>1033</v>
      </c>
      <c r="CG109" s="12" t="s">
        <v>965</v>
      </c>
    </row>
    <row r="110" spans="1:85" s="5" customFormat="1" outlineLevel="1">
      <c r="A110" s="297" t="s">
        <v>521</v>
      </c>
      <c r="B110" s="12" t="s">
        <v>502</v>
      </c>
      <c r="D110" s="5">
        <f t="shared" ref="D110:O110" si="397">(D31*D91+D32*D92+D33*D93+D34*D94)/1000000</f>
        <v>0</v>
      </c>
      <c r="E110" s="5">
        <f t="shared" si="397"/>
        <v>0</v>
      </c>
      <c r="F110" s="5">
        <f t="shared" si="397"/>
        <v>0</v>
      </c>
      <c r="G110" s="5">
        <f t="shared" si="397"/>
        <v>0</v>
      </c>
      <c r="H110" s="5">
        <f t="shared" si="397"/>
        <v>0</v>
      </c>
      <c r="I110" s="5">
        <f t="shared" si="397"/>
        <v>0</v>
      </c>
      <c r="J110" s="5">
        <f t="shared" si="397"/>
        <v>0</v>
      </c>
      <c r="K110" s="5">
        <f t="shared" si="397"/>
        <v>0</v>
      </c>
      <c r="L110" s="5">
        <f t="shared" si="397"/>
        <v>0</v>
      </c>
      <c r="M110" s="5">
        <f t="shared" si="397"/>
        <v>0</v>
      </c>
      <c r="N110" s="5">
        <f t="shared" si="397"/>
        <v>0</v>
      </c>
      <c r="O110" s="5">
        <f t="shared" si="397"/>
        <v>0</v>
      </c>
      <c r="P110" s="383">
        <f t="shared" si="343"/>
        <v>0</v>
      </c>
      <c r="Q110" s="5">
        <f t="shared" ref="Q110:AB110" si="398">(Q31*Q91+Q32*Q92+Q33*Q93+Q34*Q94)/1000000</f>
        <v>0</v>
      </c>
      <c r="R110" s="5">
        <f t="shared" si="398"/>
        <v>0</v>
      </c>
      <c r="S110" s="5">
        <f t="shared" si="398"/>
        <v>0</v>
      </c>
      <c r="T110" s="5">
        <f t="shared" si="398"/>
        <v>0</v>
      </c>
      <c r="U110" s="5">
        <f t="shared" si="398"/>
        <v>0</v>
      </c>
      <c r="V110" s="5">
        <f t="shared" si="398"/>
        <v>0</v>
      </c>
      <c r="W110" s="5">
        <f t="shared" si="398"/>
        <v>0</v>
      </c>
      <c r="X110" s="5">
        <f t="shared" si="398"/>
        <v>0</v>
      </c>
      <c r="Y110" s="5">
        <f t="shared" si="398"/>
        <v>0</v>
      </c>
      <c r="Z110" s="5">
        <f t="shared" si="398"/>
        <v>0</v>
      </c>
      <c r="AA110" s="5">
        <f t="shared" si="398"/>
        <v>0</v>
      </c>
      <c r="AB110" s="5">
        <f t="shared" si="398"/>
        <v>0</v>
      </c>
      <c r="AC110" s="383">
        <f t="shared" si="345"/>
        <v>0</v>
      </c>
      <c r="AD110" s="5">
        <f t="shared" ref="AD110:AO110" si="399">(AD31*AD91+AD32*AD92+AD33*AD93+AD34*AD94)/1000000</f>
        <v>0</v>
      </c>
      <c r="AE110" s="5">
        <f t="shared" si="399"/>
        <v>0</v>
      </c>
      <c r="AF110" s="5">
        <f t="shared" si="399"/>
        <v>0</v>
      </c>
      <c r="AG110" s="5">
        <f t="shared" si="399"/>
        <v>0</v>
      </c>
      <c r="AH110" s="5">
        <f t="shared" si="399"/>
        <v>0</v>
      </c>
      <c r="AI110" s="5">
        <f t="shared" si="399"/>
        <v>0</v>
      </c>
      <c r="AJ110" s="5">
        <f t="shared" si="399"/>
        <v>0</v>
      </c>
      <c r="AK110" s="5">
        <f t="shared" si="399"/>
        <v>0</v>
      </c>
      <c r="AL110" s="5">
        <f t="shared" si="399"/>
        <v>0</v>
      </c>
      <c r="AM110" s="5">
        <f t="shared" si="399"/>
        <v>0</v>
      </c>
      <c r="AN110" s="5">
        <f t="shared" si="399"/>
        <v>0</v>
      </c>
      <c r="AO110" s="5">
        <f t="shared" si="399"/>
        <v>0</v>
      </c>
      <c r="AP110" s="383">
        <f t="shared" si="347"/>
        <v>0</v>
      </c>
      <c r="AQ110" s="5">
        <f t="shared" ref="AQ110:BB110" si="400">(AQ31*AQ91+AQ32*AQ92+AQ33*AQ93+AQ34*AQ94)/1000000</f>
        <v>0</v>
      </c>
      <c r="AR110" s="5">
        <f t="shared" si="400"/>
        <v>0</v>
      </c>
      <c r="AS110" s="5">
        <f t="shared" si="400"/>
        <v>0</v>
      </c>
      <c r="AT110" s="5">
        <f t="shared" si="400"/>
        <v>0</v>
      </c>
      <c r="AU110" s="5">
        <f t="shared" si="400"/>
        <v>0</v>
      </c>
      <c r="AV110" s="5">
        <f t="shared" si="400"/>
        <v>0</v>
      </c>
      <c r="AW110" s="5">
        <f t="shared" si="400"/>
        <v>0</v>
      </c>
      <c r="AX110" s="5">
        <f t="shared" si="400"/>
        <v>0</v>
      </c>
      <c r="AY110" s="5">
        <f t="shared" si="400"/>
        <v>0</v>
      </c>
      <c r="AZ110" s="5">
        <f t="shared" si="400"/>
        <v>0</v>
      </c>
      <c r="BA110" s="5">
        <f t="shared" si="400"/>
        <v>0</v>
      </c>
      <c r="BB110" s="5">
        <f t="shared" si="400"/>
        <v>0</v>
      </c>
      <c r="BC110" s="383">
        <f t="shared" si="349"/>
        <v>0</v>
      </c>
      <c r="BD110" s="5">
        <f t="shared" ref="BD110:BO110" si="401">(BD31*BD91+BD32*BD92+BD33*BD93+BD34*BD94)/1000000</f>
        <v>0</v>
      </c>
      <c r="BE110" s="5">
        <f t="shared" si="401"/>
        <v>0</v>
      </c>
      <c r="BF110" s="5">
        <f t="shared" si="401"/>
        <v>0</v>
      </c>
      <c r="BG110" s="5">
        <f t="shared" si="401"/>
        <v>0</v>
      </c>
      <c r="BH110" s="5">
        <f t="shared" si="401"/>
        <v>0</v>
      </c>
      <c r="BI110" s="5">
        <f t="shared" si="401"/>
        <v>0</v>
      </c>
      <c r="BJ110" s="5">
        <f t="shared" si="401"/>
        <v>0</v>
      </c>
      <c r="BK110" s="5">
        <f t="shared" si="401"/>
        <v>0</v>
      </c>
      <c r="BL110" s="5">
        <f t="shared" si="401"/>
        <v>0</v>
      </c>
      <c r="BM110" s="5">
        <f t="shared" si="401"/>
        <v>0</v>
      </c>
      <c r="BN110" s="5">
        <f t="shared" si="401"/>
        <v>0</v>
      </c>
      <c r="BO110" s="5">
        <f t="shared" si="401"/>
        <v>0</v>
      </c>
      <c r="BP110" s="383">
        <f t="shared" si="351"/>
        <v>0</v>
      </c>
      <c r="CF110" s="297" t="s">
        <v>1032</v>
      </c>
      <c r="CG110" s="12" t="s">
        <v>965</v>
      </c>
    </row>
    <row r="111" spans="1:85" s="3" customFormat="1">
      <c r="A111" s="296" t="s">
        <v>472</v>
      </c>
      <c r="B111" s="12" t="s">
        <v>502</v>
      </c>
      <c r="C111" s="5"/>
      <c r="D111" s="3">
        <f t="shared" ref="D111:O111" si="402">D112+D113+D114</f>
        <v>0</v>
      </c>
      <c r="E111" s="3">
        <f t="shared" si="402"/>
        <v>0</v>
      </c>
      <c r="F111" s="3">
        <f t="shared" si="402"/>
        <v>0</v>
      </c>
      <c r="G111" s="3">
        <f t="shared" si="402"/>
        <v>0</v>
      </c>
      <c r="H111" s="3">
        <f t="shared" si="402"/>
        <v>0</v>
      </c>
      <c r="I111" s="3">
        <f t="shared" si="402"/>
        <v>0</v>
      </c>
      <c r="J111" s="3">
        <f t="shared" si="402"/>
        <v>0</v>
      </c>
      <c r="K111" s="3">
        <f t="shared" si="402"/>
        <v>0</v>
      </c>
      <c r="L111" s="3">
        <f t="shared" si="402"/>
        <v>-1.0486486750320001</v>
      </c>
      <c r="M111" s="3">
        <f t="shared" si="402"/>
        <v>-1.1880288784754987</v>
      </c>
      <c r="N111" s="3">
        <f t="shared" si="402"/>
        <v>-1.3305315047663764</v>
      </c>
      <c r="O111" s="3">
        <f t="shared" si="402"/>
        <v>-1.4147135383075118</v>
      </c>
      <c r="P111" s="397">
        <f t="shared" si="343"/>
        <v>-4.9819225965813869</v>
      </c>
      <c r="Q111" s="3">
        <f t="shared" ref="Q111:AB111" si="403">Q112+Q113+Q114</f>
        <v>-8.8480237316833978</v>
      </c>
      <c r="R111" s="3">
        <f t="shared" si="403"/>
        <v>-9.5170401910908122</v>
      </c>
      <c r="S111" s="3">
        <f t="shared" si="403"/>
        <v>-10.597600881769042</v>
      </c>
      <c r="T111" s="3">
        <f t="shared" si="403"/>
        <v>-11.698455226645621</v>
      </c>
      <c r="U111" s="3">
        <f t="shared" si="403"/>
        <v>-12.818168236063642</v>
      </c>
      <c r="V111" s="3">
        <f t="shared" si="403"/>
        <v>-13.955293476963746</v>
      </c>
      <c r="W111" s="3">
        <f t="shared" si="403"/>
        <v>-15.108376279538231</v>
      </c>
      <c r="X111" s="3">
        <f t="shared" si="403"/>
        <v>-16.275956925983337</v>
      </c>
      <c r="Y111" s="3">
        <f t="shared" si="403"/>
        <v>-17.45657381149913</v>
      </c>
      <c r="Z111" s="3">
        <f t="shared" si="403"/>
        <v>-18.648766567905906</v>
      </c>
      <c r="AA111" s="3">
        <f t="shared" si="403"/>
        <v>-19.851079140502669</v>
      </c>
      <c r="AB111" s="3">
        <f t="shared" si="403"/>
        <v>-20.523743048267345</v>
      </c>
      <c r="AC111" s="397">
        <f t="shared" si="345"/>
        <v>-175.29907751791285</v>
      </c>
      <c r="AD111" s="3">
        <f t="shared" ref="AD111:AO111" si="404">AD112+AD113+AD114</f>
        <v>-32.78632251153811</v>
      </c>
      <c r="AE111" s="3">
        <f t="shared" si="404"/>
        <v>-23.264159369638321</v>
      </c>
      <c r="AF111" s="3">
        <f t="shared" si="404"/>
        <v>-24.737361590912091</v>
      </c>
      <c r="AG111" s="3">
        <f t="shared" si="404"/>
        <v>-26.233282029460995</v>
      </c>
      <c r="AH111" s="3">
        <f t="shared" si="404"/>
        <v>-27.749884760579377</v>
      </c>
      <c r="AI111" s="3">
        <f t="shared" si="404"/>
        <v>-29.285140094209574</v>
      </c>
      <c r="AJ111" s="3">
        <f t="shared" si="404"/>
        <v>-30.837028769203727</v>
      </c>
      <c r="AK111" s="3">
        <f t="shared" si="404"/>
        <v>-32.403546041839157</v>
      </c>
      <c r="AL111" s="3">
        <f t="shared" si="404"/>
        <v>-33.982705657582656</v>
      </c>
      <c r="AM111" s="3">
        <f t="shared" si="404"/>
        <v>-35.572543695728584</v>
      </c>
      <c r="AN111" s="3">
        <f t="shared" si="404"/>
        <v>-37.171122277193653</v>
      </c>
      <c r="AO111" s="3">
        <f t="shared" si="404"/>
        <v>-37.914406395392547</v>
      </c>
      <c r="AP111" s="397">
        <f t="shared" si="347"/>
        <v>-371.93750319327876</v>
      </c>
      <c r="AQ111" s="3">
        <f t="shared" ref="AQ111:BB111" si="405">AQ112+AQ113+AQ114</f>
        <v>-60.312982238079151</v>
      </c>
      <c r="AR111" s="3">
        <f t="shared" si="405"/>
        <v>-35.657485319449485</v>
      </c>
      <c r="AS111" s="3">
        <f t="shared" si="405"/>
        <v>-36.995145764236106</v>
      </c>
      <c r="AT111" s="3">
        <f t="shared" si="405"/>
        <v>-38.355030774140424</v>
      </c>
      <c r="AU111" s="3">
        <f t="shared" si="405"/>
        <v>-39.735110866918127</v>
      </c>
      <c r="AV111" s="3">
        <f t="shared" si="405"/>
        <v>-41.13337629415475</v>
      </c>
      <c r="AW111" s="3">
        <f t="shared" si="405"/>
        <v>-42.547840829787916</v>
      </c>
      <c r="AX111" s="3">
        <f t="shared" si="405"/>
        <v>-43.976545401658072</v>
      </c>
      <c r="AY111" s="3">
        <f t="shared" si="405"/>
        <v>-45.417561558419571</v>
      </c>
      <c r="AZ111" s="3">
        <f t="shared" si="405"/>
        <v>-46.868994764932431</v>
      </c>
      <c r="BA111" s="3">
        <f t="shared" si="405"/>
        <v>-48.328987520064778</v>
      </c>
      <c r="BB111" s="3">
        <f t="shared" si="405"/>
        <v>-48.780799905400073</v>
      </c>
      <c r="BC111" s="397">
        <f t="shared" si="349"/>
        <v>-528.10986123724092</v>
      </c>
      <c r="BD111" s="3">
        <f t="shared" ref="BD111:BO111" si="406">BD112+BD113+BD114</f>
        <v>-84.285922066665933</v>
      </c>
      <c r="BE111" s="3">
        <f t="shared" si="406"/>
        <v>-45.775419283020824</v>
      </c>
      <c r="BF111" s="3">
        <f t="shared" si="406"/>
        <v>-46.991984893057939</v>
      </c>
      <c r="BG111" s="3">
        <f t="shared" si="406"/>
        <v>-48.236299823995061</v>
      </c>
      <c r="BH111" s="3">
        <f t="shared" si="406"/>
        <v>-49.506127443112945</v>
      </c>
      <c r="BI111" s="3">
        <f t="shared" si="406"/>
        <v>-50.799261879528508</v>
      </c>
      <c r="BJ111" s="3">
        <f t="shared" si="406"/>
        <v>-52.113531777585095</v>
      </c>
      <c r="BK111" s="3">
        <f t="shared" si="406"/>
        <v>-53.446803840720179</v>
      </c>
      <c r="BL111" s="3">
        <f t="shared" si="406"/>
        <v>-54.796986160989775</v>
      </c>
      <c r="BM111" s="3">
        <f t="shared" si="406"/>
        <v>-56.162031330372919</v>
      </c>
      <c r="BN111" s="3">
        <f t="shared" si="406"/>
        <v>-57.539939330909611</v>
      </c>
      <c r="BO111" s="3">
        <f t="shared" si="406"/>
        <v>-57.7166236937828</v>
      </c>
      <c r="BP111" s="397">
        <f t="shared" si="351"/>
        <v>-657.37093152374166</v>
      </c>
      <c r="CF111" s="296" t="s">
        <v>864</v>
      </c>
      <c r="CG111" s="12" t="s">
        <v>965</v>
      </c>
    </row>
    <row r="112" spans="1:85" s="5" customFormat="1" outlineLevel="1">
      <c r="A112" s="297" t="s">
        <v>522</v>
      </c>
      <c r="B112" s="12" t="s">
        <v>502</v>
      </c>
      <c r="D112" s="5">
        <f t="shared" ref="D112:O112" si="407">D52*D86</f>
        <v>0</v>
      </c>
      <c r="E112" s="5">
        <f t="shared" si="407"/>
        <v>0</v>
      </c>
      <c r="F112" s="5">
        <f t="shared" si="407"/>
        <v>0</v>
      </c>
      <c r="G112" s="5">
        <f t="shared" si="407"/>
        <v>0</v>
      </c>
      <c r="H112" s="5">
        <f t="shared" si="407"/>
        <v>0</v>
      </c>
      <c r="I112" s="5">
        <f t="shared" si="407"/>
        <v>0</v>
      </c>
      <c r="J112" s="5">
        <f t="shared" si="407"/>
        <v>0</v>
      </c>
      <c r="K112" s="5">
        <f t="shared" si="407"/>
        <v>0</v>
      </c>
      <c r="L112" s="5">
        <f t="shared" si="407"/>
        <v>-1.0486486750320001</v>
      </c>
      <c r="M112" s="5">
        <f t="shared" si="407"/>
        <v>-1.1880288784754987</v>
      </c>
      <c r="N112" s="5">
        <f t="shared" si="407"/>
        <v>-1.3305315047663764</v>
      </c>
      <c r="O112" s="5">
        <f t="shared" si="407"/>
        <v>-1.4147135383075118</v>
      </c>
      <c r="P112" s="383">
        <f t="shared" si="343"/>
        <v>-4.9819225965813869</v>
      </c>
      <c r="Q112" s="5">
        <f t="shared" ref="Q112:AB112" si="408">Q52*Q86</f>
        <v>-8.8480237316833978</v>
      </c>
      <c r="R112" s="5">
        <f t="shared" si="408"/>
        <v>-9.5170401910908122</v>
      </c>
      <c r="S112" s="5">
        <f t="shared" si="408"/>
        <v>-10.597600881769042</v>
      </c>
      <c r="T112" s="5">
        <f t="shared" si="408"/>
        <v>-11.698455226645621</v>
      </c>
      <c r="U112" s="5">
        <f t="shared" si="408"/>
        <v>-12.818168236063642</v>
      </c>
      <c r="V112" s="5">
        <f t="shared" si="408"/>
        <v>-13.955293476963746</v>
      </c>
      <c r="W112" s="5">
        <f t="shared" si="408"/>
        <v>-15.108376279538231</v>
      </c>
      <c r="X112" s="5">
        <f t="shared" si="408"/>
        <v>-16.275956925983337</v>
      </c>
      <c r="Y112" s="5">
        <f t="shared" si="408"/>
        <v>-17.45657381149913</v>
      </c>
      <c r="Z112" s="5">
        <f t="shared" si="408"/>
        <v>-18.648766567905906</v>
      </c>
      <c r="AA112" s="5">
        <f t="shared" si="408"/>
        <v>-19.851079140502669</v>
      </c>
      <c r="AB112" s="5">
        <f t="shared" si="408"/>
        <v>-20.523743048267345</v>
      </c>
      <c r="AC112" s="383">
        <f t="shared" si="345"/>
        <v>-175.29907751791285</v>
      </c>
      <c r="AD112" s="5">
        <f t="shared" ref="AD112:AO112" si="409">AD52*AD86</f>
        <v>-32.78632251153811</v>
      </c>
      <c r="AE112" s="5">
        <f t="shared" si="409"/>
        <v>-23.264159369638321</v>
      </c>
      <c r="AF112" s="5">
        <f t="shared" si="409"/>
        <v>-24.737361590912091</v>
      </c>
      <c r="AG112" s="5">
        <f t="shared" si="409"/>
        <v>-26.233282029460995</v>
      </c>
      <c r="AH112" s="5">
        <f t="shared" si="409"/>
        <v>-27.749884760579377</v>
      </c>
      <c r="AI112" s="5">
        <f t="shared" si="409"/>
        <v>-29.285140094209574</v>
      </c>
      <c r="AJ112" s="5">
        <f t="shared" si="409"/>
        <v>-30.837028769203727</v>
      </c>
      <c r="AK112" s="5">
        <f t="shared" si="409"/>
        <v>-32.403546041839157</v>
      </c>
      <c r="AL112" s="5">
        <f t="shared" si="409"/>
        <v>-33.982705657582656</v>
      </c>
      <c r="AM112" s="5">
        <f t="shared" si="409"/>
        <v>-35.572543695728584</v>
      </c>
      <c r="AN112" s="5">
        <f t="shared" si="409"/>
        <v>-37.171122277193653</v>
      </c>
      <c r="AO112" s="5">
        <f t="shared" si="409"/>
        <v>-37.914406395392547</v>
      </c>
      <c r="AP112" s="383">
        <f t="shared" si="347"/>
        <v>-371.93750319327876</v>
      </c>
      <c r="AQ112" s="5">
        <f t="shared" ref="AQ112:BB112" si="410">AQ52*AQ86</f>
        <v>-60.312982238079151</v>
      </c>
      <c r="AR112" s="5">
        <f t="shared" si="410"/>
        <v>-35.657485319449485</v>
      </c>
      <c r="AS112" s="5">
        <f t="shared" si="410"/>
        <v>-36.995145764236106</v>
      </c>
      <c r="AT112" s="5">
        <f t="shared" si="410"/>
        <v>-38.355030774140424</v>
      </c>
      <c r="AU112" s="5">
        <f t="shared" si="410"/>
        <v>-39.735110866918127</v>
      </c>
      <c r="AV112" s="5">
        <f t="shared" si="410"/>
        <v>-41.13337629415475</v>
      </c>
      <c r="AW112" s="5">
        <f t="shared" si="410"/>
        <v>-42.547840829787916</v>
      </c>
      <c r="AX112" s="5">
        <f t="shared" si="410"/>
        <v>-43.976545401658072</v>
      </c>
      <c r="AY112" s="5">
        <f t="shared" si="410"/>
        <v>-45.417561558419571</v>
      </c>
      <c r="AZ112" s="5">
        <f t="shared" si="410"/>
        <v>-46.868994764932431</v>
      </c>
      <c r="BA112" s="5">
        <f t="shared" si="410"/>
        <v>-48.328987520064778</v>
      </c>
      <c r="BB112" s="5">
        <f t="shared" si="410"/>
        <v>-48.780799905400073</v>
      </c>
      <c r="BC112" s="383">
        <f t="shared" si="349"/>
        <v>-528.10986123724092</v>
      </c>
      <c r="BD112" s="5">
        <f t="shared" ref="BD112:BO112" si="411">BD52*BD86</f>
        <v>-84.285922066665933</v>
      </c>
      <c r="BE112" s="5">
        <f t="shared" si="411"/>
        <v>-45.775419283020824</v>
      </c>
      <c r="BF112" s="5">
        <f t="shared" si="411"/>
        <v>-46.991984893057939</v>
      </c>
      <c r="BG112" s="5">
        <f t="shared" si="411"/>
        <v>-48.236299823995061</v>
      </c>
      <c r="BH112" s="5">
        <f t="shared" si="411"/>
        <v>-49.506127443112945</v>
      </c>
      <c r="BI112" s="5">
        <f t="shared" si="411"/>
        <v>-50.799261879528508</v>
      </c>
      <c r="BJ112" s="5">
        <f t="shared" si="411"/>
        <v>-52.113531777585095</v>
      </c>
      <c r="BK112" s="5">
        <f t="shared" si="411"/>
        <v>-53.446803840720179</v>
      </c>
      <c r="BL112" s="5">
        <f t="shared" si="411"/>
        <v>-54.796986160989775</v>
      </c>
      <c r="BM112" s="5">
        <f t="shared" si="411"/>
        <v>-56.162031330372919</v>
      </c>
      <c r="BN112" s="5">
        <f t="shared" si="411"/>
        <v>-57.539939330909611</v>
      </c>
      <c r="BO112" s="5">
        <f t="shared" si="411"/>
        <v>-57.7166236937828</v>
      </c>
      <c r="BP112" s="383">
        <f t="shared" si="351"/>
        <v>-657.37093152374166</v>
      </c>
      <c r="CF112" s="297" t="s">
        <v>1034</v>
      </c>
      <c r="CG112" s="12" t="s">
        <v>965</v>
      </c>
    </row>
    <row r="113" spans="1:85" s="5" customFormat="1" outlineLevel="1">
      <c r="A113" s="297" t="s">
        <v>523</v>
      </c>
      <c r="B113" s="12" t="s">
        <v>502</v>
      </c>
      <c r="D113" s="5">
        <f t="shared" ref="D113:O113" si="412">D54*D87</f>
        <v>0</v>
      </c>
      <c r="E113" s="5">
        <f t="shared" si="412"/>
        <v>0</v>
      </c>
      <c r="F113" s="5">
        <f t="shared" si="412"/>
        <v>0</v>
      </c>
      <c r="G113" s="5">
        <f t="shared" si="412"/>
        <v>0</v>
      </c>
      <c r="H113" s="5">
        <f t="shared" si="412"/>
        <v>0</v>
      </c>
      <c r="I113" s="5">
        <f t="shared" si="412"/>
        <v>0</v>
      </c>
      <c r="J113" s="5">
        <f t="shared" si="412"/>
        <v>0</v>
      </c>
      <c r="K113" s="5">
        <f t="shared" si="412"/>
        <v>0</v>
      </c>
      <c r="L113" s="5">
        <f t="shared" si="412"/>
        <v>0</v>
      </c>
      <c r="M113" s="5">
        <f t="shared" si="412"/>
        <v>0</v>
      </c>
      <c r="N113" s="5">
        <f t="shared" si="412"/>
        <v>0</v>
      </c>
      <c r="O113" s="5">
        <f t="shared" si="412"/>
        <v>0</v>
      </c>
      <c r="P113" s="383">
        <f t="shared" si="343"/>
        <v>0</v>
      </c>
      <c r="Q113" s="5">
        <f t="shared" ref="Q113:AB113" si="413">Q54*Q87</f>
        <v>0</v>
      </c>
      <c r="R113" s="5">
        <f t="shared" si="413"/>
        <v>0</v>
      </c>
      <c r="S113" s="5">
        <f t="shared" si="413"/>
        <v>0</v>
      </c>
      <c r="T113" s="5">
        <f t="shared" si="413"/>
        <v>0</v>
      </c>
      <c r="U113" s="5">
        <f t="shared" si="413"/>
        <v>0</v>
      </c>
      <c r="V113" s="5">
        <f t="shared" si="413"/>
        <v>0</v>
      </c>
      <c r="W113" s="5">
        <f t="shared" si="413"/>
        <v>0</v>
      </c>
      <c r="X113" s="5">
        <f t="shared" si="413"/>
        <v>0</v>
      </c>
      <c r="Y113" s="5">
        <f t="shared" si="413"/>
        <v>0</v>
      </c>
      <c r="Z113" s="5">
        <f t="shared" si="413"/>
        <v>0</v>
      </c>
      <c r="AA113" s="5">
        <f t="shared" si="413"/>
        <v>0</v>
      </c>
      <c r="AB113" s="5">
        <f t="shared" si="413"/>
        <v>0</v>
      </c>
      <c r="AC113" s="383">
        <f t="shared" si="345"/>
        <v>0</v>
      </c>
      <c r="AD113" s="5">
        <f t="shared" ref="AD113:AO113" si="414">AD54*AD87</f>
        <v>0</v>
      </c>
      <c r="AE113" s="5">
        <f t="shared" si="414"/>
        <v>0</v>
      </c>
      <c r="AF113" s="5">
        <f t="shared" si="414"/>
        <v>0</v>
      </c>
      <c r="AG113" s="5">
        <f t="shared" si="414"/>
        <v>0</v>
      </c>
      <c r="AH113" s="5">
        <f t="shared" si="414"/>
        <v>0</v>
      </c>
      <c r="AI113" s="5">
        <f t="shared" si="414"/>
        <v>0</v>
      </c>
      <c r="AJ113" s="5">
        <f t="shared" si="414"/>
        <v>0</v>
      </c>
      <c r="AK113" s="5">
        <f t="shared" si="414"/>
        <v>0</v>
      </c>
      <c r="AL113" s="5">
        <f t="shared" si="414"/>
        <v>0</v>
      </c>
      <c r="AM113" s="5">
        <f t="shared" si="414"/>
        <v>0</v>
      </c>
      <c r="AN113" s="5">
        <f t="shared" si="414"/>
        <v>0</v>
      </c>
      <c r="AO113" s="5">
        <f t="shared" si="414"/>
        <v>0</v>
      </c>
      <c r="AP113" s="383">
        <f t="shared" si="347"/>
        <v>0</v>
      </c>
      <c r="AQ113" s="5">
        <f t="shared" ref="AQ113:BB113" si="415">AQ54*AQ87</f>
        <v>0</v>
      </c>
      <c r="AR113" s="5">
        <f t="shared" si="415"/>
        <v>0</v>
      </c>
      <c r="AS113" s="5">
        <f t="shared" si="415"/>
        <v>0</v>
      </c>
      <c r="AT113" s="5">
        <f t="shared" si="415"/>
        <v>0</v>
      </c>
      <c r="AU113" s="5">
        <f t="shared" si="415"/>
        <v>0</v>
      </c>
      <c r="AV113" s="5">
        <f t="shared" si="415"/>
        <v>0</v>
      </c>
      <c r="AW113" s="5">
        <f t="shared" si="415"/>
        <v>0</v>
      </c>
      <c r="AX113" s="5">
        <f t="shared" si="415"/>
        <v>0</v>
      </c>
      <c r="AY113" s="5">
        <f t="shared" si="415"/>
        <v>0</v>
      </c>
      <c r="AZ113" s="5">
        <f t="shared" si="415"/>
        <v>0</v>
      </c>
      <c r="BA113" s="5">
        <f t="shared" si="415"/>
        <v>0</v>
      </c>
      <c r="BB113" s="5">
        <f t="shared" si="415"/>
        <v>0</v>
      </c>
      <c r="BC113" s="383">
        <f t="shared" si="349"/>
        <v>0</v>
      </c>
      <c r="BD113" s="5">
        <f t="shared" ref="BD113:BO113" si="416">BD54*BD87</f>
        <v>0</v>
      </c>
      <c r="BE113" s="5">
        <f t="shared" si="416"/>
        <v>0</v>
      </c>
      <c r="BF113" s="5">
        <f t="shared" si="416"/>
        <v>0</v>
      </c>
      <c r="BG113" s="5">
        <f t="shared" si="416"/>
        <v>0</v>
      </c>
      <c r="BH113" s="5">
        <f t="shared" si="416"/>
        <v>0</v>
      </c>
      <c r="BI113" s="5">
        <f t="shared" si="416"/>
        <v>0</v>
      </c>
      <c r="BJ113" s="5">
        <f t="shared" si="416"/>
        <v>0</v>
      </c>
      <c r="BK113" s="5">
        <f t="shared" si="416"/>
        <v>0</v>
      </c>
      <c r="BL113" s="5">
        <f t="shared" si="416"/>
        <v>0</v>
      </c>
      <c r="BM113" s="5">
        <f t="shared" si="416"/>
        <v>0</v>
      </c>
      <c r="BN113" s="5">
        <f t="shared" si="416"/>
        <v>0</v>
      </c>
      <c r="BO113" s="5">
        <f t="shared" si="416"/>
        <v>0</v>
      </c>
      <c r="BP113" s="383">
        <f t="shared" si="351"/>
        <v>0</v>
      </c>
      <c r="CF113" s="297" t="s">
        <v>1035</v>
      </c>
      <c r="CG113" s="12" t="s">
        <v>965</v>
      </c>
    </row>
    <row r="114" spans="1:85" s="5" customFormat="1" outlineLevel="1">
      <c r="A114" s="297" t="s">
        <v>524</v>
      </c>
      <c r="B114" s="12" t="s">
        <v>502</v>
      </c>
      <c r="P114" s="383">
        <f t="shared" si="343"/>
        <v>0</v>
      </c>
      <c r="AC114" s="383">
        <f t="shared" si="345"/>
        <v>0</v>
      </c>
      <c r="AP114" s="383">
        <f t="shared" si="347"/>
        <v>0</v>
      </c>
      <c r="BC114" s="383">
        <f t="shared" si="349"/>
        <v>0</v>
      </c>
      <c r="BP114" s="383">
        <f t="shared" si="351"/>
        <v>0</v>
      </c>
      <c r="CF114" s="297" t="s">
        <v>1036</v>
      </c>
      <c r="CG114" s="12" t="s">
        <v>965</v>
      </c>
    </row>
    <row r="115" spans="1:85" s="3" customFormat="1">
      <c r="A115" s="296" t="s">
        <v>525</v>
      </c>
      <c r="B115" s="12" t="s">
        <v>502</v>
      </c>
      <c r="C115" s="5"/>
      <c r="P115" s="397">
        <f t="shared" si="343"/>
        <v>0</v>
      </c>
      <c r="AC115" s="397">
        <f t="shared" si="345"/>
        <v>0</v>
      </c>
      <c r="AP115" s="397">
        <f t="shared" si="347"/>
        <v>0</v>
      </c>
      <c r="BC115" s="397">
        <f t="shared" si="349"/>
        <v>0</v>
      </c>
      <c r="BP115" s="397">
        <f t="shared" si="351"/>
        <v>0</v>
      </c>
      <c r="CF115" s="296" t="s">
        <v>865</v>
      </c>
      <c r="CG115" s="12" t="s">
        <v>965</v>
      </c>
    </row>
    <row r="116" spans="1:85" s="3" customFormat="1">
      <c r="A116" s="300" t="s">
        <v>526</v>
      </c>
      <c r="B116" s="12" t="s">
        <v>502</v>
      </c>
      <c r="C116" s="5"/>
      <c r="P116" s="397">
        <f t="shared" si="343"/>
        <v>0</v>
      </c>
      <c r="AC116" s="397">
        <f t="shared" si="345"/>
        <v>0</v>
      </c>
      <c r="AP116" s="397">
        <f t="shared" si="347"/>
        <v>0</v>
      </c>
      <c r="BC116" s="397">
        <f t="shared" si="349"/>
        <v>0</v>
      </c>
      <c r="BP116" s="397">
        <f t="shared" si="351"/>
        <v>0</v>
      </c>
      <c r="CF116" s="300" t="s">
        <v>866</v>
      </c>
      <c r="CG116" s="12" t="s">
        <v>965</v>
      </c>
    </row>
    <row r="117" spans="1:85" s="63" customFormat="1">
      <c r="A117" s="298" t="s">
        <v>527</v>
      </c>
      <c r="B117" s="12" t="s">
        <v>502</v>
      </c>
      <c r="C117" s="299"/>
      <c r="D117" s="63">
        <f t="shared" ref="D117:O117" si="417">D106+D107+D111+D115+D116</f>
        <v>0</v>
      </c>
      <c r="E117" s="63">
        <f t="shared" si="417"/>
        <v>0</v>
      </c>
      <c r="F117" s="63">
        <f t="shared" si="417"/>
        <v>0</v>
      </c>
      <c r="G117" s="63">
        <f t="shared" si="417"/>
        <v>0</v>
      </c>
      <c r="H117" s="63">
        <f t="shared" si="417"/>
        <v>0</v>
      </c>
      <c r="I117" s="63">
        <f t="shared" si="417"/>
        <v>0</v>
      </c>
      <c r="J117" s="63">
        <f t="shared" si="417"/>
        <v>0</v>
      </c>
      <c r="K117" s="63">
        <f t="shared" si="417"/>
        <v>0</v>
      </c>
      <c r="L117" s="63">
        <f t="shared" si="417"/>
        <v>-1.2496606201115501</v>
      </c>
      <c r="M117" s="63">
        <f t="shared" si="417"/>
        <v>-2.3960502187123875</v>
      </c>
      <c r="N117" s="63">
        <f t="shared" si="417"/>
        <v>-3.460156536472855</v>
      </c>
      <c r="O117" s="63">
        <f t="shared" si="417"/>
        <v>-4.6299685576491054</v>
      </c>
      <c r="P117" s="419">
        <f t="shared" si="343"/>
        <v>-11.735835932945898</v>
      </c>
      <c r="Q117" s="63">
        <f t="shared" ref="Q117:AB117" si="418">Q106+Q107+Q111+Q115+Q116</f>
        <v>-14.239196289357649</v>
      </c>
      <c r="R117" s="63">
        <f t="shared" si="418"/>
        <v>-20.921274574635184</v>
      </c>
      <c r="S117" s="63">
        <f t="shared" si="418"/>
        <v>-30.952895069761091</v>
      </c>
      <c r="T117" s="63">
        <f t="shared" si="418"/>
        <v>-38.736094449953001</v>
      </c>
      <c r="U117" s="63">
        <f t="shared" si="418"/>
        <v>-48.759290380549281</v>
      </c>
      <c r="V117" s="63">
        <f t="shared" si="418"/>
        <v>-56.450076979868676</v>
      </c>
      <c r="W117" s="63">
        <f t="shared" si="418"/>
        <v>-67.409048500633773</v>
      </c>
      <c r="X117" s="63">
        <f t="shared" si="418"/>
        <v>-77.000061782529968</v>
      </c>
      <c r="Y117" s="63">
        <f t="shared" si="418"/>
        <v>-84.360601056879688</v>
      </c>
      <c r="Z117" s="63">
        <f t="shared" si="418"/>
        <v>-96.614193125325613</v>
      </c>
      <c r="AA117" s="63">
        <f t="shared" si="418"/>
        <v>-103.63427013529528</v>
      </c>
      <c r="AB117" s="63">
        <f t="shared" si="418"/>
        <v>-116.04840818685669</v>
      </c>
      <c r="AC117" s="419">
        <f t="shared" si="345"/>
        <v>-755.12541053164591</v>
      </c>
      <c r="AD117" s="63">
        <f t="shared" ref="AD117:AO117" si="419">AD106+AD107+AD111+AD115+AD116</f>
        <v>-132.82459824238069</v>
      </c>
      <c r="AE117" s="63">
        <f t="shared" si="419"/>
        <v>-127.23054181925467</v>
      </c>
      <c r="AF117" s="63">
        <f t="shared" si="419"/>
        <v>-148.5706408146865</v>
      </c>
      <c r="AG117" s="63">
        <f t="shared" si="419"/>
        <v>-153.87041469207418</v>
      </c>
      <c r="AH117" s="63">
        <f t="shared" si="419"/>
        <v>-168.29925742060362</v>
      </c>
      <c r="AI117" s="63">
        <f t="shared" si="419"/>
        <v>-173.35214639539606</v>
      </c>
      <c r="AJ117" s="63">
        <f t="shared" si="419"/>
        <v>-188.61633246656288</v>
      </c>
      <c r="AK117" s="63">
        <f t="shared" si="419"/>
        <v>-198.91989649767683</v>
      </c>
      <c r="AL117" s="63">
        <f t="shared" si="419"/>
        <v>-203.35358823122516</v>
      </c>
      <c r="AM117" s="63">
        <f t="shared" si="419"/>
        <v>-219.67018965279118</v>
      </c>
      <c r="AN117" s="63">
        <f t="shared" si="419"/>
        <v>-223.54178773178387</v>
      </c>
      <c r="AO117" s="63">
        <f t="shared" si="419"/>
        <v>-239.4648359173901</v>
      </c>
      <c r="AP117" s="419">
        <f t="shared" si="347"/>
        <v>-2177.7142298818258</v>
      </c>
      <c r="AQ117" s="63">
        <f t="shared" ref="AQ117:BB117" si="420">AQ106+AQ107+AQ111+AQ115+AQ116</f>
        <v>-258.40068412171178</v>
      </c>
      <c r="AR117" s="63">
        <f t="shared" si="420"/>
        <v>-231.79460693634255</v>
      </c>
      <c r="AS117" s="63">
        <f t="shared" si="420"/>
        <v>-258.6786507378759</v>
      </c>
      <c r="AT117" s="63">
        <f t="shared" si="420"/>
        <v>-256.22631110394087</v>
      </c>
      <c r="AU117" s="63">
        <f t="shared" si="420"/>
        <v>-269.06335887350787</v>
      </c>
      <c r="AV117" s="63">
        <f t="shared" si="420"/>
        <v>-266.60133779303243</v>
      </c>
      <c r="AW117" s="63">
        <f t="shared" si="420"/>
        <v>-279.91609828481353</v>
      </c>
      <c r="AX117" s="63">
        <f t="shared" si="420"/>
        <v>-285.44461028304414</v>
      </c>
      <c r="AY117" s="63">
        <f t="shared" si="420"/>
        <v>-282.73304987710583</v>
      </c>
      <c r="AZ117" s="63">
        <f t="shared" si="420"/>
        <v>-296.56552977545033</v>
      </c>
      <c r="BA117" s="63">
        <f t="shared" si="420"/>
        <v>-293.54961245694597</v>
      </c>
      <c r="BB117" s="63">
        <f t="shared" si="420"/>
        <v>-306.52174276947119</v>
      </c>
      <c r="BC117" s="419">
        <f t="shared" si="349"/>
        <v>-3285.4955930132419</v>
      </c>
      <c r="BD117" s="63">
        <f t="shared" ref="BD117:BO117" si="421">BD106+BD107+BD111+BD115+BD116</f>
        <v>-324.66331645012718</v>
      </c>
      <c r="BE117" s="63">
        <f t="shared" si="421"/>
        <v>-280.56695360672734</v>
      </c>
      <c r="BF117" s="63">
        <f t="shared" si="421"/>
        <v>-306.97638396479238</v>
      </c>
      <c r="BG117" s="63">
        <f t="shared" si="421"/>
        <v>-298.58707778240887</v>
      </c>
      <c r="BH117" s="63">
        <f t="shared" si="421"/>
        <v>-307.81173588719321</v>
      </c>
      <c r="BI117" s="63">
        <f t="shared" si="421"/>
        <v>-299.77905558869071</v>
      </c>
      <c r="BJ117" s="63">
        <f t="shared" si="421"/>
        <v>-309.23887495190007</v>
      </c>
      <c r="BK117" s="63">
        <f t="shared" si="421"/>
        <v>-310.09498088918622</v>
      </c>
      <c r="BL117" s="63">
        <f t="shared" si="421"/>
        <v>-302.33852441233472</v>
      </c>
      <c r="BM117" s="63">
        <f t="shared" si="421"/>
        <v>-311.94193625718538</v>
      </c>
      <c r="BN117" s="63">
        <f t="shared" si="421"/>
        <v>-304.21928088876945</v>
      </c>
      <c r="BO117" s="63">
        <f t="shared" si="421"/>
        <v>-312.57512830843933</v>
      </c>
      <c r="BP117" s="419">
        <f t="shared" si="351"/>
        <v>-3668.7932489877549</v>
      </c>
      <c r="CF117" s="298" t="s">
        <v>860</v>
      </c>
      <c r="CG117" s="12" t="s">
        <v>965</v>
      </c>
    </row>
    <row r="118" spans="1:85" s="3" customFormat="1">
      <c r="A118" s="296" t="s">
        <v>528</v>
      </c>
      <c r="B118" s="12" t="s">
        <v>502</v>
      </c>
      <c r="C118" s="5"/>
      <c r="P118" s="397">
        <f t="shared" si="343"/>
        <v>0</v>
      </c>
      <c r="AC118" s="397">
        <f t="shared" si="345"/>
        <v>0</v>
      </c>
      <c r="AP118" s="397">
        <f t="shared" si="347"/>
        <v>0</v>
      </c>
      <c r="BC118" s="397">
        <f t="shared" si="349"/>
        <v>0</v>
      </c>
      <c r="BP118" s="397">
        <f t="shared" si="351"/>
        <v>0</v>
      </c>
      <c r="CF118" s="296" t="s">
        <v>1037</v>
      </c>
      <c r="CG118" s="12" t="s">
        <v>965</v>
      </c>
    </row>
    <row r="119" spans="1:85" s="3" customFormat="1">
      <c r="A119" s="296" t="s">
        <v>529</v>
      </c>
      <c r="B119" s="12" t="s">
        <v>502</v>
      </c>
      <c r="C119" s="5"/>
      <c r="D119" s="3">
        <f t="shared" ref="D119:O119" si="422">SUM(C120:D126)</f>
        <v>0</v>
      </c>
      <c r="E119" s="3">
        <f t="shared" si="422"/>
        <v>0</v>
      </c>
      <c r="F119" s="3">
        <f t="shared" si="422"/>
        <v>0</v>
      </c>
      <c r="G119" s="3">
        <f t="shared" si="422"/>
        <v>0</v>
      </c>
      <c r="H119" s="3">
        <f t="shared" si="422"/>
        <v>0</v>
      </c>
      <c r="I119" s="3">
        <f t="shared" si="422"/>
        <v>0</v>
      </c>
      <c r="J119" s="3">
        <f t="shared" si="422"/>
        <v>0</v>
      </c>
      <c r="K119" s="3">
        <f t="shared" si="422"/>
        <v>0</v>
      </c>
      <c r="L119" s="3">
        <f t="shared" si="422"/>
        <v>0</v>
      </c>
      <c r="M119" s="3">
        <f t="shared" si="422"/>
        <v>0</v>
      </c>
      <c r="N119" s="3">
        <f t="shared" si="422"/>
        <v>0</v>
      </c>
      <c r="O119" s="3">
        <f t="shared" si="422"/>
        <v>0</v>
      </c>
      <c r="P119" s="397">
        <f t="shared" si="343"/>
        <v>0</v>
      </c>
      <c r="Q119" s="3">
        <f t="shared" ref="Q119:AB119" si="423">SUM(P120:Q126)</f>
        <v>0</v>
      </c>
      <c r="R119" s="3">
        <f t="shared" si="423"/>
        <v>0</v>
      </c>
      <c r="S119" s="3">
        <f t="shared" si="423"/>
        <v>0</v>
      </c>
      <c r="T119" s="3">
        <f t="shared" si="423"/>
        <v>0</v>
      </c>
      <c r="U119" s="3">
        <f t="shared" si="423"/>
        <v>0</v>
      </c>
      <c r="V119" s="3">
        <f t="shared" si="423"/>
        <v>0</v>
      </c>
      <c r="W119" s="3">
        <f t="shared" si="423"/>
        <v>0</v>
      </c>
      <c r="X119" s="3">
        <f t="shared" si="423"/>
        <v>0</v>
      </c>
      <c r="Y119" s="3">
        <f t="shared" si="423"/>
        <v>0</v>
      </c>
      <c r="Z119" s="3">
        <f t="shared" si="423"/>
        <v>0</v>
      </c>
      <c r="AA119" s="3">
        <f t="shared" si="423"/>
        <v>0</v>
      </c>
      <c r="AB119" s="3">
        <f t="shared" si="423"/>
        <v>0</v>
      </c>
      <c r="AC119" s="397">
        <f t="shared" si="345"/>
        <v>0</v>
      </c>
      <c r="AD119" s="3">
        <f t="shared" ref="AD119:AO119" si="424">SUM(AC120:AD126)</f>
        <v>0</v>
      </c>
      <c r="AE119" s="3">
        <f t="shared" si="424"/>
        <v>0</v>
      </c>
      <c r="AF119" s="3">
        <f t="shared" si="424"/>
        <v>0</v>
      </c>
      <c r="AG119" s="3">
        <f t="shared" si="424"/>
        <v>0</v>
      </c>
      <c r="AH119" s="3">
        <f t="shared" si="424"/>
        <v>0</v>
      </c>
      <c r="AI119" s="3">
        <f t="shared" si="424"/>
        <v>0</v>
      </c>
      <c r="AJ119" s="3">
        <f t="shared" si="424"/>
        <v>0</v>
      </c>
      <c r="AK119" s="3">
        <f t="shared" si="424"/>
        <v>0</v>
      </c>
      <c r="AL119" s="3">
        <f t="shared" si="424"/>
        <v>0</v>
      </c>
      <c r="AM119" s="3">
        <f t="shared" si="424"/>
        <v>0</v>
      </c>
      <c r="AN119" s="3">
        <f t="shared" si="424"/>
        <v>0</v>
      </c>
      <c r="AO119" s="3">
        <f t="shared" si="424"/>
        <v>0</v>
      </c>
      <c r="AP119" s="397">
        <f t="shared" si="347"/>
        <v>0</v>
      </c>
      <c r="AQ119" s="3">
        <f t="shared" ref="AQ119:BB119" si="425">SUM(AP120:AQ126)</f>
        <v>0</v>
      </c>
      <c r="AR119" s="3">
        <f t="shared" si="425"/>
        <v>0</v>
      </c>
      <c r="AS119" s="3">
        <f t="shared" si="425"/>
        <v>0</v>
      </c>
      <c r="AT119" s="3">
        <f t="shared" si="425"/>
        <v>0</v>
      </c>
      <c r="AU119" s="3">
        <f t="shared" si="425"/>
        <v>0</v>
      </c>
      <c r="AV119" s="3">
        <f t="shared" si="425"/>
        <v>0</v>
      </c>
      <c r="AW119" s="3">
        <f t="shared" si="425"/>
        <v>0</v>
      </c>
      <c r="AX119" s="3">
        <f t="shared" si="425"/>
        <v>0</v>
      </c>
      <c r="AY119" s="3">
        <f t="shared" si="425"/>
        <v>0</v>
      </c>
      <c r="AZ119" s="3">
        <f t="shared" si="425"/>
        <v>0</v>
      </c>
      <c r="BA119" s="3">
        <f t="shared" si="425"/>
        <v>0</v>
      </c>
      <c r="BB119" s="3">
        <f t="shared" si="425"/>
        <v>0</v>
      </c>
      <c r="BC119" s="397">
        <f t="shared" si="349"/>
        <v>0</v>
      </c>
      <c r="BD119" s="3">
        <f t="shared" ref="BD119:BO119" si="426">SUM(BC120:BD126)</f>
        <v>0</v>
      </c>
      <c r="BE119" s="3">
        <f t="shared" si="426"/>
        <v>0</v>
      </c>
      <c r="BF119" s="3">
        <f t="shared" si="426"/>
        <v>0</v>
      </c>
      <c r="BG119" s="3">
        <f t="shared" si="426"/>
        <v>0</v>
      </c>
      <c r="BH119" s="3">
        <f t="shared" si="426"/>
        <v>0</v>
      </c>
      <c r="BI119" s="3">
        <f t="shared" si="426"/>
        <v>0</v>
      </c>
      <c r="BJ119" s="3">
        <f t="shared" si="426"/>
        <v>0</v>
      </c>
      <c r="BK119" s="3">
        <f t="shared" si="426"/>
        <v>0</v>
      </c>
      <c r="BL119" s="3">
        <f t="shared" si="426"/>
        <v>0</v>
      </c>
      <c r="BM119" s="3">
        <f t="shared" si="426"/>
        <v>0</v>
      </c>
      <c r="BN119" s="3">
        <f t="shared" si="426"/>
        <v>0</v>
      </c>
      <c r="BO119" s="3">
        <f t="shared" si="426"/>
        <v>0</v>
      </c>
      <c r="BP119" s="397">
        <f t="shared" si="351"/>
        <v>0</v>
      </c>
      <c r="CF119" s="296" t="s">
        <v>1038</v>
      </c>
      <c r="CG119" s="12" t="s">
        <v>965</v>
      </c>
    </row>
    <row r="120" spans="1:85" s="5" customFormat="1" outlineLevel="1">
      <c r="A120" s="297" t="s">
        <v>530</v>
      </c>
      <c r="B120" s="12" t="s">
        <v>502</v>
      </c>
      <c r="P120" s="383">
        <f t="shared" si="343"/>
        <v>0</v>
      </c>
      <c r="AC120" s="383">
        <f t="shared" si="345"/>
        <v>0</v>
      </c>
      <c r="AP120" s="383">
        <f t="shared" si="347"/>
        <v>0</v>
      </c>
      <c r="BC120" s="383">
        <f t="shared" si="349"/>
        <v>0</v>
      </c>
      <c r="BP120" s="383">
        <f t="shared" si="351"/>
        <v>0</v>
      </c>
      <c r="CF120" s="297" t="s">
        <v>989</v>
      </c>
      <c r="CG120" s="12" t="s">
        <v>965</v>
      </c>
    </row>
    <row r="121" spans="1:85" s="5" customFormat="1" outlineLevel="1">
      <c r="A121" s="297" t="s">
        <v>531</v>
      </c>
      <c r="B121" s="12" t="s">
        <v>502</v>
      </c>
      <c r="P121" s="383"/>
      <c r="AC121" s="383"/>
      <c r="AP121" s="383"/>
      <c r="BC121" s="383"/>
      <c r="BP121" s="383"/>
      <c r="CF121" s="297" t="s">
        <v>990</v>
      </c>
      <c r="CG121" s="12" t="s">
        <v>965</v>
      </c>
    </row>
    <row r="122" spans="1:85" s="5" customFormat="1" outlineLevel="1">
      <c r="A122" s="297" t="s">
        <v>532</v>
      </c>
      <c r="B122" s="12" t="s">
        <v>502</v>
      </c>
      <c r="P122" s="383"/>
      <c r="AC122" s="383"/>
      <c r="AP122" s="383"/>
      <c r="BC122" s="383"/>
      <c r="BP122" s="383"/>
      <c r="CF122" s="297" t="s">
        <v>992</v>
      </c>
      <c r="CG122" s="12" t="s">
        <v>965</v>
      </c>
    </row>
    <row r="123" spans="1:85" s="5" customFormat="1" outlineLevel="1">
      <c r="A123" s="297" t="s">
        <v>533</v>
      </c>
      <c r="B123" s="12" t="s">
        <v>502</v>
      </c>
      <c r="P123" s="383"/>
      <c r="AC123" s="383"/>
      <c r="AP123" s="383"/>
      <c r="BC123" s="383"/>
      <c r="BP123" s="383"/>
      <c r="CF123" s="297" t="s">
        <v>991</v>
      </c>
      <c r="CG123" s="12" t="s">
        <v>965</v>
      </c>
    </row>
    <row r="124" spans="1:85" s="5" customFormat="1" outlineLevel="1">
      <c r="A124" s="297" t="s">
        <v>534</v>
      </c>
      <c r="B124" s="12" t="s">
        <v>502</v>
      </c>
      <c r="P124" s="383">
        <f t="shared" ref="P124:P132" si="427">SUM(D124:O124)</f>
        <v>0</v>
      </c>
      <c r="AC124" s="383">
        <f t="shared" ref="AC124:AC132" si="428">SUM(Q124:AB124)</f>
        <v>0</v>
      </c>
      <c r="AP124" s="383">
        <f t="shared" ref="AP124:AP132" si="429">SUM(AD124:AO124)</f>
        <v>0</v>
      </c>
      <c r="BC124" s="383">
        <f t="shared" ref="BC124:BC132" si="430">SUM(AQ124:BB124)</f>
        <v>0</v>
      </c>
      <c r="BP124" s="383">
        <f t="shared" ref="BP124:BP132" si="431">SUM(BD124:BO124)</f>
        <v>0</v>
      </c>
      <c r="CF124" s="297" t="s">
        <v>997</v>
      </c>
      <c r="CG124" s="12" t="s">
        <v>965</v>
      </c>
    </row>
    <row r="125" spans="1:85" s="5" customFormat="1" outlineLevel="1">
      <c r="A125" s="297" t="s">
        <v>535</v>
      </c>
      <c r="B125" s="12" t="s">
        <v>502</v>
      </c>
      <c r="P125" s="383">
        <f t="shared" si="427"/>
        <v>0</v>
      </c>
      <c r="AC125" s="383">
        <f t="shared" si="428"/>
        <v>0</v>
      </c>
      <c r="AP125" s="383">
        <f t="shared" si="429"/>
        <v>0</v>
      </c>
      <c r="BC125" s="383">
        <f t="shared" si="430"/>
        <v>0</v>
      </c>
      <c r="BP125" s="383">
        <f t="shared" si="431"/>
        <v>0</v>
      </c>
      <c r="CF125" s="297" t="s">
        <v>998</v>
      </c>
      <c r="CG125" s="12" t="s">
        <v>965</v>
      </c>
    </row>
    <row r="126" spans="1:85" s="5" customFormat="1" outlineLevel="1">
      <c r="A126" s="297" t="s">
        <v>536</v>
      </c>
      <c r="B126" s="12" t="s">
        <v>502</v>
      </c>
      <c r="P126" s="383">
        <f t="shared" si="427"/>
        <v>0</v>
      </c>
      <c r="AC126" s="383">
        <f t="shared" si="428"/>
        <v>0</v>
      </c>
      <c r="AP126" s="383">
        <f t="shared" si="429"/>
        <v>0</v>
      </c>
      <c r="BC126" s="383">
        <f t="shared" si="430"/>
        <v>0</v>
      </c>
      <c r="BP126" s="383">
        <f t="shared" si="431"/>
        <v>0</v>
      </c>
      <c r="CF126" s="297" t="s">
        <v>996</v>
      </c>
      <c r="CG126" s="12" t="s">
        <v>965</v>
      </c>
    </row>
    <row r="127" spans="1:85" s="3" customFormat="1">
      <c r="A127" s="296" t="s">
        <v>537</v>
      </c>
      <c r="B127" s="12" t="s">
        <v>502</v>
      </c>
      <c r="C127" s="5"/>
      <c r="P127" s="397">
        <f t="shared" si="427"/>
        <v>0</v>
      </c>
      <c r="AC127" s="397">
        <f t="shared" si="428"/>
        <v>0</v>
      </c>
      <c r="AP127" s="397">
        <f t="shared" si="429"/>
        <v>0</v>
      </c>
      <c r="BC127" s="397">
        <f t="shared" si="430"/>
        <v>0</v>
      </c>
      <c r="BP127" s="397">
        <f t="shared" si="431"/>
        <v>0</v>
      </c>
      <c r="CF127" s="296" t="s">
        <v>1040</v>
      </c>
      <c r="CG127" s="12" t="s">
        <v>965</v>
      </c>
    </row>
    <row r="128" spans="1:85" s="3" customFormat="1">
      <c r="A128" s="296" t="s">
        <v>538</v>
      </c>
      <c r="B128" s="12" t="s">
        <v>502</v>
      </c>
      <c r="C128" s="5"/>
      <c r="P128" s="397">
        <f t="shared" si="427"/>
        <v>0</v>
      </c>
      <c r="AC128" s="397">
        <f t="shared" si="428"/>
        <v>0</v>
      </c>
      <c r="AP128" s="397">
        <f t="shared" si="429"/>
        <v>0</v>
      </c>
      <c r="BC128" s="397">
        <f t="shared" si="430"/>
        <v>0</v>
      </c>
      <c r="BP128" s="397">
        <f t="shared" si="431"/>
        <v>0</v>
      </c>
      <c r="CF128" s="296" t="s">
        <v>1039</v>
      </c>
      <c r="CG128" s="12" t="s">
        <v>965</v>
      </c>
    </row>
    <row r="129" spans="1:85" s="63" customFormat="1">
      <c r="A129" s="298" t="s">
        <v>475</v>
      </c>
      <c r="B129" s="12" t="s">
        <v>502</v>
      </c>
      <c r="C129" s="299"/>
      <c r="D129" s="63">
        <f t="shared" ref="D129:O129" si="432">D118+D119+D127+D128</f>
        <v>0</v>
      </c>
      <c r="E129" s="63">
        <f t="shared" si="432"/>
        <v>0</v>
      </c>
      <c r="F129" s="63">
        <f t="shared" si="432"/>
        <v>0</v>
      </c>
      <c r="G129" s="63">
        <f t="shared" si="432"/>
        <v>0</v>
      </c>
      <c r="H129" s="63">
        <f t="shared" si="432"/>
        <v>0</v>
      </c>
      <c r="I129" s="63">
        <f t="shared" si="432"/>
        <v>0</v>
      </c>
      <c r="J129" s="63">
        <f t="shared" si="432"/>
        <v>0</v>
      </c>
      <c r="K129" s="63">
        <f t="shared" si="432"/>
        <v>0</v>
      </c>
      <c r="L129" s="63">
        <f t="shared" si="432"/>
        <v>0</v>
      </c>
      <c r="M129" s="63">
        <f t="shared" si="432"/>
        <v>0</v>
      </c>
      <c r="N129" s="63">
        <f t="shared" si="432"/>
        <v>0</v>
      </c>
      <c r="O129" s="63">
        <f t="shared" si="432"/>
        <v>0</v>
      </c>
      <c r="P129" s="419">
        <f t="shared" si="427"/>
        <v>0</v>
      </c>
      <c r="Q129" s="63">
        <f t="shared" ref="Q129:AB129" si="433">Q118+Q119+Q127+Q128</f>
        <v>0</v>
      </c>
      <c r="R129" s="63">
        <f t="shared" si="433"/>
        <v>0</v>
      </c>
      <c r="S129" s="63">
        <f t="shared" si="433"/>
        <v>0</v>
      </c>
      <c r="T129" s="63">
        <f t="shared" si="433"/>
        <v>0</v>
      </c>
      <c r="U129" s="63">
        <f t="shared" si="433"/>
        <v>0</v>
      </c>
      <c r="V129" s="63">
        <f t="shared" si="433"/>
        <v>0</v>
      </c>
      <c r="W129" s="63">
        <f t="shared" si="433"/>
        <v>0</v>
      </c>
      <c r="X129" s="63">
        <f t="shared" si="433"/>
        <v>0</v>
      </c>
      <c r="Y129" s="63">
        <f t="shared" si="433"/>
        <v>0</v>
      </c>
      <c r="Z129" s="63">
        <f t="shared" si="433"/>
        <v>0</v>
      </c>
      <c r="AA129" s="63">
        <f t="shared" si="433"/>
        <v>0</v>
      </c>
      <c r="AB129" s="63">
        <f t="shared" si="433"/>
        <v>0</v>
      </c>
      <c r="AC129" s="419">
        <f t="shared" si="428"/>
        <v>0</v>
      </c>
      <c r="AD129" s="63">
        <f t="shared" ref="AD129:AO129" si="434">AD118+AD119+AD127+AD128</f>
        <v>0</v>
      </c>
      <c r="AE129" s="63">
        <f t="shared" si="434"/>
        <v>0</v>
      </c>
      <c r="AF129" s="63">
        <f t="shared" si="434"/>
        <v>0</v>
      </c>
      <c r="AG129" s="63">
        <f t="shared" si="434"/>
        <v>0</v>
      </c>
      <c r="AH129" s="63">
        <f t="shared" si="434"/>
        <v>0</v>
      </c>
      <c r="AI129" s="63">
        <f t="shared" si="434"/>
        <v>0</v>
      </c>
      <c r="AJ129" s="63">
        <f t="shared" si="434"/>
        <v>0</v>
      </c>
      <c r="AK129" s="63">
        <f t="shared" si="434"/>
        <v>0</v>
      </c>
      <c r="AL129" s="63">
        <f t="shared" si="434"/>
        <v>0</v>
      </c>
      <c r="AM129" s="63">
        <f t="shared" si="434"/>
        <v>0</v>
      </c>
      <c r="AN129" s="63">
        <f t="shared" si="434"/>
        <v>0</v>
      </c>
      <c r="AO129" s="63">
        <f t="shared" si="434"/>
        <v>0</v>
      </c>
      <c r="AP129" s="419">
        <f t="shared" si="429"/>
        <v>0</v>
      </c>
      <c r="AQ129" s="63">
        <f t="shared" ref="AQ129:BB129" si="435">AQ118+AQ119+AQ127+AQ128</f>
        <v>0</v>
      </c>
      <c r="AR129" s="63">
        <f t="shared" si="435"/>
        <v>0</v>
      </c>
      <c r="AS129" s="63">
        <f t="shared" si="435"/>
        <v>0</v>
      </c>
      <c r="AT129" s="63">
        <f t="shared" si="435"/>
        <v>0</v>
      </c>
      <c r="AU129" s="63">
        <f t="shared" si="435"/>
        <v>0</v>
      </c>
      <c r="AV129" s="63">
        <f t="shared" si="435"/>
        <v>0</v>
      </c>
      <c r="AW129" s="63">
        <f t="shared" si="435"/>
        <v>0</v>
      </c>
      <c r="AX129" s="63">
        <f t="shared" si="435"/>
        <v>0</v>
      </c>
      <c r="AY129" s="63">
        <f t="shared" si="435"/>
        <v>0</v>
      </c>
      <c r="AZ129" s="63">
        <f t="shared" si="435"/>
        <v>0</v>
      </c>
      <c r="BA129" s="63">
        <f t="shared" si="435"/>
        <v>0</v>
      </c>
      <c r="BB129" s="63">
        <f t="shared" si="435"/>
        <v>0</v>
      </c>
      <c r="BC129" s="419">
        <f t="shared" si="430"/>
        <v>0</v>
      </c>
      <c r="BD129" s="63">
        <f t="shared" ref="BD129:BO129" si="436">BD118+BD119+BD127+BD128</f>
        <v>0</v>
      </c>
      <c r="BE129" s="63">
        <f t="shared" si="436"/>
        <v>0</v>
      </c>
      <c r="BF129" s="63">
        <f t="shared" si="436"/>
        <v>0</v>
      </c>
      <c r="BG129" s="63">
        <f t="shared" si="436"/>
        <v>0</v>
      </c>
      <c r="BH129" s="63">
        <f t="shared" si="436"/>
        <v>0</v>
      </c>
      <c r="BI129" s="63">
        <f t="shared" si="436"/>
        <v>0</v>
      </c>
      <c r="BJ129" s="63">
        <f t="shared" si="436"/>
        <v>0</v>
      </c>
      <c r="BK129" s="63">
        <f t="shared" si="436"/>
        <v>0</v>
      </c>
      <c r="BL129" s="63">
        <f t="shared" si="436"/>
        <v>0</v>
      </c>
      <c r="BM129" s="63">
        <f t="shared" si="436"/>
        <v>0</v>
      </c>
      <c r="BN129" s="63">
        <f t="shared" si="436"/>
        <v>0</v>
      </c>
      <c r="BO129" s="63">
        <f t="shared" si="436"/>
        <v>0</v>
      </c>
      <c r="BP129" s="419">
        <f t="shared" si="431"/>
        <v>0</v>
      </c>
      <c r="CF129" s="298" t="s">
        <v>859</v>
      </c>
      <c r="CG129" s="12" t="s">
        <v>965</v>
      </c>
    </row>
    <row r="130" spans="1:85" s="63" customFormat="1" ht="15.6">
      <c r="A130" s="298" t="s">
        <v>539</v>
      </c>
      <c r="B130" s="12" t="s">
        <v>502</v>
      </c>
      <c r="C130" s="299"/>
      <c r="D130" s="63">
        <f t="shared" ref="D130:O130" si="437">D117+D129</f>
        <v>0</v>
      </c>
      <c r="E130" s="63">
        <f t="shared" si="437"/>
        <v>0</v>
      </c>
      <c r="F130" s="63">
        <f t="shared" si="437"/>
        <v>0</v>
      </c>
      <c r="G130" s="63">
        <f t="shared" si="437"/>
        <v>0</v>
      </c>
      <c r="H130" s="63">
        <f t="shared" si="437"/>
        <v>0</v>
      </c>
      <c r="I130" s="63">
        <f t="shared" si="437"/>
        <v>0</v>
      </c>
      <c r="J130" s="63">
        <f t="shared" si="437"/>
        <v>0</v>
      </c>
      <c r="K130" s="63">
        <f t="shared" si="437"/>
        <v>0</v>
      </c>
      <c r="L130" s="63">
        <f t="shared" si="437"/>
        <v>-1.2496606201115501</v>
      </c>
      <c r="M130" s="63">
        <f t="shared" si="437"/>
        <v>-2.3960502187123875</v>
      </c>
      <c r="N130" s="63">
        <f t="shared" si="437"/>
        <v>-3.460156536472855</v>
      </c>
      <c r="O130" s="63">
        <f t="shared" si="437"/>
        <v>-4.6299685576491054</v>
      </c>
      <c r="P130" s="419">
        <f t="shared" si="427"/>
        <v>-11.735835932945898</v>
      </c>
      <c r="Q130" s="63">
        <f t="shared" ref="Q130:AB130" si="438">Q117+Q129</f>
        <v>-14.239196289357649</v>
      </c>
      <c r="R130" s="63">
        <f t="shared" si="438"/>
        <v>-20.921274574635184</v>
      </c>
      <c r="S130" s="63">
        <f t="shared" si="438"/>
        <v>-30.952895069761091</v>
      </c>
      <c r="T130" s="63">
        <f t="shared" si="438"/>
        <v>-38.736094449953001</v>
      </c>
      <c r="U130" s="63">
        <f t="shared" si="438"/>
        <v>-48.759290380549281</v>
      </c>
      <c r="V130" s="63">
        <f t="shared" si="438"/>
        <v>-56.450076979868676</v>
      </c>
      <c r="W130" s="63">
        <f t="shared" si="438"/>
        <v>-67.409048500633773</v>
      </c>
      <c r="X130" s="63">
        <f t="shared" si="438"/>
        <v>-77.000061782529968</v>
      </c>
      <c r="Y130" s="63">
        <f t="shared" si="438"/>
        <v>-84.360601056879688</v>
      </c>
      <c r="Z130" s="63">
        <f t="shared" si="438"/>
        <v>-96.614193125325613</v>
      </c>
      <c r="AA130" s="63">
        <f t="shared" si="438"/>
        <v>-103.63427013529528</v>
      </c>
      <c r="AB130" s="63">
        <f t="shared" si="438"/>
        <v>-116.04840818685669</v>
      </c>
      <c r="AC130" s="419">
        <f t="shared" si="428"/>
        <v>-755.12541053164591</v>
      </c>
      <c r="AD130" s="63">
        <f t="shared" ref="AD130:AO130" si="439">AD117+AD129</f>
        <v>-132.82459824238069</v>
      </c>
      <c r="AE130" s="63">
        <f t="shared" si="439"/>
        <v>-127.23054181925467</v>
      </c>
      <c r="AF130" s="63">
        <f t="shared" si="439"/>
        <v>-148.5706408146865</v>
      </c>
      <c r="AG130" s="63">
        <f t="shared" si="439"/>
        <v>-153.87041469207418</v>
      </c>
      <c r="AH130" s="63">
        <f t="shared" si="439"/>
        <v>-168.29925742060362</v>
      </c>
      <c r="AI130" s="63">
        <f t="shared" si="439"/>
        <v>-173.35214639539606</v>
      </c>
      <c r="AJ130" s="63">
        <f t="shared" si="439"/>
        <v>-188.61633246656288</v>
      </c>
      <c r="AK130" s="63">
        <f t="shared" si="439"/>
        <v>-198.91989649767683</v>
      </c>
      <c r="AL130" s="63">
        <f t="shared" si="439"/>
        <v>-203.35358823122516</v>
      </c>
      <c r="AM130" s="63">
        <f t="shared" si="439"/>
        <v>-219.67018965279118</v>
      </c>
      <c r="AN130" s="63">
        <f t="shared" si="439"/>
        <v>-223.54178773178387</v>
      </c>
      <c r="AO130" s="63">
        <f t="shared" si="439"/>
        <v>-239.4648359173901</v>
      </c>
      <c r="AP130" s="419">
        <f t="shared" si="429"/>
        <v>-2177.7142298818258</v>
      </c>
      <c r="AQ130" s="63">
        <f t="shared" ref="AQ130:BB130" si="440">AQ117+AQ129</f>
        <v>-258.40068412171178</v>
      </c>
      <c r="AR130" s="63">
        <f t="shared" si="440"/>
        <v>-231.79460693634255</v>
      </c>
      <c r="AS130" s="63">
        <f t="shared" si="440"/>
        <v>-258.6786507378759</v>
      </c>
      <c r="AT130" s="63">
        <f t="shared" si="440"/>
        <v>-256.22631110394087</v>
      </c>
      <c r="AU130" s="63">
        <f t="shared" si="440"/>
        <v>-269.06335887350787</v>
      </c>
      <c r="AV130" s="63">
        <f t="shared" si="440"/>
        <v>-266.60133779303243</v>
      </c>
      <c r="AW130" s="63">
        <f t="shared" si="440"/>
        <v>-279.91609828481353</v>
      </c>
      <c r="AX130" s="63">
        <f t="shared" si="440"/>
        <v>-285.44461028304414</v>
      </c>
      <c r="AY130" s="63">
        <f t="shared" si="440"/>
        <v>-282.73304987710583</v>
      </c>
      <c r="AZ130" s="63">
        <f t="shared" si="440"/>
        <v>-296.56552977545033</v>
      </c>
      <c r="BA130" s="63">
        <f t="shared" si="440"/>
        <v>-293.54961245694597</v>
      </c>
      <c r="BB130" s="63">
        <f t="shared" si="440"/>
        <v>-306.52174276947119</v>
      </c>
      <c r="BC130" s="419">
        <f t="shared" si="430"/>
        <v>-3285.4955930132419</v>
      </c>
      <c r="BD130" s="63">
        <f t="shared" ref="BD130:BO130" si="441">BD117+BD129</f>
        <v>-324.66331645012718</v>
      </c>
      <c r="BE130" s="63">
        <f t="shared" si="441"/>
        <v>-280.56695360672734</v>
      </c>
      <c r="BF130" s="63">
        <f t="shared" si="441"/>
        <v>-306.97638396479238</v>
      </c>
      <c r="BG130" s="63">
        <f t="shared" si="441"/>
        <v>-298.58707778240887</v>
      </c>
      <c r="BH130" s="63">
        <f t="shared" si="441"/>
        <v>-307.81173588719321</v>
      </c>
      <c r="BI130" s="63">
        <f t="shared" si="441"/>
        <v>-299.77905558869071</v>
      </c>
      <c r="BJ130" s="63">
        <f t="shared" si="441"/>
        <v>-309.23887495190007</v>
      </c>
      <c r="BK130" s="63">
        <f t="shared" si="441"/>
        <v>-310.09498088918622</v>
      </c>
      <c r="BL130" s="63">
        <f t="shared" si="441"/>
        <v>-302.33852441233472</v>
      </c>
      <c r="BM130" s="63">
        <f t="shared" si="441"/>
        <v>-311.94193625718538</v>
      </c>
      <c r="BN130" s="63">
        <f t="shared" si="441"/>
        <v>-304.21928088876945</v>
      </c>
      <c r="BO130" s="63">
        <f t="shared" si="441"/>
        <v>-312.57512830843933</v>
      </c>
      <c r="BP130" s="419">
        <f t="shared" si="431"/>
        <v>-3668.7932489877549</v>
      </c>
      <c r="CF130" s="301" t="s">
        <v>858</v>
      </c>
      <c r="CG130" s="380" t="s">
        <v>965</v>
      </c>
    </row>
    <row r="131" spans="1:85" s="3" customFormat="1">
      <c r="A131" s="296" t="s">
        <v>540</v>
      </c>
      <c r="B131" s="12" t="s">
        <v>502</v>
      </c>
      <c r="C131" s="40"/>
      <c r="D131" s="3">
        <f>IF(D130&lt;0,0,D130*$C$131)</f>
        <v>0</v>
      </c>
      <c r="E131" s="3">
        <f>IF(SUM(D130:E130)&lt;0,0,SUM(D130:E130)*$C$131)-D131</f>
        <v>0</v>
      </c>
      <c r="F131" s="3">
        <f>IF(SUM(D130:F130)&lt;0,0,SUM(D130:F130)*$C$131)-SUM(D131:E131)</f>
        <v>0</v>
      </c>
      <c r="G131" s="3">
        <f>IF(SUM(D130:G130)&lt;0,0,SUM(D130:G130)*$C$131)-SUM(D131:F131)</f>
        <v>0</v>
      </c>
      <c r="H131" s="3">
        <f>IF(SUM(D130:H130)&lt;0,0,SUM(D130:H130)*$C$131)-SUM(D131:G131)</f>
        <v>0</v>
      </c>
      <c r="I131" s="3">
        <f>IF(SUM(D130:I130)&lt;0,0,SUM(D130:I130)*$C$131)-SUM(D131:H131)</f>
        <v>0</v>
      </c>
      <c r="J131" s="3">
        <f>IF(SUM(D130:J130)&lt;0,0,SUM(D130:J130)*$C$131)-SUM(D131:I131)</f>
        <v>0</v>
      </c>
      <c r="K131" s="3">
        <f>IF(SUM(D130:K130)&lt;0,0,SUM(D130:K130)*$C$131)-SUM(D131:J131)</f>
        <v>0</v>
      </c>
      <c r="L131" s="3">
        <f>IF(SUM(D130:L130)&lt;0,0,SUM(D130:L130)*$C$131)-SUM(D131:K131)</f>
        <v>0</v>
      </c>
      <c r="M131" s="3">
        <f>IF(SUM(D130:M130)&lt;0,0,SUM(D130:M130)*$C$131)-SUM(D131:L131)</f>
        <v>0</v>
      </c>
      <c r="N131" s="3">
        <f>IF(SUM(D130:N130)&lt;0,0,SUM(D130:N130)*$C$131)-SUM(D131:M131)</f>
        <v>0</v>
      </c>
      <c r="O131" s="3">
        <f>IF(SUM(D130:O130)&lt;0,0,SUM(D130:O130)*$C$131)-SUM(D131:N131)</f>
        <v>0</v>
      </c>
      <c r="P131" s="397">
        <f t="shared" si="427"/>
        <v>0</v>
      </c>
      <c r="Q131" s="3">
        <f>IF(Q130&lt;0,0,Q130*$C$131)</f>
        <v>0</v>
      </c>
      <c r="R131" s="3">
        <f>IF(SUM(Q130:R130)&lt;0,0,SUM(Q130:R130)*$C$131)-Q131</f>
        <v>0</v>
      </c>
      <c r="S131" s="3">
        <f>IF(SUM(Q130:S130)&lt;0,0,SUM(Q130:S130)*$C$131)-SUM(Q131:R131)</f>
        <v>0</v>
      </c>
      <c r="T131" s="3">
        <f>IF(SUM(Q130:T130)&lt;0,0,SUM(Q130:T130)*$C$131)-SUM(Q131:S131)</f>
        <v>0</v>
      </c>
      <c r="U131" s="3">
        <f>IF(SUM(Q130:U130)&lt;0,0,SUM(Q130:U130)*$C$131)-SUM(Q131:T131)</f>
        <v>0</v>
      </c>
      <c r="V131" s="3">
        <f>IF(SUM(Q130:V130)&lt;0,0,SUM(Q130:V130)*$C$131)-SUM(Q131:U131)</f>
        <v>0</v>
      </c>
      <c r="W131" s="3">
        <f>IF(SUM(Q130:W130)&lt;0,0,SUM(Q130:W130)*$C$131)-SUM(Q131:V131)</f>
        <v>0</v>
      </c>
      <c r="X131" s="3">
        <f>IF(SUM(Q130:X130)&lt;0,0,SUM(Q130:X130)*$C$131)-SUM(Q131:W131)</f>
        <v>0</v>
      </c>
      <c r="Y131" s="3">
        <f>IF(SUM(Q130:Y130)&lt;0,0,SUM(Q130:Y130)*$C$131)-SUM(Q131:X131)</f>
        <v>0</v>
      </c>
      <c r="Z131" s="3">
        <f>IF(SUM(Q130:Z130)&lt;0,0,SUM(Q130:Z130)*$C$131)-SUM(Q131:Y131)</f>
        <v>0</v>
      </c>
      <c r="AA131" s="3">
        <f>IF(SUM(Q130:AA130)&lt;0,0,SUM(Q130:AA130)*$C$131)-SUM(Q131:Z131)</f>
        <v>0</v>
      </c>
      <c r="AB131" s="3">
        <f>IF(SUM(Q130:AB130)&lt;0,0,SUM(Q130:AB130)*$C$131)-SUM(Q131:AA131)</f>
        <v>0</v>
      </c>
      <c r="AC131" s="397">
        <f t="shared" si="428"/>
        <v>0</v>
      </c>
      <c r="AD131" s="3">
        <f>IF(AD130&lt;0,0,AD130*$C$131)</f>
        <v>0</v>
      </c>
      <c r="AE131" s="3">
        <f>IF(SUM(AD130:AE130)&lt;0,0,SUM(AD130:AE130)*$C$131)-AD131</f>
        <v>0</v>
      </c>
      <c r="AF131" s="3">
        <f>IF(SUM(AD130:AF130)&lt;0,0,SUM(AD130:AF130)*$C$131)-SUM(AD131:AE131)</f>
        <v>0</v>
      </c>
      <c r="AG131" s="3">
        <f>IF(SUM(AD130:AG130)&lt;0,0,SUM(AD130:AG130)*$C$131)-SUM(AD131:AF131)</f>
        <v>0</v>
      </c>
      <c r="AH131" s="3">
        <f>IF(SUM(AD130:AH130)&lt;0,0,SUM(AD130:AH130)*$C$131)-SUM(AD131:AG131)</f>
        <v>0</v>
      </c>
      <c r="AI131" s="3">
        <f>IF(SUM(AD130:AI130)&lt;0,0,SUM(AD130:AI130)*$C$131)-SUM(AD131:AH131)</f>
        <v>0</v>
      </c>
      <c r="AJ131" s="3">
        <f>IF(SUM(AD130:AJ130)&lt;0,0,SUM(AD130:AJ130)*$C$131)-SUM(AD131:AI131)</f>
        <v>0</v>
      </c>
      <c r="AK131" s="3">
        <f>IF(SUM(AD130:AK130)&lt;0,0,SUM(AD130:AK130)*$C$131)-SUM(AD131:AJ131)</f>
        <v>0</v>
      </c>
      <c r="AL131" s="3">
        <f>IF(SUM(AD130:AL130)&lt;0,0,SUM(AD130:AL130)*$C$131)-SUM(AD131:AK131)</f>
        <v>0</v>
      </c>
      <c r="AM131" s="3">
        <f>IF(SUM(AD130:AM130)&lt;0,0,SUM(AD130:AM130)*$C$131)-SUM(AD131:AL131)</f>
        <v>0</v>
      </c>
      <c r="AN131" s="3">
        <f>IF(SUM(AD130:AN130)&lt;0,0,SUM(AD130:AN130)*$C$131)-SUM(AD131:AM131)</f>
        <v>0</v>
      </c>
      <c r="AO131" s="3">
        <f>IF(SUM(AD130:AO130)&lt;0,0,SUM(AD130:AO130)*$C$131)-SUM(AD131:AN131)</f>
        <v>0</v>
      </c>
      <c r="AP131" s="397">
        <f t="shared" si="429"/>
        <v>0</v>
      </c>
      <c r="AQ131" s="3">
        <f>IF(AQ130&lt;0,0,AQ130*$C$131)</f>
        <v>0</v>
      </c>
      <c r="AR131" s="3">
        <f>IF(SUM(AQ130:AR130)&lt;0,0,SUM(AQ130:AR130)*$C$131)-AQ131</f>
        <v>0</v>
      </c>
      <c r="AS131" s="3">
        <f>IF(SUM(AQ130:AS130)&lt;0,0,SUM(AQ130:AS130)*$C$131)-SUM(AQ131:AR131)</f>
        <v>0</v>
      </c>
      <c r="AT131" s="3">
        <f>IF(SUM(AQ130:AT130)&lt;0,0,SUM(AQ130:AT130)*$C$131)-SUM(AQ131:AS131)</f>
        <v>0</v>
      </c>
      <c r="AU131" s="3">
        <f>IF(SUM(AQ130:AU130)&lt;0,0,SUM(AQ130:AU130)*$C$131)-SUM(AQ131:AT131)</f>
        <v>0</v>
      </c>
      <c r="AV131" s="3">
        <f>IF(SUM(AQ130:AV130)&lt;0,0,SUM(AQ130:AV130)*$C$131)-SUM(AQ131:AU131)</f>
        <v>0</v>
      </c>
      <c r="AW131" s="3">
        <f>IF(SUM(AQ130:AW130)&lt;0,0,SUM(AQ130:AW130)*$C$131)-SUM(AQ131:AV131)</f>
        <v>0</v>
      </c>
      <c r="AX131" s="3">
        <f>IF(SUM(AQ130:AX130)&lt;0,0,SUM(AQ130:AX130)*$C$131)-SUM(AQ131:AW131)</f>
        <v>0</v>
      </c>
      <c r="AY131" s="3">
        <f>IF(SUM(AQ130:AY130)&lt;0,0,SUM(AQ130:AY130)*$C$131)-SUM(AQ131:AX131)</f>
        <v>0</v>
      </c>
      <c r="AZ131" s="3">
        <f>IF(SUM(AQ130:AZ130)&lt;0,0,SUM(AQ130:AZ130)*$C$131)-SUM(AQ131:AY131)</f>
        <v>0</v>
      </c>
      <c r="BA131" s="3">
        <f>IF(SUM(AQ130:BA130)&lt;0,0,SUM(AQ130:BA130)*$C$131)-SUM(AQ131:AZ131)</f>
        <v>0</v>
      </c>
      <c r="BB131" s="3">
        <f>IF(SUM(AQ130:BB130)&lt;0,0,SUM(AQ130:BB130)*$C$131)-SUM(AQ131:BA131)</f>
        <v>0</v>
      </c>
      <c r="BC131" s="397">
        <f t="shared" si="430"/>
        <v>0</v>
      </c>
      <c r="BD131" s="3">
        <f>IF(BD130&lt;0,0,BD130*$C$131)</f>
        <v>0</v>
      </c>
      <c r="BE131" s="3">
        <f>IF(SUM(BD130:BE130)&lt;0,0,SUM(BD130:BE130)*$C$131)-BD131</f>
        <v>0</v>
      </c>
      <c r="BF131" s="3">
        <f>IF(SUM(BD130:BF130)&lt;0,0,SUM(BD130:BF130)*$C$131)-SUM(BD131:BE131)</f>
        <v>0</v>
      </c>
      <c r="BG131" s="3">
        <f>IF(SUM(BD130:BG130)&lt;0,0,SUM(BD130:BG130)*$C$131)-SUM(BD131:BF131)</f>
        <v>0</v>
      </c>
      <c r="BH131" s="3">
        <f>IF(SUM(BD130:BH130)&lt;0,0,SUM(BD130:BH130)*$C$131)-SUM(BD131:BG131)</f>
        <v>0</v>
      </c>
      <c r="BI131" s="3">
        <f>IF(SUM(BD130:BI130)&lt;0,0,SUM(BD130:BI130)*$C$131)-SUM(BD131:BH131)</f>
        <v>0</v>
      </c>
      <c r="BJ131" s="3">
        <f>IF(SUM(BD130:BJ130)&lt;0,0,SUM(BD130:BJ130)*$C$131)-SUM(BD131:BI131)</f>
        <v>0</v>
      </c>
      <c r="BK131" s="3">
        <f>IF(SUM(BD130:BK130)&lt;0,0,SUM(BD130:BK130)*$C$131)-SUM(BD131:BJ131)</f>
        <v>0</v>
      </c>
      <c r="BL131" s="3">
        <f>IF(SUM(BD130:BL130)&lt;0,0,SUM(BD130:BL130)*$C$131)-SUM(BD131:BK131)</f>
        <v>0</v>
      </c>
      <c r="BM131" s="3">
        <f>IF(SUM(BD130:BM130)&lt;0,0,SUM(BD130:BM130)*$C$131)-SUM(BD131:BL131)</f>
        <v>0</v>
      </c>
      <c r="BN131" s="3">
        <f>IF(SUM(BD130:BN130)&lt;0,0,SUM(BD130:BN130)*$C$131)-SUM(BD131:BM131)</f>
        <v>0</v>
      </c>
      <c r="BO131" s="3">
        <f>IF(SUM(BD130:BO130)&lt;0,0,SUM(BD130:BO130)*$C$131)-SUM(BD131:BN131)</f>
        <v>0</v>
      </c>
      <c r="BP131" s="397">
        <f t="shared" si="431"/>
        <v>0</v>
      </c>
      <c r="CF131" s="296" t="s">
        <v>857</v>
      </c>
      <c r="CG131" s="12" t="s">
        <v>965</v>
      </c>
    </row>
    <row r="132" spans="1:85" s="301" customFormat="1" ht="15.6">
      <c r="A132" s="301" t="s">
        <v>676</v>
      </c>
      <c r="B132" s="380" t="s">
        <v>502</v>
      </c>
      <c r="C132" s="302"/>
      <c r="D132" s="301">
        <f t="shared" ref="D132:O132" si="442">D130+D131</f>
        <v>0</v>
      </c>
      <c r="E132" s="301">
        <f t="shared" si="442"/>
        <v>0</v>
      </c>
      <c r="F132" s="301">
        <f t="shared" si="442"/>
        <v>0</v>
      </c>
      <c r="G132" s="301">
        <f t="shared" si="442"/>
        <v>0</v>
      </c>
      <c r="H132" s="301">
        <f t="shared" si="442"/>
        <v>0</v>
      </c>
      <c r="I132" s="301">
        <f t="shared" si="442"/>
        <v>0</v>
      </c>
      <c r="J132" s="301">
        <f t="shared" si="442"/>
        <v>0</v>
      </c>
      <c r="K132" s="301">
        <f t="shared" si="442"/>
        <v>0</v>
      </c>
      <c r="L132" s="301">
        <f t="shared" si="442"/>
        <v>-1.2496606201115501</v>
      </c>
      <c r="M132" s="301">
        <f t="shared" si="442"/>
        <v>-2.3960502187123875</v>
      </c>
      <c r="N132" s="301">
        <f t="shared" si="442"/>
        <v>-3.460156536472855</v>
      </c>
      <c r="O132" s="301">
        <f t="shared" si="442"/>
        <v>-4.6299685576491054</v>
      </c>
      <c r="P132" s="389">
        <f t="shared" si="427"/>
        <v>-11.735835932945898</v>
      </c>
      <c r="Q132" s="301">
        <f t="shared" ref="Q132:AB132" si="443">Q130+Q131</f>
        <v>-14.239196289357649</v>
      </c>
      <c r="R132" s="301">
        <f t="shared" si="443"/>
        <v>-20.921274574635184</v>
      </c>
      <c r="S132" s="301">
        <f t="shared" si="443"/>
        <v>-30.952895069761091</v>
      </c>
      <c r="T132" s="301">
        <f t="shared" si="443"/>
        <v>-38.736094449953001</v>
      </c>
      <c r="U132" s="301">
        <f t="shared" si="443"/>
        <v>-48.759290380549281</v>
      </c>
      <c r="V132" s="301">
        <f t="shared" si="443"/>
        <v>-56.450076979868676</v>
      </c>
      <c r="W132" s="301">
        <f t="shared" si="443"/>
        <v>-67.409048500633773</v>
      </c>
      <c r="X132" s="301">
        <f t="shared" si="443"/>
        <v>-77.000061782529968</v>
      </c>
      <c r="Y132" s="301">
        <f t="shared" si="443"/>
        <v>-84.360601056879688</v>
      </c>
      <c r="Z132" s="301">
        <f t="shared" si="443"/>
        <v>-96.614193125325613</v>
      </c>
      <c r="AA132" s="301">
        <f t="shared" si="443"/>
        <v>-103.63427013529528</v>
      </c>
      <c r="AB132" s="301">
        <f t="shared" si="443"/>
        <v>-116.04840818685669</v>
      </c>
      <c r="AC132" s="389">
        <f t="shared" si="428"/>
        <v>-755.12541053164591</v>
      </c>
      <c r="AD132" s="301">
        <f t="shared" ref="AD132:AO132" si="444">AD130+AD131</f>
        <v>-132.82459824238069</v>
      </c>
      <c r="AE132" s="301">
        <f t="shared" si="444"/>
        <v>-127.23054181925467</v>
      </c>
      <c r="AF132" s="301">
        <f t="shared" si="444"/>
        <v>-148.5706408146865</v>
      </c>
      <c r="AG132" s="301">
        <f t="shared" si="444"/>
        <v>-153.87041469207418</v>
      </c>
      <c r="AH132" s="301">
        <f t="shared" si="444"/>
        <v>-168.29925742060362</v>
      </c>
      <c r="AI132" s="301">
        <f t="shared" si="444"/>
        <v>-173.35214639539606</v>
      </c>
      <c r="AJ132" s="301">
        <f t="shared" si="444"/>
        <v>-188.61633246656288</v>
      </c>
      <c r="AK132" s="301">
        <f t="shared" si="444"/>
        <v>-198.91989649767683</v>
      </c>
      <c r="AL132" s="301">
        <f t="shared" si="444"/>
        <v>-203.35358823122516</v>
      </c>
      <c r="AM132" s="301">
        <f t="shared" si="444"/>
        <v>-219.67018965279118</v>
      </c>
      <c r="AN132" s="301">
        <f t="shared" si="444"/>
        <v>-223.54178773178387</v>
      </c>
      <c r="AO132" s="301">
        <f t="shared" si="444"/>
        <v>-239.4648359173901</v>
      </c>
      <c r="AP132" s="389">
        <f t="shared" si="429"/>
        <v>-2177.7142298818258</v>
      </c>
      <c r="AQ132" s="301">
        <f t="shared" ref="AQ132:BB132" si="445">AQ130+AQ131</f>
        <v>-258.40068412171178</v>
      </c>
      <c r="AR132" s="301">
        <f t="shared" si="445"/>
        <v>-231.79460693634255</v>
      </c>
      <c r="AS132" s="301">
        <f t="shared" si="445"/>
        <v>-258.6786507378759</v>
      </c>
      <c r="AT132" s="301">
        <f t="shared" si="445"/>
        <v>-256.22631110394087</v>
      </c>
      <c r="AU132" s="301">
        <f t="shared" si="445"/>
        <v>-269.06335887350787</v>
      </c>
      <c r="AV132" s="301">
        <f t="shared" si="445"/>
        <v>-266.60133779303243</v>
      </c>
      <c r="AW132" s="301">
        <f t="shared" si="445"/>
        <v>-279.91609828481353</v>
      </c>
      <c r="AX132" s="301">
        <f t="shared" si="445"/>
        <v>-285.44461028304414</v>
      </c>
      <c r="AY132" s="301">
        <f t="shared" si="445"/>
        <v>-282.73304987710583</v>
      </c>
      <c r="AZ132" s="301">
        <f t="shared" si="445"/>
        <v>-296.56552977545033</v>
      </c>
      <c r="BA132" s="301">
        <f t="shared" si="445"/>
        <v>-293.54961245694597</v>
      </c>
      <c r="BB132" s="301">
        <f t="shared" si="445"/>
        <v>-306.52174276947119</v>
      </c>
      <c r="BC132" s="389">
        <f t="shared" si="430"/>
        <v>-3285.4955930132419</v>
      </c>
      <c r="BD132" s="301">
        <f t="shared" ref="BD132:BO132" si="446">BD130+BD131</f>
        <v>-324.66331645012718</v>
      </c>
      <c r="BE132" s="301">
        <f t="shared" si="446"/>
        <v>-280.56695360672734</v>
      </c>
      <c r="BF132" s="301">
        <f t="shared" si="446"/>
        <v>-306.97638396479238</v>
      </c>
      <c r="BG132" s="301">
        <f t="shared" si="446"/>
        <v>-298.58707778240887</v>
      </c>
      <c r="BH132" s="301">
        <f t="shared" si="446"/>
        <v>-307.81173588719321</v>
      </c>
      <c r="BI132" s="301">
        <f t="shared" si="446"/>
        <v>-299.77905558869071</v>
      </c>
      <c r="BJ132" s="301">
        <f t="shared" si="446"/>
        <v>-309.23887495190007</v>
      </c>
      <c r="BK132" s="301">
        <f t="shared" si="446"/>
        <v>-310.09498088918622</v>
      </c>
      <c r="BL132" s="301">
        <f t="shared" si="446"/>
        <v>-302.33852441233472</v>
      </c>
      <c r="BM132" s="301">
        <f t="shared" si="446"/>
        <v>-311.94193625718538</v>
      </c>
      <c r="BN132" s="301">
        <f t="shared" si="446"/>
        <v>-304.21928088876945</v>
      </c>
      <c r="BO132" s="301">
        <f t="shared" si="446"/>
        <v>-312.57512830843933</v>
      </c>
      <c r="BP132" s="389">
        <f t="shared" si="431"/>
        <v>-3668.7932489877549</v>
      </c>
      <c r="CF132" s="301" t="s">
        <v>940</v>
      </c>
      <c r="CG132" s="380" t="s">
        <v>965</v>
      </c>
    </row>
    <row r="133" spans="1:85" s="299" customFormat="1" ht="15.6">
      <c r="A133" s="299" t="s">
        <v>676</v>
      </c>
      <c r="B133" s="380" t="s">
        <v>628</v>
      </c>
      <c r="D133" s="299">
        <f t="shared" ref="D133:AI133" si="447">D132/500*1000</f>
        <v>0</v>
      </c>
      <c r="E133" s="299">
        <f t="shared" si="447"/>
        <v>0</v>
      </c>
      <c r="F133" s="299">
        <f t="shared" si="447"/>
        <v>0</v>
      </c>
      <c r="G133" s="299">
        <f t="shared" si="447"/>
        <v>0</v>
      </c>
      <c r="H133" s="299">
        <f t="shared" si="447"/>
        <v>0</v>
      </c>
      <c r="I133" s="299">
        <f t="shared" si="447"/>
        <v>0</v>
      </c>
      <c r="J133" s="299">
        <f t="shared" si="447"/>
        <v>0</v>
      </c>
      <c r="K133" s="299">
        <f t="shared" si="447"/>
        <v>0</v>
      </c>
      <c r="L133" s="299">
        <f t="shared" si="447"/>
        <v>-2.4993212402231002</v>
      </c>
      <c r="M133" s="299">
        <f t="shared" si="447"/>
        <v>-4.7921004374247751</v>
      </c>
      <c r="N133" s="299">
        <f t="shared" si="447"/>
        <v>-6.9203130729457101</v>
      </c>
      <c r="O133" s="299">
        <f t="shared" si="447"/>
        <v>-9.2599371152982108</v>
      </c>
      <c r="P133" s="299">
        <f t="shared" si="447"/>
        <v>-23.471671865891796</v>
      </c>
      <c r="Q133" s="299">
        <f t="shared" si="447"/>
        <v>-28.478392578715297</v>
      </c>
      <c r="R133" s="299">
        <f t="shared" si="447"/>
        <v>-41.842549149270369</v>
      </c>
      <c r="S133" s="299">
        <f t="shared" si="447"/>
        <v>-61.905790139522182</v>
      </c>
      <c r="T133" s="299">
        <f t="shared" si="447"/>
        <v>-77.472188899906001</v>
      </c>
      <c r="U133" s="299">
        <f t="shared" si="447"/>
        <v>-97.518580761098562</v>
      </c>
      <c r="V133" s="299">
        <f t="shared" si="447"/>
        <v>-112.90015395973735</v>
      </c>
      <c r="W133" s="299">
        <f t="shared" si="447"/>
        <v>-134.81809700126755</v>
      </c>
      <c r="X133" s="299">
        <f t="shared" si="447"/>
        <v>-154.00012356505994</v>
      </c>
      <c r="Y133" s="299">
        <f t="shared" si="447"/>
        <v>-168.72120211375938</v>
      </c>
      <c r="Z133" s="299">
        <f t="shared" si="447"/>
        <v>-193.22838625065123</v>
      </c>
      <c r="AA133" s="299">
        <f t="shared" si="447"/>
        <v>-207.26854027059056</v>
      </c>
      <c r="AB133" s="299">
        <f t="shared" si="447"/>
        <v>-232.09681637371338</v>
      </c>
      <c r="AC133" s="299">
        <f t="shared" si="447"/>
        <v>-1510.2508210632918</v>
      </c>
      <c r="AD133" s="299">
        <f t="shared" si="447"/>
        <v>-265.64919648476138</v>
      </c>
      <c r="AE133" s="299">
        <f t="shared" si="447"/>
        <v>-254.46108363850934</v>
      </c>
      <c r="AF133" s="299">
        <f t="shared" si="447"/>
        <v>-297.141281629373</v>
      </c>
      <c r="AG133" s="299">
        <f t="shared" si="447"/>
        <v>-307.74082938414836</v>
      </c>
      <c r="AH133" s="299">
        <f t="shared" si="447"/>
        <v>-336.59851484120725</v>
      </c>
      <c r="AI133" s="299">
        <f t="shared" si="447"/>
        <v>-346.70429279079212</v>
      </c>
      <c r="AJ133" s="299">
        <f t="shared" ref="AJ133:BO133" si="448">AJ132/500*1000</f>
        <v>-377.23266493312576</v>
      </c>
      <c r="AK133" s="299">
        <f t="shared" si="448"/>
        <v>-397.83979299535366</v>
      </c>
      <c r="AL133" s="299">
        <f t="shared" si="448"/>
        <v>-406.70717646245032</v>
      </c>
      <c r="AM133" s="299">
        <f t="shared" si="448"/>
        <v>-439.34037930558236</v>
      </c>
      <c r="AN133" s="299">
        <f t="shared" si="448"/>
        <v>-447.08357546356774</v>
      </c>
      <c r="AO133" s="299">
        <f t="shared" si="448"/>
        <v>-478.92967183478021</v>
      </c>
      <c r="AP133" s="299">
        <f t="shared" si="448"/>
        <v>-4355.4284597636515</v>
      </c>
      <c r="AQ133" s="299">
        <f t="shared" si="448"/>
        <v>-516.80136824342355</v>
      </c>
      <c r="AR133" s="299">
        <f t="shared" si="448"/>
        <v>-463.58921387268509</v>
      </c>
      <c r="AS133" s="299">
        <f t="shared" si="448"/>
        <v>-517.3573014757518</v>
      </c>
      <c r="AT133" s="299">
        <f t="shared" si="448"/>
        <v>-512.45262220788175</v>
      </c>
      <c r="AU133" s="299">
        <f t="shared" si="448"/>
        <v>-538.12671774701573</v>
      </c>
      <c r="AV133" s="299">
        <f t="shared" si="448"/>
        <v>-533.20267558606486</v>
      </c>
      <c r="AW133" s="299">
        <f t="shared" si="448"/>
        <v>-559.83219656962706</v>
      </c>
      <c r="AX133" s="299">
        <f t="shared" si="448"/>
        <v>-570.88922056608828</v>
      </c>
      <c r="AY133" s="299">
        <f t="shared" si="448"/>
        <v>-565.46609975421165</v>
      </c>
      <c r="AZ133" s="299">
        <f t="shared" si="448"/>
        <v>-593.13105955090066</v>
      </c>
      <c r="BA133" s="299">
        <f t="shared" si="448"/>
        <v>-587.09922491389193</v>
      </c>
      <c r="BB133" s="299">
        <f t="shared" si="448"/>
        <v>-613.04348553894238</v>
      </c>
      <c r="BC133" s="299">
        <f t="shared" si="448"/>
        <v>-6570.9911860264838</v>
      </c>
      <c r="BD133" s="299">
        <f t="shared" si="448"/>
        <v>-649.32663290025437</v>
      </c>
      <c r="BE133" s="299">
        <f t="shared" si="448"/>
        <v>-561.13390721345468</v>
      </c>
      <c r="BF133" s="299">
        <f t="shared" si="448"/>
        <v>-613.95276792958475</v>
      </c>
      <c r="BG133" s="299">
        <f t="shared" si="448"/>
        <v>-597.17415556481774</v>
      </c>
      <c r="BH133" s="299">
        <f t="shared" si="448"/>
        <v>-615.62347177438642</v>
      </c>
      <c r="BI133" s="299">
        <f t="shared" si="448"/>
        <v>-599.55811117738142</v>
      </c>
      <c r="BJ133" s="299">
        <f t="shared" si="448"/>
        <v>-618.47774990380015</v>
      </c>
      <c r="BK133" s="299">
        <f t="shared" si="448"/>
        <v>-620.18996177837244</v>
      </c>
      <c r="BL133" s="299">
        <f t="shared" si="448"/>
        <v>-604.67704882466944</v>
      </c>
      <c r="BM133" s="299">
        <f t="shared" si="448"/>
        <v>-623.88387251437075</v>
      </c>
      <c r="BN133" s="299">
        <f t="shared" si="448"/>
        <v>-608.43856177753889</v>
      </c>
      <c r="BO133" s="299">
        <f t="shared" si="448"/>
        <v>-625.15025661687866</v>
      </c>
      <c r="BP133" s="299">
        <f t="shared" ref="BP133" si="449">BP132/500*1000</f>
        <v>-7337.5864979755097</v>
      </c>
      <c r="BR133" s="60">
        <f>D133+E133+F133</f>
        <v>0</v>
      </c>
      <c r="BS133" s="60">
        <f>G133+H133+I133</f>
        <v>0</v>
      </c>
      <c r="BT133" s="60">
        <f>J133+K133+L133</f>
        <v>-2.4993212402231002</v>
      </c>
      <c r="BU133" s="60">
        <f>M133+N133+O133</f>
        <v>-20.972350625668696</v>
      </c>
      <c r="BV133" s="60">
        <f>SUM(Q133:V133)</f>
        <v>-420.11765548824974</v>
      </c>
      <c r="BW133" s="60">
        <f>SUM(W133:AB133)</f>
        <v>-1090.1331655750421</v>
      </c>
      <c r="BX133" s="60">
        <f>SUM(AD133:AI133)</f>
        <v>-1808.2951987687914</v>
      </c>
      <c r="BY133" s="60">
        <f>SUM(AJ133:AO133)</f>
        <v>-2547.1332609948599</v>
      </c>
      <c r="BZ133" s="60">
        <f>SUM(AQ133:AV133)</f>
        <v>-3081.5298991328227</v>
      </c>
      <c r="CA133" s="60">
        <f>SUM(AW133:BB133)</f>
        <v>-3489.461286893662</v>
      </c>
      <c r="CB133" s="60">
        <f>SUM(BD133:BI133)</f>
        <v>-3636.7690465598794</v>
      </c>
      <c r="CC133" s="60">
        <f>SUM(BJ133:BO133)</f>
        <v>-3700.8174514156303</v>
      </c>
      <c r="CD133" s="301"/>
      <c r="CF133" s="299" t="s">
        <v>940</v>
      </c>
      <c r="CG133" s="380" t="s">
        <v>967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7" tint="0.79998168889431442"/>
    <outlinePr summaryBelow="0"/>
  </sheetPr>
  <dimension ref="A1:CG133"/>
  <sheetViews>
    <sheetView showGridLines="0" zoomScale="110" zoomScaleNormal="110" workbookViewId="0">
      <pane xSplit="2" ySplit="2" topLeftCell="C3" activePane="bottomRight" state="frozen"/>
      <selection activeCell="B132" sqref="B132"/>
      <selection pane="topRight" activeCell="B132" sqref="B132"/>
      <selection pane="bottomLeft" activeCell="B132" sqref="B132"/>
      <selection pane="bottomRight"/>
    </sheetView>
  </sheetViews>
  <sheetFormatPr defaultColWidth="9.109375" defaultRowHeight="13.8" outlineLevelRow="1" outlineLevelCol="1"/>
  <cols>
    <col min="1" max="1" width="64.6640625" style="4" bestFit="1" customWidth="1"/>
    <col min="2" max="2" width="9.109375" style="13"/>
    <col min="3" max="3" width="9.109375" style="6"/>
    <col min="4" max="15" width="9.109375" style="4" hidden="1" customWidth="1" outlineLevel="1"/>
    <col min="16" max="16" width="10.6640625" style="4" customWidth="1" collapsed="1"/>
    <col min="17" max="28" width="9.109375" style="4" hidden="1" customWidth="1" outlineLevel="1"/>
    <col min="29" max="29" width="10.6640625" style="4" customWidth="1" collapsed="1"/>
    <col min="30" max="41" width="9.109375" style="4" hidden="1" customWidth="1" outlineLevel="1"/>
    <col min="42" max="42" width="10.6640625" style="4" customWidth="1" collapsed="1"/>
    <col min="43" max="49" width="8.44140625" style="4" hidden="1" customWidth="1" outlineLevel="1"/>
    <col min="50" max="54" width="10.109375" style="4" hidden="1" customWidth="1" outlineLevel="1"/>
    <col min="55" max="55" width="10.6640625" style="4" customWidth="1" collapsed="1"/>
    <col min="56" max="67" width="10.109375" style="4" hidden="1" customWidth="1" outlineLevel="1"/>
    <col min="68" max="68" width="10.6640625" style="4" customWidth="1" collapsed="1"/>
    <col min="69" max="82" width="0" style="4" hidden="1" customWidth="1"/>
    <col min="83" max="83" width="9.109375" style="4"/>
    <col min="84" max="84" width="84.5546875" style="4" bestFit="1" customWidth="1"/>
    <col min="85" max="85" width="9.109375" style="13"/>
    <col min="86" max="16384" width="9.109375" style="4"/>
  </cols>
  <sheetData>
    <row r="1" spans="1:85" s="6" customFormat="1">
      <c r="B1" s="13"/>
      <c r="D1" s="6">
        <v>31</v>
      </c>
      <c r="E1" s="6">
        <v>28</v>
      </c>
      <c r="F1" s="6">
        <v>31</v>
      </c>
      <c r="G1" s="6">
        <v>30</v>
      </c>
      <c r="H1" s="6">
        <v>31</v>
      </c>
      <c r="I1" s="6">
        <v>30</v>
      </c>
      <c r="J1" s="6">
        <v>31</v>
      </c>
      <c r="K1" s="6">
        <v>31</v>
      </c>
      <c r="L1" s="6">
        <v>30</v>
      </c>
      <c r="M1" s="6">
        <v>31</v>
      </c>
      <c r="N1" s="6">
        <v>30</v>
      </c>
      <c r="O1" s="6">
        <v>31</v>
      </c>
      <c r="P1" s="343">
        <f>SUM(D1:O1)</f>
        <v>365</v>
      </c>
      <c r="Q1" s="6">
        <v>31</v>
      </c>
      <c r="R1" s="6">
        <v>28</v>
      </c>
      <c r="S1" s="6">
        <v>31</v>
      </c>
      <c r="T1" s="6">
        <v>30</v>
      </c>
      <c r="U1" s="6">
        <v>31</v>
      </c>
      <c r="V1" s="6">
        <v>30</v>
      </c>
      <c r="W1" s="6">
        <v>31</v>
      </c>
      <c r="X1" s="6">
        <v>31</v>
      </c>
      <c r="Y1" s="6">
        <v>30</v>
      </c>
      <c r="Z1" s="6">
        <v>31</v>
      </c>
      <c r="AA1" s="6">
        <v>30</v>
      </c>
      <c r="AB1" s="6">
        <v>31</v>
      </c>
      <c r="AC1" s="343">
        <f>SUM(Q1:AB1)</f>
        <v>365</v>
      </c>
      <c r="AD1" s="6">
        <v>31</v>
      </c>
      <c r="AE1" s="6">
        <v>28</v>
      </c>
      <c r="AF1" s="6">
        <v>31</v>
      </c>
      <c r="AG1" s="6">
        <v>30</v>
      </c>
      <c r="AH1" s="6">
        <v>31</v>
      </c>
      <c r="AI1" s="6">
        <v>30</v>
      </c>
      <c r="AJ1" s="6">
        <v>31</v>
      </c>
      <c r="AK1" s="6">
        <v>31</v>
      </c>
      <c r="AL1" s="6">
        <v>30</v>
      </c>
      <c r="AM1" s="6">
        <v>31</v>
      </c>
      <c r="AN1" s="6">
        <v>30</v>
      </c>
      <c r="AO1" s="6">
        <v>31</v>
      </c>
      <c r="AP1" s="343">
        <f>SUM(AD1:AO1)</f>
        <v>365</v>
      </c>
      <c r="AQ1" s="6">
        <v>31</v>
      </c>
      <c r="AR1" s="6">
        <v>28</v>
      </c>
      <c r="AS1" s="6">
        <v>31</v>
      </c>
      <c r="AT1" s="6">
        <v>30</v>
      </c>
      <c r="AU1" s="6">
        <v>31</v>
      </c>
      <c r="AV1" s="6">
        <v>30</v>
      </c>
      <c r="AW1" s="6">
        <v>31</v>
      </c>
      <c r="AX1" s="6">
        <v>31</v>
      </c>
      <c r="AY1" s="6">
        <v>30</v>
      </c>
      <c r="AZ1" s="6">
        <v>31</v>
      </c>
      <c r="BA1" s="6">
        <v>30</v>
      </c>
      <c r="BB1" s="6">
        <v>31</v>
      </c>
      <c r="BC1" s="343">
        <f>SUM(AQ1:BB1)</f>
        <v>365</v>
      </c>
      <c r="BD1" s="6">
        <v>31</v>
      </c>
      <c r="BE1" s="6">
        <v>28</v>
      </c>
      <c r="BF1" s="6">
        <v>31</v>
      </c>
      <c r="BG1" s="6">
        <v>30</v>
      </c>
      <c r="BH1" s="6">
        <v>31</v>
      </c>
      <c r="BI1" s="6">
        <v>30</v>
      </c>
      <c r="BJ1" s="6">
        <v>31</v>
      </c>
      <c r="BK1" s="6">
        <v>31</v>
      </c>
      <c r="BL1" s="6">
        <v>30</v>
      </c>
      <c r="BM1" s="6">
        <v>31</v>
      </c>
      <c r="BN1" s="6">
        <v>30</v>
      </c>
      <c r="BO1" s="6">
        <v>31</v>
      </c>
      <c r="BP1" s="343">
        <f>SUM(BD1:BO1)</f>
        <v>365</v>
      </c>
      <c r="CG1" s="13"/>
    </row>
    <row r="2" spans="1:85" s="1" customFormat="1">
      <c r="A2" s="415"/>
      <c r="B2" s="416" t="s">
        <v>665</v>
      </c>
      <c r="C2" s="428"/>
      <c r="D2" s="415" t="s">
        <v>107</v>
      </c>
      <c r="E2" s="415" t="s">
        <v>135</v>
      </c>
      <c r="F2" s="415" t="s">
        <v>136</v>
      </c>
      <c r="G2" s="415" t="s">
        <v>137</v>
      </c>
      <c r="H2" s="415" t="s">
        <v>138</v>
      </c>
      <c r="I2" s="415" t="s">
        <v>139</v>
      </c>
      <c r="J2" s="415" t="s">
        <v>140</v>
      </c>
      <c r="K2" s="415" t="s">
        <v>141</v>
      </c>
      <c r="L2" s="415" t="s">
        <v>142</v>
      </c>
      <c r="M2" s="415" t="s">
        <v>143</v>
      </c>
      <c r="N2" s="415" t="s">
        <v>144</v>
      </c>
      <c r="O2" s="415" t="s">
        <v>145</v>
      </c>
      <c r="P2" s="414" t="s">
        <v>146</v>
      </c>
      <c r="Q2" s="415" t="s">
        <v>107</v>
      </c>
      <c r="R2" s="415" t="s">
        <v>135</v>
      </c>
      <c r="S2" s="415" t="s">
        <v>136</v>
      </c>
      <c r="T2" s="415" t="s">
        <v>137</v>
      </c>
      <c r="U2" s="415" t="s">
        <v>138</v>
      </c>
      <c r="V2" s="415" t="s">
        <v>139</v>
      </c>
      <c r="W2" s="415" t="s">
        <v>140</v>
      </c>
      <c r="X2" s="415" t="s">
        <v>141</v>
      </c>
      <c r="Y2" s="415" t="s">
        <v>142</v>
      </c>
      <c r="Z2" s="415" t="s">
        <v>143</v>
      </c>
      <c r="AA2" s="415" t="s">
        <v>144</v>
      </c>
      <c r="AB2" s="415" t="s">
        <v>145</v>
      </c>
      <c r="AC2" s="414" t="s">
        <v>151</v>
      </c>
      <c r="AD2" s="415" t="s">
        <v>107</v>
      </c>
      <c r="AE2" s="415" t="s">
        <v>135</v>
      </c>
      <c r="AF2" s="415" t="s">
        <v>136</v>
      </c>
      <c r="AG2" s="415" t="s">
        <v>137</v>
      </c>
      <c r="AH2" s="415" t="s">
        <v>138</v>
      </c>
      <c r="AI2" s="415" t="s">
        <v>139</v>
      </c>
      <c r="AJ2" s="415" t="s">
        <v>140</v>
      </c>
      <c r="AK2" s="415" t="s">
        <v>141</v>
      </c>
      <c r="AL2" s="415" t="s">
        <v>142</v>
      </c>
      <c r="AM2" s="415" t="s">
        <v>143</v>
      </c>
      <c r="AN2" s="415" t="s">
        <v>144</v>
      </c>
      <c r="AO2" s="415" t="s">
        <v>145</v>
      </c>
      <c r="AP2" s="414" t="s">
        <v>152</v>
      </c>
      <c r="AQ2" s="415" t="s">
        <v>107</v>
      </c>
      <c r="AR2" s="415" t="s">
        <v>135</v>
      </c>
      <c r="AS2" s="415" t="s">
        <v>136</v>
      </c>
      <c r="AT2" s="415" t="s">
        <v>137</v>
      </c>
      <c r="AU2" s="415" t="s">
        <v>138</v>
      </c>
      <c r="AV2" s="415" t="s">
        <v>139</v>
      </c>
      <c r="AW2" s="415" t="s">
        <v>140</v>
      </c>
      <c r="AX2" s="415" t="s">
        <v>141</v>
      </c>
      <c r="AY2" s="415" t="s">
        <v>142</v>
      </c>
      <c r="AZ2" s="415" t="s">
        <v>143</v>
      </c>
      <c r="BA2" s="415" t="s">
        <v>144</v>
      </c>
      <c r="BB2" s="415" t="s">
        <v>145</v>
      </c>
      <c r="BC2" s="414" t="s">
        <v>153</v>
      </c>
      <c r="BD2" s="415" t="s">
        <v>107</v>
      </c>
      <c r="BE2" s="415" t="s">
        <v>135</v>
      </c>
      <c r="BF2" s="415" t="s">
        <v>136</v>
      </c>
      <c r="BG2" s="415" t="s">
        <v>137</v>
      </c>
      <c r="BH2" s="415" t="s">
        <v>138</v>
      </c>
      <c r="BI2" s="415" t="s">
        <v>139</v>
      </c>
      <c r="BJ2" s="415" t="s">
        <v>140</v>
      </c>
      <c r="BK2" s="415" t="s">
        <v>141</v>
      </c>
      <c r="BL2" s="415" t="s">
        <v>142</v>
      </c>
      <c r="BM2" s="415" t="s">
        <v>143</v>
      </c>
      <c r="BN2" s="415" t="s">
        <v>144</v>
      </c>
      <c r="BO2" s="415" t="s">
        <v>145</v>
      </c>
      <c r="BP2" s="414" t="s">
        <v>154</v>
      </c>
      <c r="CF2" s="415"/>
      <c r="CG2" s="416"/>
    </row>
    <row r="3" spans="1:85">
      <c r="P3" s="349"/>
      <c r="AC3" s="349"/>
      <c r="AP3" s="349"/>
      <c r="BC3" s="349"/>
      <c r="BP3" s="349"/>
    </row>
    <row r="4" spans="1:85">
      <c r="A4" s="4" t="s">
        <v>582</v>
      </c>
      <c r="B4" s="13" t="s">
        <v>496</v>
      </c>
      <c r="D4" s="3">
        <f>P4*D5</f>
        <v>0</v>
      </c>
      <c r="E4" s="3">
        <f>P4*E5</f>
        <v>0</v>
      </c>
      <c r="F4" s="3">
        <f>P4*F5</f>
        <v>0</v>
      </c>
      <c r="G4" s="3">
        <f>P4*G5</f>
        <v>0</v>
      </c>
      <c r="H4" s="3">
        <f>P4*H5</f>
        <v>0</v>
      </c>
      <c r="I4" s="3">
        <f>P4*I5</f>
        <v>0</v>
      </c>
      <c r="J4" s="3">
        <f>P4*J5</f>
        <v>0</v>
      </c>
      <c r="K4" s="3">
        <f>P4*K5</f>
        <v>0</v>
      </c>
      <c r="L4" s="3">
        <v>0</v>
      </c>
      <c r="M4" s="3">
        <v>0</v>
      </c>
      <c r="N4" s="3">
        <v>0</v>
      </c>
      <c r="O4" s="3">
        <v>0</v>
      </c>
      <c r="P4" s="425">
        <f>Funnel!E82</f>
        <v>350425.62239999999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f>AC4*W5</f>
        <v>190309.96804309325</v>
      </c>
      <c r="X4" s="3">
        <f>AC4*X5</f>
        <v>198542.39456405325</v>
      </c>
      <c r="Y4" s="3">
        <f>AC4*Y5</f>
        <v>206774.82108501325</v>
      </c>
      <c r="Z4" s="3">
        <f>AC4*Z5</f>
        <v>215007.24760597324</v>
      </c>
      <c r="AA4" s="3">
        <f>AC4*AA5</f>
        <v>223239.67412693321</v>
      </c>
      <c r="AB4" s="3">
        <f>AC4*AB5</f>
        <v>222127.18405653408</v>
      </c>
      <c r="AC4" s="425">
        <f>Funnel!F82</f>
        <v>2224980.1408000002</v>
      </c>
      <c r="AD4" s="3">
        <f>AP4*AD5</f>
        <v>188964.85409919999</v>
      </c>
      <c r="AE4" s="3">
        <f>AP4*AE5</f>
        <v>200004.37978604797</v>
      </c>
      <c r="AF4" s="3">
        <f>AP4*AF5</f>
        <v>211043.90547289597</v>
      </c>
      <c r="AG4" s="3">
        <f>AP4*AG5</f>
        <v>222083.43115974395</v>
      </c>
      <c r="AH4" s="3">
        <f>AP4*AH5</f>
        <v>233122.95684659193</v>
      </c>
      <c r="AI4" s="3">
        <f>AP4*AI5</f>
        <v>244162.48253343994</v>
      </c>
      <c r="AJ4" s="3">
        <f>AP4*AJ5</f>
        <v>255202.00822028791</v>
      </c>
      <c r="AK4" s="3">
        <f>AP4*AK5</f>
        <v>266241.53390713589</v>
      </c>
      <c r="AL4" s="3">
        <f>AP4*AL5</f>
        <v>277281.05959398387</v>
      </c>
      <c r="AM4" s="3">
        <f>AP4*AM5</f>
        <v>288320.58528083185</v>
      </c>
      <c r="AN4" s="3">
        <f>AP4*AN5</f>
        <v>299360.11096767988</v>
      </c>
      <c r="AO4" s="3">
        <f>AP4*AO5</f>
        <v>297868.28317216103</v>
      </c>
      <c r="AP4" s="425">
        <f>Funnel!G82</f>
        <v>2983655.5910400003</v>
      </c>
      <c r="AQ4" s="3">
        <f>BC4*AQ5</f>
        <v>212875.88521567997</v>
      </c>
      <c r="AR4" s="3">
        <f>BC4*AR5</f>
        <v>225312.31850985915</v>
      </c>
      <c r="AS4" s="3">
        <f>BC4*AS5</f>
        <v>237748.75180403833</v>
      </c>
      <c r="AT4" s="3">
        <f>BC4*AT5</f>
        <v>250185.18509821751</v>
      </c>
      <c r="AU4" s="3">
        <f>BC4*AU5</f>
        <v>262621.61839239672</v>
      </c>
      <c r="AV4" s="3">
        <f>BC4*AV5</f>
        <v>275058.05168657587</v>
      </c>
      <c r="AW4" s="3">
        <f>BC4*AW5</f>
        <v>287494.48498075508</v>
      </c>
      <c r="AX4" s="3">
        <f>BC4*AX5</f>
        <v>299930.91827493423</v>
      </c>
      <c r="AY4" s="3">
        <f>BC4*AY5</f>
        <v>312367.35156911344</v>
      </c>
      <c r="AZ4" s="3">
        <f>BC4*AZ5</f>
        <v>324803.78486329259</v>
      </c>
      <c r="BA4" s="3">
        <f>BC4*BA5</f>
        <v>337240.2181574718</v>
      </c>
      <c r="BB4" s="3">
        <f>BC4*BB5</f>
        <v>335559.6190636651</v>
      </c>
      <c r="BC4" s="425">
        <f>Funnel!H82</f>
        <v>3361198.187616</v>
      </c>
      <c r="BD4" s="3">
        <f>BP4*BD5</f>
        <v>243292.58697659196</v>
      </c>
      <c r="BE4" s="3">
        <f>BP4*BE5</f>
        <v>257505.99600522441</v>
      </c>
      <c r="BF4" s="3">
        <f>BP4*BF5</f>
        <v>271719.40503385686</v>
      </c>
      <c r="BG4" s="3">
        <f>BP4*BG5</f>
        <v>285932.81406248931</v>
      </c>
      <c r="BH4" s="3">
        <f>BP4*BH5</f>
        <v>300146.22309112182</v>
      </c>
      <c r="BI4" s="3">
        <f>BP4*BI5</f>
        <v>314359.63211975427</v>
      </c>
      <c r="BJ4" s="3">
        <f>BP4*BJ5</f>
        <v>328573.04114838672</v>
      </c>
      <c r="BK4" s="3">
        <f>BP4*BK5</f>
        <v>342786.45017701917</v>
      </c>
      <c r="BL4" s="3">
        <f>BP4*BL5</f>
        <v>356999.85920565162</v>
      </c>
      <c r="BM4" s="3">
        <f>BP4*BM5</f>
        <v>371213.26823428413</v>
      </c>
      <c r="BN4" s="3">
        <f>BP4*BN5</f>
        <v>385426.67726291658</v>
      </c>
      <c r="BO4" s="3">
        <f>BP4*BO5</f>
        <v>383505.94631310285</v>
      </c>
      <c r="BP4" s="425">
        <f>Funnel!I82</f>
        <v>3841461.8996303999</v>
      </c>
      <c r="CF4" s="4" t="s">
        <v>948</v>
      </c>
      <c r="CG4" s="13" t="s">
        <v>394</v>
      </c>
    </row>
    <row r="5" spans="1:85" s="6" customFormat="1">
      <c r="A5" s="6" t="s">
        <v>155</v>
      </c>
      <c r="B5" s="13" t="s">
        <v>231</v>
      </c>
      <c r="D5" s="40"/>
      <c r="E5" s="40"/>
      <c r="F5" s="40"/>
      <c r="G5" s="40"/>
      <c r="H5" s="40"/>
      <c r="I5" s="40"/>
      <c r="J5" s="40"/>
      <c r="K5" s="40"/>
      <c r="L5" s="40">
        <v>6.3333333333333325E-2</v>
      </c>
      <c r="M5" s="40">
        <f>L5+0.37%</f>
        <v>6.703333333333332E-2</v>
      </c>
      <c r="N5" s="40">
        <f>M5+0.37%</f>
        <v>7.0733333333333315E-2</v>
      </c>
      <c r="O5" s="40">
        <f>100%-SUM(D5:N5)</f>
        <v>0.79890000000000005</v>
      </c>
      <c r="P5" s="464">
        <f>SUM(D5:O5)</f>
        <v>1</v>
      </c>
      <c r="Q5" s="40">
        <f>100%/12-2%</f>
        <v>6.3333333333333325E-2</v>
      </c>
      <c r="R5" s="40">
        <f t="shared" ref="R5:AA5" si="0">Q5+0.37%</f>
        <v>6.703333333333332E-2</v>
      </c>
      <c r="S5" s="40">
        <f t="shared" si="0"/>
        <v>7.0733333333333315E-2</v>
      </c>
      <c r="T5" s="40">
        <f t="shared" si="0"/>
        <v>7.443333333333331E-2</v>
      </c>
      <c r="U5" s="40">
        <f t="shared" si="0"/>
        <v>7.8133333333333305E-2</v>
      </c>
      <c r="V5" s="40">
        <f t="shared" si="0"/>
        <v>8.18333333333333E-2</v>
      </c>
      <c r="W5" s="40">
        <f t="shared" si="0"/>
        <v>8.5533333333333295E-2</v>
      </c>
      <c r="X5" s="40">
        <f t="shared" si="0"/>
        <v>8.923333333333329E-2</v>
      </c>
      <c r="Y5" s="40">
        <f t="shared" si="0"/>
        <v>9.2933333333333284E-2</v>
      </c>
      <c r="Z5" s="40">
        <f t="shared" si="0"/>
        <v>9.6633333333333279E-2</v>
      </c>
      <c r="AA5" s="40">
        <f t="shared" si="0"/>
        <v>0.10033333333333327</v>
      </c>
      <c r="AB5" s="40">
        <f>100%-SUM(Q5:AA5)</f>
        <v>9.9833333333333663E-2</v>
      </c>
      <c r="AC5" s="464">
        <f>SUM(Q5:AB5)</f>
        <v>1</v>
      </c>
      <c r="AD5" s="40">
        <f>100%/12-2%</f>
        <v>6.3333333333333325E-2</v>
      </c>
      <c r="AE5" s="40">
        <f t="shared" ref="AE5:AN5" si="1">AD5+0.37%</f>
        <v>6.703333333333332E-2</v>
      </c>
      <c r="AF5" s="40">
        <f t="shared" si="1"/>
        <v>7.0733333333333315E-2</v>
      </c>
      <c r="AG5" s="40">
        <f t="shared" si="1"/>
        <v>7.443333333333331E-2</v>
      </c>
      <c r="AH5" s="40">
        <f t="shared" si="1"/>
        <v>7.8133333333333305E-2</v>
      </c>
      <c r="AI5" s="40">
        <f t="shared" si="1"/>
        <v>8.18333333333333E-2</v>
      </c>
      <c r="AJ5" s="40">
        <f t="shared" si="1"/>
        <v>8.5533333333333295E-2</v>
      </c>
      <c r="AK5" s="40">
        <f t="shared" si="1"/>
        <v>8.923333333333329E-2</v>
      </c>
      <c r="AL5" s="40">
        <f t="shared" si="1"/>
        <v>9.2933333333333284E-2</v>
      </c>
      <c r="AM5" s="40">
        <f t="shared" si="1"/>
        <v>9.6633333333333279E-2</v>
      </c>
      <c r="AN5" s="40">
        <f t="shared" si="1"/>
        <v>0.10033333333333327</v>
      </c>
      <c r="AO5" s="40">
        <f>100%-SUM(AD5:AN5)</f>
        <v>9.9833333333333663E-2</v>
      </c>
      <c r="AP5" s="464">
        <f>SUM(AD5:AO5)</f>
        <v>1</v>
      </c>
      <c r="AQ5" s="40">
        <f>100%/12-2%</f>
        <v>6.3333333333333325E-2</v>
      </c>
      <c r="AR5" s="40">
        <f t="shared" ref="AR5:BA5" si="2">AQ5+0.37%</f>
        <v>6.703333333333332E-2</v>
      </c>
      <c r="AS5" s="40">
        <f t="shared" si="2"/>
        <v>7.0733333333333315E-2</v>
      </c>
      <c r="AT5" s="40">
        <f t="shared" si="2"/>
        <v>7.443333333333331E-2</v>
      </c>
      <c r="AU5" s="40">
        <f t="shared" si="2"/>
        <v>7.8133333333333305E-2</v>
      </c>
      <c r="AV5" s="40">
        <f t="shared" si="2"/>
        <v>8.18333333333333E-2</v>
      </c>
      <c r="AW5" s="40">
        <f t="shared" si="2"/>
        <v>8.5533333333333295E-2</v>
      </c>
      <c r="AX5" s="40">
        <f t="shared" si="2"/>
        <v>8.923333333333329E-2</v>
      </c>
      <c r="AY5" s="40">
        <f t="shared" si="2"/>
        <v>9.2933333333333284E-2</v>
      </c>
      <c r="AZ5" s="40">
        <f t="shared" si="2"/>
        <v>9.6633333333333279E-2</v>
      </c>
      <c r="BA5" s="40">
        <f t="shared" si="2"/>
        <v>0.10033333333333327</v>
      </c>
      <c r="BB5" s="40">
        <f>100%-SUM(AQ5:BA5)</f>
        <v>9.9833333333333663E-2</v>
      </c>
      <c r="BC5" s="464">
        <f>SUM(AQ5:BB5)</f>
        <v>1</v>
      </c>
      <c r="BD5" s="40">
        <f>100%/12-2%</f>
        <v>6.3333333333333325E-2</v>
      </c>
      <c r="BE5" s="40">
        <f t="shared" ref="BE5:BN5" si="3">BD5+0.37%</f>
        <v>6.703333333333332E-2</v>
      </c>
      <c r="BF5" s="40">
        <f t="shared" si="3"/>
        <v>7.0733333333333315E-2</v>
      </c>
      <c r="BG5" s="40">
        <f t="shared" si="3"/>
        <v>7.443333333333331E-2</v>
      </c>
      <c r="BH5" s="40">
        <f t="shared" si="3"/>
        <v>7.8133333333333305E-2</v>
      </c>
      <c r="BI5" s="40">
        <f t="shared" si="3"/>
        <v>8.18333333333333E-2</v>
      </c>
      <c r="BJ5" s="40">
        <f t="shared" si="3"/>
        <v>8.5533333333333295E-2</v>
      </c>
      <c r="BK5" s="40">
        <f t="shared" si="3"/>
        <v>8.923333333333329E-2</v>
      </c>
      <c r="BL5" s="40">
        <f t="shared" si="3"/>
        <v>9.2933333333333284E-2</v>
      </c>
      <c r="BM5" s="40">
        <f t="shared" si="3"/>
        <v>9.6633333333333279E-2</v>
      </c>
      <c r="BN5" s="40">
        <f t="shared" si="3"/>
        <v>0.10033333333333327</v>
      </c>
      <c r="BO5" s="40">
        <f>100%-SUM(BD5:BN5)</f>
        <v>9.9833333333333663E-2</v>
      </c>
      <c r="BP5" s="464">
        <f>SUM(BD5:BO5)</f>
        <v>1</v>
      </c>
      <c r="CF5" s="6" t="s">
        <v>1030</v>
      </c>
      <c r="CG5" s="13" t="s">
        <v>231</v>
      </c>
    </row>
    <row r="6" spans="1:85" s="65" customFormat="1">
      <c r="A6" s="76" t="s">
        <v>581</v>
      </c>
      <c r="B6" s="285" t="s">
        <v>231</v>
      </c>
      <c r="C6" s="40"/>
      <c r="D6" s="65">
        <f>P6</f>
        <v>0.05</v>
      </c>
      <c r="E6" s="65">
        <f t="shared" ref="E6:O6" si="4">D6</f>
        <v>0.05</v>
      </c>
      <c r="F6" s="65">
        <f t="shared" si="4"/>
        <v>0.05</v>
      </c>
      <c r="G6" s="65">
        <f t="shared" si="4"/>
        <v>0.05</v>
      </c>
      <c r="H6" s="65">
        <f t="shared" si="4"/>
        <v>0.05</v>
      </c>
      <c r="I6" s="65">
        <f t="shared" si="4"/>
        <v>0.05</v>
      </c>
      <c r="J6" s="65">
        <f t="shared" si="4"/>
        <v>0.05</v>
      </c>
      <c r="K6" s="65">
        <f t="shared" si="4"/>
        <v>0.05</v>
      </c>
      <c r="L6" s="65">
        <f t="shared" si="4"/>
        <v>0.05</v>
      </c>
      <c r="M6" s="65">
        <f t="shared" si="4"/>
        <v>0.05</v>
      </c>
      <c r="N6" s="65">
        <f t="shared" si="4"/>
        <v>0.05</v>
      </c>
      <c r="O6" s="65">
        <f t="shared" si="4"/>
        <v>0.05</v>
      </c>
      <c r="P6" s="426">
        <f>Funnel!E83</f>
        <v>0.05</v>
      </c>
      <c r="Q6" s="65">
        <f>AC6</f>
        <v>0.05</v>
      </c>
      <c r="R6" s="65">
        <f t="shared" ref="R6:AB6" si="5">Q6</f>
        <v>0.05</v>
      </c>
      <c r="S6" s="65">
        <f t="shared" si="5"/>
        <v>0.05</v>
      </c>
      <c r="T6" s="65">
        <f t="shared" si="5"/>
        <v>0.05</v>
      </c>
      <c r="U6" s="65">
        <f t="shared" si="5"/>
        <v>0.05</v>
      </c>
      <c r="V6" s="65">
        <f t="shared" si="5"/>
        <v>0.05</v>
      </c>
      <c r="W6" s="65">
        <f t="shared" si="5"/>
        <v>0.05</v>
      </c>
      <c r="X6" s="65">
        <f t="shared" si="5"/>
        <v>0.05</v>
      </c>
      <c r="Y6" s="65">
        <f t="shared" si="5"/>
        <v>0.05</v>
      </c>
      <c r="Z6" s="65">
        <f t="shared" si="5"/>
        <v>0.05</v>
      </c>
      <c r="AA6" s="65">
        <f t="shared" si="5"/>
        <v>0.05</v>
      </c>
      <c r="AB6" s="65">
        <f t="shared" si="5"/>
        <v>0.05</v>
      </c>
      <c r="AC6" s="426">
        <f>Funnel!F83</f>
        <v>0.05</v>
      </c>
      <c r="AD6" s="65">
        <f>AP6</f>
        <v>0.05</v>
      </c>
      <c r="AE6" s="65">
        <f t="shared" ref="AE6:AO6" si="6">AD6</f>
        <v>0.05</v>
      </c>
      <c r="AF6" s="65">
        <f t="shared" si="6"/>
        <v>0.05</v>
      </c>
      <c r="AG6" s="65">
        <f t="shared" si="6"/>
        <v>0.05</v>
      </c>
      <c r="AH6" s="65">
        <f t="shared" si="6"/>
        <v>0.05</v>
      </c>
      <c r="AI6" s="65">
        <f t="shared" si="6"/>
        <v>0.05</v>
      </c>
      <c r="AJ6" s="65">
        <f t="shared" si="6"/>
        <v>0.05</v>
      </c>
      <c r="AK6" s="65">
        <f t="shared" si="6"/>
        <v>0.05</v>
      </c>
      <c r="AL6" s="65">
        <f t="shared" si="6"/>
        <v>0.05</v>
      </c>
      <c r="AM6" s="65">
        <f t="shared" si="6"/>
        <v>0.05</v>
      </c>
      <c r="AN6" s="65">
        <f t="shared" si="6"/>
        <v>0.05</v>
      </c>
      <c r="AO6" s="65">
        <f t="shared" si="6"/>
        <v>0.05</v>
      </c>
      <c r="AP6" s="426">
        <f>Funnel!G83</f>
        <v>0.05</v>
      </c>
      <c r="AQ6" s="65">
        <f>BC6</f>
        <v>0.05</v>
      </c>
      <c r="AR6" s="65">
        <f t="shared" ref="AR6:BB6" si="7">AQ6</f>
        <v>0.05</v>
      </c>
      <c r="AS6" s="65">
        <f t="shared" si="7"/>
        <v>0.05</v>
      </c>
      <c r="AT6" s="65">
        <f t="shared" si="7"/>
        <v>0.05</v>
      </c>
      <c r="AU6" s="65">
        <f t="shared" si="7"/>
        <v>0.05</v>
      </c>
      <c r="AV6" s="65">
        <f t="shared" si="7"/>
        <v>0.05</v>
      </c>
      <c r="AW6" s="65">
        <f t="shared" si="7"/>
        <v>0.05</v>
      </c>
      <c r="AX6" s="65">
        <f t="shared" si="7"/>
        <v>0.05</v>
      </c>
      <c r="AY6" s="65">
        <f t="shared" si="7"/>
        <v>0.05</v>
      </c>
      <c r="AZ6" s="65">
        <f t="shared" si="7"/>
        <v>0.05</v>
      </c>
      <c r="BA6" s="65">
        <f t="shared" si="7"/>
        <v>0.05</v>
      </c>
      <c r="BB6" s="65">
        <f t="shared" si="7"/>
        <v>0.05</v>
      </c>
      <c r="BC6" s="426">
        <f>Funnel!H83</f>
        <v>0.05</v>
      </c>
      <c r="BD6" s="65">
        <f>BP6</f>
        <v>0.05</v>
      </c>
      <c r="BE6" s="65">
        <f t="shared" ref="BE6:BO6" si="8">BD6</f>
        <v>0.05</v>
      </c>
      <c r="BF6" s="65">
        <f t="shared" si="8"/>
        <v>0.05</v>
      </c>
      <c r="BG6" s="65">
        <f t="shared" si="8"/>
        <v>0.05</v>
      </c>
      <c r="BH6" s="65">
        <f t="shared" si="8"/>
        <v>0.05</v>
      </c>
      <c r="BI6" s="65">
        <f t="shared" si="8"/>
        <v>0.05</v>
      </c>
      <c r="BJ6" s="65">
        <f t="shared" si="8"/>
        <v>0.05</v>
      </c>
      <c r="BK6" s="65">
        <f t="shared" si="8"/>
        <v>0.05</v>
      </c>
      <c r="BL6" s="65">
        <f t="shared" si="8"/>
        <v>0.05</v>
      </c>
      <c r="BM6" s="65">
        <f t="shared" si="8"/>
        <v>0.05</v>
      </c>
      <c r="BN6" s="65">
        <f t="shared" si="8"/>
        <v>0.05</v>
      </c>
      <c r="BO6" s="65">
        <f t="shared" si="8"/>
        <v>0.05</v>
      </c>
      <c r="BP6" s="426">
        <f>Funnel!I83</f>
        <v>0.05</v>
      </c>
      <c r="CF6" s="76" t="s">
        <v>13</v>
      </c>
      <c r="CG6" s="285" t="s">
        <v>231</v>
      </c>
    </row>
    <row r="7" spans="1:85">
      <c r="A7" s="4" t="s">
        <v>14</v>
      </c>
      <c r="B7" s="13" t="s">
        <v>496</v>
      </c>
      <c r="D7" s="3">
        <f t="shared" ref="D7:O7" si="9">D4*D6</f>
        <v>0</v>
      </c>
      <c r="E7" s="3">
        <f t="shared" si="9"/>
        <v>0</v>
      </c>
      <c r="F7" s="3">
        <f t="shared" si="9"/>
        <v>0</v>
      </c>
      <c r="G7" s="3">
        <f t="shared" si="9"/>
        <v>0</v>
      </c>
      <c r="H7" s="3">
        <f t="shared" si="9"/>
        <v>0</v>
      </c>
      <c r="I7" s="3">
        <f t="shared" si="9"/>
        <v>0</v>
      </c>
      <c r="J7" s="3">
        <f t="shared" si="9"/>
        <v>0</v>
      </c>
      <c r="K7" s="3">
        <f t="shared" si="9"/>
        <v>0</v>
      </c>
      <c r="L7" s="3">
        <f t="shared" si="9"/>
        <v>0</v>
      </c>
      <c r="M7" s="3">
        <f t="shared" si="9"/>
        <v>0</v>
      </c>
      <c r="N7" s="3">
        <f t="shared" si="9"/>
        <v>0</v>
      </c>
      <c r="O7" s="3">
        <f t="shared" si="9"/>
        <v>0</v>
      </c>
      <c r="P7" s="397">
        <f>SUM(D7:O7)</f>
        <v>0</v>
      </c>
      <c r="Q7" s="3">
        <f t="shared" ref="Q7:AB7" si="10">Q4*Q6</f>
        <v>0</v>
      </c>
      <c r="R7" s="3">
        <f t="shared" si="10"/>
        <v>0</v>
      </c>
      <c r="S7" s="3">
        <f t="shared" si="10"/>
        <v>0</v>
      </c>
      <c r="T7" s="3">
        <f t="shared" si="10"/>
        <v>0</v>
      </c>
      <c r="U7" s="3">
        <f t="shared" si="10"/>
        <v>0</v>
      </c>
      <c r="V7" s="3">
        <f t="shared" si="10"/>
        <v>0</v>
      </c>
      <c r="W7" s="3">
        <f t="shared" si="10"/>
        <v>9515.4984021546625</v>
      </c>
      <c r="X7" s="3">
        <f t="shared" si="10"/>
        <v>9927.1197282026624</v>
      </c>
      <c r="Y7" s="3">
        <f t="shared" si="10"/>
        <v>10338.741054250662</v>
      </c>
      <c r="Z7" s="3">
        <f t="shared" si="10"/>
        <v>10750.362380298662</v>
      </c>
      <c r="AA7" s="3">
        <f t="shared" si="10"/>
        <v>11161.983706346662</v>
      </c>
      <c r="AB7" s="3">
        <f t="shared" si="10"/>
        <v>11106.359202826705</v>
      </c>
      <c r="AC7" s="397">
        <f>SUM(Q7:AB7)</f>
        <v>62800.06447408002</v>
      </c>
      <c r="AD7" s="3">
        <f t="shared" ref="AD7:AO7" si="11">AD4*AD6</f>
        <v>9448.2427049599992</v>
      </c>
      <c r="AE7" s="3">
        <f t="shared" si="11"/>
        <v>10000.218989302399</v>
      </c>
      <c r="AF7" s="3">
        <f t="shared" si="11"/>
        <v>10552.1952736448</v>
      </c>
      <c r="AG7" s="3">
        <f t="shared" si="11"/>
        <v>11104.171557987198</v>
      </c>
      <c r="AH7" s="3">
        <f t="shared" si="11"/>
        <v>11656.147842329598</v>
      </c>
      <c r="AI7" s="3">
        <f t="shared" si="11"/>
        <v>12208.124126671997</v>
      </c>
      <c r="AJ7" s="3">
        <f t="shared" si="11"/>
        <v>12760.100411014397</v>
      </c>
      <c r="AK7" s="3">
        <f t="shared" si="11"/>
        <v>13312.076695356795</v>
      </c>
      <c r="AL7" s="3">
        <f t="shared" si="11"/>
        <v>13864.052979699194</v>
      </c>
      <c r="AM7" s="3">
        <f t="shared" si="11"/>
        <v>14416.029264041594</v>
      </c>
      <c r="AN7" s="3">
        <f t="shared" si="11"/>
        <v>14968.005548383995</v>
      </c>
      <c r="AO7" s="3">
        <f t="shared" si="11"/>
        <v>14893.414158608051</v>
      </c>
      <c r="AP7" s="397">
        <f>SUM(AD7:AO7)</f>
        <v>149182.77955199999</v>
      </c>
      <c r="AQ7" s="3">
        <f t="shared" ref="AQ7:BB7" si="12">AQ4*AQ6</f>
        <v>10643.794260784</v>
      </c>
      <c r="AR7" s="3">
        <f t="shared" si="12"/>
        <v>11265.615925492959</v>
      </c>
      <c r="AS7" s="3">
        <f t="shared" si="12"/>
        <v>11887.437590201916</v>
      </c>
      <c r="AT7" s="3">
        <f t="shared" si="12"/>
        <v>12509.259254910876</v>
      </c>
      <c r="AU7" s="3">
        <f t="shared" si="12"/>
        <v>13131.080919619837</v>
      </c>
      <c r="AV7" s="3">
        <f t="shared" si="12"/>
        <v>13752.902584328795</v>
      </c>
      <c r="AW7" s="3">
        <f t="shared" si="12"/>
        <v>14374.724249037754</v>
      </c>
      <c r="AX7" s="3">
        <f t="shared" si="12"/>
        <v>14996.545913746711</v>
      </c>
      <c r="AY7" s="3">
        <f t="shared" si="12"/>
        <v>15618.367578455673</v>
      </c>
      <c r="AZ7" s="3">
        <f t="shared" si="12"/>
        <v>16240.18924316463</v>
      </c>
      <c r="BA7" s="3">
        <f t="shared" si="12"/>
        <v>16862.010907873591</v>
      </c>
      <c r="BB7" s="3">
        <f t="shared" si="12"/>
        <v>16777.980953183254</v>
      </c>
      <c r="BC7" s="397">
        <f>SUM(AQ7:BB7)</f>
        <v>168059.9093808</v>
      </c>
      <c r="BD7" s="3">
        <f t="shared" ref="BD7:BO7" si="13">BD4*BD6</f>
        <v>12164.6293488296</v>
      </c>
      <c r="BE7" s="3">
        <f t="shared" si="13"/>
        <v>12875.299800261222</v>
      </c>
      <c r="BF7" s="3">
        <f t="shared" si="13"/>
        <v>13585.970251692845</v>
      </c>
      <c r="BG7" s="3">
        <f t="shared" si="13"/>
        <v>14296.640703124467</v>
      </c>
      <c r="BH7" s="3">
        <f t="shared" si="13"/>
        <v>15007.311154556091</v>
      </c>
      <c r="BI7" s="3">
        <f t="shared" si="13"/>
        <v>15717.981605987714</v>
      </c>
      <c r="BJ7" s="3">
        <f t="shared" si="13"/>
        <v>16428.652057419338</v>
      </c>
      <c r="BK7" s="3">
        <f t="shared" si="13"/>
        <v>17139.322508850961</v>
      </c>
      <c r="BL7" s="3">
        <f t="shared" si="13"/>
        <v>17849.992960282583</v>
      </c>
      <c r="BM7" s="3">
        <f t="shared" si="13"/>
        <v>18560.663411714206</v>
      </c>
      <c r="BN7" s="3">
        <f t="shared" si="13"/>
        <v>19271.333863145828</v>
      </c>
      <c r="BO7" s="3">
        <f t="shared" si="13"/>
        <v>19175.297315655142</v>
      </c>
      <c r="BP7" s="397">
        <f>SUM(BD7:BO7)</f>
        <v>192073.09498151997</v>
      </c>
      <c r="CF7" s="4" t="s">
        <v>949</v>
      </c>
      <c r="CG7" s="13" t="s">
        <v>394</v>
      </c>
    </row>
    <row r="8" spans="1:85" s="65" customFormat="1">
      <c r="A8" s="76" t="s">
        <v>580</v>
      </c>
      <c r="B8" s="285" t="s">
        <v>231</v>
      </c>
      <c r="C8" s="40"/>
      <c r="D8" s="65">
        <f>P8</f>
        <v>0.3</v>
      </c>
      <c r="E8" s="65">
        <f t="shared" ref="E8:O8" si="14">D8</f>
        <v>0.3</v>
      </c>
      <c r="F8" s="65">
        <f t="shared" si="14"/>
        <v>0.3</v>
      </c>
      <c r="G8" s="65">
        <f t="shared" si="14"/>
        <v>0.3</v>
      </c>
      <c r="H8" s="65">
        <f t="shared" si="14"/>
        <v>0.3</v>
      </c>
      <c r="I8" s="65">
        <f t="shared" si="14"/>
        <v>0.3</v>
      </c>
      <c r="J8" s="65">
        <f t="shared" si="14"/>
        <v>0.3</v>
      </c>
      <c r="K8" s="65">
        <f t="shared" si="14"/>
        <v>0.3</v>
      </c>
      <c r="L8" s="65">
        <f t="shared" si="14"/>
        <v>0.3</v>
      </c>
      <c r="M8" s="65">
        <f t="shared" si="14"/>
        <v>0.3</v>
      </c>
      <c r="N8" s="65">
        <f t="shared" si="14"/>
        <v>0.3</v>
      </c>
      <c r="O8" s="65">
        <f t="shared" si="14"/>
        <v>0.3</v>
      </c>
      <c r="P8" s="426">
        <f>Funnel!E85</f>
        <v>0.3</v>
      </c>
      <c r="Q8" s="65">
        <f>AC8</f>
        <v>0.35</v>
      </c>
      <c r="R8" s="65">
        <f t="shared" ref="R8:AB8" si="15">Q8</f>
        <v>0.35</v>
      </c>
      <c r="S8" s="65">
        <f t="shared" si="15"/>
        <v>0.35</v>
      </c>
      <c r="T8" s="65">
        <f t="shared" si="15"/>
        <v>0.35</v>
      </c>
      <c r="U8" s="65">
        <f t="shared" si="15"/>
        <v>0.35</v>
      </c>
      <c r="V8" s="65">
        <f t="shared" si="15"/>
        <v>0.35</v>
      </c>
      <c r="W8" s="65">
        <f t="shared" si="15"/>
        <v>0.35</v>
      </c>
      <c r="X8" s="65">
        <f t="shared" si="15"/>
        <v>0.35</v>
      </c>
      <c r="Y8" s="65">
        <f t="shared" si="15"/>
        <v>0.35</v>
      </c>
      <c r="Z8" s="65">
        <f t="shared" si="15"/>
        <v>0.35</v>
      </c>
      <c r="AA8" s="65">
        <f t="shared" si="15"/>
        <v>0.35</v>
      </c>
      <c r="AB8" s="65">
        <f t="shared" si="15"/>
        <v>0.35</v>
      </c>
      <c r="AC8" s="426">
        <f>Funnel!F85</f>
        <v>0.35</v>
      </c>
      <c r="AD8" s="65">
        <f>AP8</f>
        <v>0.39999999999999997</v>
      </c>
      <c r="AE8" s="65">
        <f t="shared" ref="AE8:AO8" si="16">AD8</f>
        <v>0.39999999999999997</v>
      </c>
      <c r="AF8" s="65">
        <f t="shared" si="16"/>
        <v>0.39999999999999997</v>
      </c>
      <c r="AG8" s="65">
        <f t="shared" si="16"/>
        <v>0.39999999999999997</v>
      </c>
      <c r="AH8" s="65">
        <f t="shared" si="16"/>
        <v>0.39999999999999997</v>
      </c>
      <c r="AI8" s="65">
        <f t="shared" si="16"/>
        <v>0.39999999999999997</v>
      </c>
      <c r="AJ8" s="65">
        <f t="shared" si="16"/>
        <v>0.39999999999999997</v>
      </c>
      <c r="AK8" s="65">
        <f t="shared" si="16"/>
        <v>0.39999999999999997</v>
      </c>
      <c r="AL8" s="65">
        <f t="shared" si="16"/>
        <v>0.39999999999999997</v>
      </c>
      <c r="AM8" s="65">
        <f t="shared" si="16"/>
        <v>0.39999999999999997</v>
      </c>
      <c r="AN8" s="65">
        <f t="shared" si="16"/>
        <v>0.39999999999999997</v>
      </c>
      <c r="AO8" s="65">
        <f t="shared" si="16"/>
        <v>0.39999999999999997</v>
      </c>
      <c r="AP8" s="426">
        <f>Funnel!G85</f>
        <v>0.39999999999999997</v>
      </c>
      <c r="AQ8" s="65">
        <f>BC8</f>
        <v>0.39999999999999997</v>
      </c>
      <c r="AR8" s="65">
        <f t="shared" ref="AR8:BB8" si="17">AQ8</f>
        <v>0.39999999999999997</v>
      </c>
      <c r="AS8" s="65">
        <f t="shared" si="17"/>
        <v>0.39999999999999997</v>
      </c>
      <c r="AT8" s="65">
        <f t="shared" si="17"/>
        <v>0.39999999999999997</v>
      </c>
      <c r="AU8" s="65">
        <f t="shared" si="17"/>
        <v>0.39999999999999997</v>
      </c>
      <c r="AV8" s="65">
        <f t="shared" si="17"/>
        <v>0.39999999999999997</v>
      </c>
      <c r="AW8" s="65">
        <f t="shared" si="17"/>
        <v>0.39999999999999997</v>
      </c>
      <c r="AX8" s="65">
        <f t="shared" si="17"/>
        <v>0.39999999999999997</v>
      </c>
      <c r="AY8" s="65">
        <f t="shared" si="17"/>
        <v>0.39999999999999997</v>
      </c>
      <c r="AZ8" s="65">
        <f t="shared" si="17"/>
        <v>0.39999999999999997</v>
      </c>
      <c r="BA8" s="65">
        <f t="shared" si="17"/>
        <v>0.39999999999999997</v>
      </c>
      <c r="BB8" s="65">
        <f t="shared" si="17"/>
        <v>0.39999999999999997</v>
      </c>
      <c r="BC8" s="426">
        <f>Funnel!H85</f>
        <v>0.39999999999999997</v>
      </c>
      <c r="BD8" s="65">
        <f>BP8</f>
        <v>0.39999999999999997</v>
      </c>
      <c r="BE8" s="65">
        <f t="shared" ref="BE8:BO8" si="18">BD8</f>
        <v>0.39999999999999997</v>
      </c>
      <c r="BF8" s="65">
        <f t="shared" si="18"/>
        <v>0.39999999999999997</v>
      </c>
      <c r="BG8" s="65">
        <f t="shared" si="18"/>
        <v>0.39999999999999997</v>
      </c>
      <c r="BH8" s="65">
        <f t="shared" si="18"/>
        <v>0.39999999999999997</v>
      </c>
      <c r="BI8" s="65">
        <f t="shared" si="18"/>
        <v>0.39999999999999997</v>
      </c>
      <c r="BJ8" s="65">
        <f t="shared" si="18"/>
        <v>0.39999999999999997</v>
      </c>
      <c r="BK8" s="65">
        <f t="shared" si="18"/>
        <v>0.39999999999999997</v>
      </c>
      <c r="BL8" s="65">
        <f t="shared" si="18"/>
        <v>0.39999999999999997</v>
      </c>
      <c r="BM8" s="65">
        <f t="shared" si="18"/>
        <v>0.39999999999999997</v>
      </c>
      <c r="BN8" s="65">
        <f t="shared" si="18"/>
        <v>0.39999999999999997</v>
      </c>
      <c r="BO8" s="65">
        <f t="shared" si="18"/>
        <v>0.39999999999999997</v>
      </c>
      <c r="BP8" s="426">
        <f>Funnel!I85</f>
        <v>0.39999999999999997</v>
      </c>
      <c r="CF8" s="76" t="s">
        <v>952</v>
      </c>
      <c r="CG8" s="285" t="s">
        <v>231</v>
      </c>
    </row>
    <row r="9" spans="1:85" s="3" customFormat="1">
      <c r="A9" s="3" t="s">
        <v>727</v>
      </c>
      <c r="B9" s="12" t="s">
        <v>496</v>
      </c>
      <c r="C9" s="5"/>
      <c r="D9" s="3">
        <f t="shared" ref="D9:O9" si="19">D7*D8</f>
        <v>0</v>
      </c>
      <c r="E9" s="3">
        <f t="shared" si="19"/>
        <v>0</v>
      </c>
      <c r="F9" s="3">
        <f t="shared" si="19"/>
        <v>0</v>
      </c>
      <c r="G9" s="3">
        <f t="shared" si="19"/>
        <v>0</v>
      </c>
      <c r="H9" s="3">
        <f t="shared" si="19"/>
        <v>0</v>
      </c>
      <c r="I9" s="3">
        <f t="shared" si="19"/>
        <v>0</v>
      </c>
      <c r="J9" s="3">
        <f t="shared" si="19"/>
        <v>0</v>
      </c>
      <c r="K9" s="3">
        <f t="shared" si="19"/>
        <v>0</v>
      </c>
      <c r="L9" s="3">
        <f t="shared" si="19"/>
        <v>0</v>
      </c>
      <c r="M9" s="3">
        <f t="shared" si="19"/>
        <v>0</v>
      </c>
      <c r="N9" s="3">
        <f t="shared" si="19"/>
        <v>0</v>
      </c>
      <c r="O9" s="3">
        <f t="shared" si="19"/>
        <v>0</v>
      </c>
      <c r="P9" s="397">
        <f>SUM(D9:O9)</f>
        <v>0</v>
      </c>
      <c r="Q9" s="3">
        <f t="shared" ref="Q9:AB9" si="20">Q7*Q8</f>
        <v>0</v>
      </c>
      <c r="R9" s="3">
        <f t="shared" si="20"/>
        <v>0</v>
      </c>
      <c r="S9" s="3">
        <f t="shared" si="20"/>
        <v>0</v>
      </c>
      <c r="T9" s="3">
        <f t="shared" si="20"/>
        <v>0</v>
      </c>
      <c r="U9" s="3">
        <f t="shared" si="20"/>
        <v>0</v>
      </c>
      <c r="V9" s="3">
        <f t="shared" si="20"/>
        <v>0</v>
      </c>
      <c r="W9" s="3">
        <f t="shared" si="20"/>
        <v>3330.4244407541319</v>
      </c>
      <c r="X9" s="3">
        <f t="shared" si="20"/>
        <v>3474.4919048709316</v>
      </c>
      <c r="Y9" s="3">
        <f t="shared" si="20"/>
        <v>3618.5593689877314</v>
      </c>
      <c r="Z9" s="3">
        <f t="shared" si="20"/>
        <v>3762.6268331045317</v>
      </c>
      <c r="AA9" s="3">
        <f t="shared" si="20"/>
        <v>3906.6942972213315</v>
      </c>
      <c r="AB9" s="3">
        <f t="shared" si="20"/>
        <v>3887.2257209893464</v>
      </c>
      <c r="AC9" s="397">
        <f>SUM(Q9:AB9)</f>
        <v>21980.022565928008</v>
      </c>
      <c r="AD9" s="3">
        <f t="shared" ref="AD9:AO9" si="21">AD7*AD8</f>
        <v>3779.2970819839993</v>
      </c>
      <c r="AE9" s="3">
        <f t="shared" si="21"/>
        <v>4000.0875957209591</v>
      </c>
      <c r="AF9" s="3">
        <f t="shared" si="21"/>
        <v>4220.8781094579199</v>
      </c>
      <c r="AG9" s="3">
        <f t="shared" si="21"/>
        <v>4441.6686231948788</v>
      </c>
      <c r="AH9" s="3">
        <f t="shared" si="21"/>
        <v>4662.4591369318387</v>
      </c>
      <c r="AI9" s="3">
        <f t="shared" si="21"/>
        <v>4883.2496506687985</v>
      </c>
      <c r="AJ9" s="3">
        <f t="shared" si="21"/>
        <v>5104.0401644057583</v>
      </c>
      <c r="AK9" s="3">
        <f t="shared" si="21"/>
        <v>5324.8306781427173</v>
      </c>
      <c r="AL9" s="3">
        <f t="shared" si="21"/>
        <v>5545.6211918796771</v>
      </c>
      <c r="AM9" s="3">
        <f t="shared" si="21"/>
        <v>5766.4117056166369</v>
      </c>
      <c r="AN9" s="3">
        <f t="shared" si="21"/>
        <v>5987.2022193535977</v>
      </c>
      <c r="AO9" s="3">
        <f t="shared" si="21"/>
        <v>5957.36566344322</v>
      </c>
      <c r="AP9" s="397">
        <f>SUM(AD9:AO9)</f>
        <v>59673.11182079999</v>
      </c>
      <c r="AQ9" s="3">
        <f t="shared" ref="AQ9:BB9" si="22">AQ7*AQ8</f>
        <v>4257.5177043135991</v>
      </c>
      <c r="AR9" s="3">
        <f t="shared" si="22"/>
        <v>4506.2463701971828</v>
      </c>
      <c r="AS9" s="3">
        <f t="shared" si="22"/>
        <v>4754.9750360807666</v>
      </c>
      <c r="AT9" s="3">
        <f t="shared" si="22"/>
        <v>5003.7037019643503</v>
      </c>
      <c r="AU9" s="3">
        <f t="shared" si="22"/>
        <v>5252.4323678479341</v>
      </c>
      <c r="AV9" s="3">
        <f t="shared" si="22"/>
        <v>5501.1610337315169</v>
      </c>
      <c r="AW9" s="3">
        <f t="shared" si="22"/>
        <v>5749.8896996151007</v>
      </c>
      <c r="AX9" s="3">
        <f t="shared" si="22"/>
        <v>5998.6183654986844</v>
      </c>
      <c r="AY9" s="3">
        <f t="shared" si="22"/>
        <v>6247.3470313822681</v>
      </c>
      <c r="AZ9" s="3">
        <f t="shared" si="22"/>
        <v>6496.0756972658519</v>
      </c>
      <c r="BA9" s="3">
        <f t="shared" si="22"/>
        <v>6744.8043631494356</v>
      </c>
      <c r="BB9" s="3">
        <f t="shared" si="22"/>
        <v>6711.1923812733012</v>
      </c>
      <c r="BC9" s="397">
        <f>SUM(AQ9:BB9)</f>
        <v>67223.963752319993</v>
      </c>
      <c r="BD9" s="3">
        <f t="shared" ref="BD9:BO9" si="23">BD7*BD8</f>
        <v>4865.8517395318395</v>
      </c>
      <c r="BE9" s="3">
        <f t="shared" si="23"/>
        <v>5150.1199201044883</v>
      </c>
      <c r="BF9" s="3">
        <f t="shared" si="23"/>
        <v>5434.3881006771371</v>
      </c>
      <c r="BG9" s="3">
        <f t="shared" si="23"/>
        <v>5718.6562812497859</v>
      </c>
      <c r="BH9" s="3">
        <f t="shared" si="23"/>
        <v>6002.9244618224357</v>
      </c>
      <c r="BI9" s="3">
        <f t="shared" si="23"/>
        <v>6287.1926423950854</v>
      </c>
      <c r="BJ9" s="3">
        <f t="shared" si="23"/>
        <v>6571.4608229677351</v>
      </c>
      <c r="BK9" s="3">
        <f t="shared" si="23"/>
        <v>6855.7290035403839</v>
      </c>
      <c r="BL9" s="3">
        <f t="shared" si="23"/>
        <v>7139.9971841130327</v>
      </c>
      <c r="BM9" s="3">
        <f t="shared" si="23"/>
        <v>7424.2653646856816</v>
      </c>
      <c r="BN9" s="3">
        <f t="shared" si="23"/>
        <v>7708.5335452583304</v>
      </c>
      <c r="BO9" s="3">
        <f t="shared" si="23"/>
        <v>7670.1189262620555</v>
      </c>
      <c r="BP9" s="397">
        <f>SUM(BD9:BO9)</f>
        <v>76829.237992607988</v>
      </c>
      <c r="CF9" s="3" t="s">
        <v>950</v>
      </c>
      <c r="CG9" s="12" t="s">
        <v>394</v>
      </c>
    </row>
    <row r="10" spans="1:85" s="65" customFormat="1">
      <c r="A10" s="76" t="s">
        <v>697</v>
      </c>
      <c r="B10" s="285" t="s">
        <v>231</v>
      </c>
      <c r="C10" s="40"/>
      <c r="D10" s="65">
        <f>P10</f>
        <v>0.7</v>
      </c>
      <c r="E10" s="65">
        <f t="shared" ref="E10:O10" si="24">D10</f>
        <v>0.7</v>
      </c>
      <c r="F10" s="65">
        <f t="shared" si="24"/>
        <v>0.7</v>
      </c>
      <c r="G10" s="65">
        <f t="shared" si="24"/>
        <v>0.7</v>
      </c>
      <c r="H10" s="65">
        <f t="shared" si="24"/>
        <v>0.7</v>
      </c>
      <c r="I10" s="65">
        <f t="shared" si="24"/>
        <v>0.7</v>
      </c>
      <c r="J10" s="65">
        <f t="shared" si="24"/>
        <v>0.7</v>
      </c>
      <c r="K10" s="65">
        <f t="shared" si="24"/>
        <v>0.7</v>
      </c>
      <c r="L10" s="65">
        <f t="shared" si="24"/>
        <v>0.7</v>
      </c>
      <c r="M10" s="65">
        <f t="shared" si="24"/>
        <v>0.7</v>
      </c>
      <c r="N10" s="65">
        <f t="shared" si="24"/>
        <v>0.7</v>
      </c>
      <c r="O10" s="65">
        <f t="shared" si="24"/>
        <v>0.7</v>
      </c>
      <c r="P10" s="358">
        <f>'packages (indiv)'!P100</f>
        <v>0.7</v>
      </c>
      <c r="Q10" s="357">
        <f>AC10</f>
        <v>0.7</v>
      </c>
      <c r="R10" s="357">
        <f t="shared" ref="R10:AB10" si="25">Q10</f>
        <v>0.7</v>
      </c>
      <c r="S10" s="357">
        <f t="shared" si="25"/>
        <v>0.7</v>
      </c>
      <c r="T10" s="357">
        <f t="shared" si="25"/>
        <v>0.7</v>
      </c>
      <c r="U10" s="357">
        <f t="shared" si="25"/>
        <v>0.7</v>
      </c>
      <c r="V10" s="357">
        <f t="shared" si="25"/>
        <v>0.7</v>
      </c>
      <c r="W10" s="357">
        <f t="shared" si="25"/>
        <v>0.7</v>
      </c>
      <c r="X10" s="357">
        <f t="shared" si="25"/>
        <v>0.7</v>
      </c>
      <c r="Y10" s="357">
        <f t="shared" si="25"/>
        <v>0.7</v>
      </c>
      <c r="Z10" s="357">
        <f t="shared" si="25"/>
        <v>0.7</v>
      </c>
      <c r="AA10" s="357">
        <f t="shared" si="25"/>
        <v>0.7</v>
      </c>
      <c r="AB10" s="357">
        <f t="shared" si="25"/>
        <v>0.7</v>
      </c>
      <c r="AC10" s="358">
        <f>'packages (indiv)'!AC100</f>
        <v>0.7</v>
      </c>
      <c r="AD10" s="357">
        <f>AP10</f>
        <v>0.7</v>
      </c>
      <c r="AE10" s="357">
        <f t="shared" ref="AE10:AO10" si="26">AD10</f>
        <v>0.7</v>
      </c>
      <c r="AF10" s="357">
        <f t="shared" si="26"/>
        <v>0.7</v>
      </c>
      <c r="AG10" s="357">
        <f t="shared" si="26"/>
        <v>0.7</v>
      </c>
      <c r="AH10" s="357">
        <f t="shared" si="26"/>
        <v>0.7</v>
      </c>
      <c r="AI10" s="357">
        <f t="shared" si="26"/>
        <v>0.7</v>
      </c>
      <c r="AJ10" s="357">
        <f t="shared" si="26"/>
        <v>0.7</v>
      </c>
      <c r="AK10" s="357">
        <f t="shared" si="26"/>
        <v>0.7</v>
      </c>
      <c r="AL10" s="357">
        <f t="shared" si="26"/>
        <v>0.7</v>
      </c>
      <c r="AM10" s="357">
        <f t="shared" si="26"/>
        <v>0.7</v>
      </c>
      <c r="AN10" s="357">
        <f t="shared" si="26"/>
        <v>0.7</v>
      </c>
      <c r="AO10" s="357">
        <f t="shared" si="26"/>
        <v>0.7</v>
      </c>
      <c r="AP10" s="358">
        <f>'packages (indiv)'!AP100</f>
        <v>0.7</v>
      </c>
      <c r="AQ10" s="357">
        <f>BC10</f>
        <v>0.7</v>
      </c>
      <c r="AR10" s="357">
        <f t="shared" ref="AR10:BB10" si="27">AQ10</f>
        <v>0.7</v>
      </c>
      <c r="AS10" s="357">
        <f t="shared" si="27"/>
        <v>0.7</v>
      </c>
      <c r="AT10" s="357">
        <f t="shared" si="27"/>
        <v>0.7</v>
      </c>
      <c r="AU10" s="357">
        <f t="shared" si="27"/>
        <v>0.7</v>
      </c>
      <c r="AV10" s="357">
        <f t="shared" si="27"/>
        <v>0.7</v>
      </c>
      <c r="AW10" s="357">
        <f t="shared" si="27"/>
        <v>0.7</v>
      </c>
      <c r="AX10" s="357">
        <f t="shared" si="27"/>
        <v>0.7</v>
      </c>
      <c r="AY10" s="357">
        <f t="shared" si="27"/>
        <v>0.7</v>
      </c>
      <c r="AZ10" s="357">
        <f t="shared" si="27"/>
        <v>0.7</v>
      </c>
      <c r="BA10" s="357">
        <f t="shared" si="27"/>
        <v>0.7</v>
      </c>
      <c r="BB10" s="357">
        <f t="shared" si="27"/>
        <v>0.7</v>
      </c>
      <c r="BC10" s="358">
        <f>'packages (indiv)'!BC100</f>
        <v>0.7</v>
      </c>
      <c r="BD10" s="357">
        <f>BP10</f>
        <v>0.7</v>
      </c>
      <c r="BE10" s="357">
        <f t="shared" ref="BE10:BO10" si="28">BD10</f>
        <v>0.7</v>
      </c>
      <c r="BF10" s="357">
        <f t="shared" si="28"/>
        <v>0.7</v>
      </c>
      <c r="BG10" s="357">
        <f t="shared" si="28"/>
        <v>0.7</v>
      </c>
      <c r="BH10" s="357">
        <f t="shared" si="28"/>
        <v>0.7</v>
      </c>
      <c r="BI10" s="357">
        <f t="shared" si="28"/>
        <v>0.7</v>
      </c>
      <c r="BJ10" s="357">
        <f t="shared" si="28"/>
        <v>0.7</v>
      </c>
      <c r="BK10" s="357">
        <f t="shared" si="28"/>
        <v>0.7</v>
      </c>
      <c r="BL10" s="357">
        <f t="shared" si="28"/>
        <v>0.7</v>
      </c>
      <c r="BM10" s="357">
        <f t="shared" si="28"/>
        <v>0.7</v>
      </c>
      <c r="BN10" s="357">
        <f t="shared" si="28"/>
        <v>0.7</v>
      </c>
      <c r="BO10" s="357">
        <f t="shared" si="28"/>
        <v>0.7</v>
      </c>
      <c r="BP10" s="358">
        <f>'packages (indiv)'!BP100</f>
        <v>0.7</v>
      </c>
      <c r="CF10" s="76" t="s">
        <v>951</v>
      </c>
      <c r="CG10" s="285" t="s">
        <v>231</v>
      </c>
    </row>
    <row r="11" spans="1:85" s="3" customFormat="1">
      <c r="A11" s="3" t="s">
        <v>662</v>
      </c>
      <c r="B11" s="12" t="s">
        <v>496</v>
      </c>
      <c r="C11" s="5"/>
      <c r="D11" s="3">
        <f t="shared" ref="D11:O11" si="29">D9*D10</f>
        <v>0</v>
      </c>
      <c r="E11" s="3">
        <f t="shared" si="29"/>
        <v>0</v>
      </c>
      <c r="F11" s="3">
        <f t="shared" si="29"/>
        <v>0</v>
      </c>
      <c r="G11" s="3">
        <f t="shared" si="29"/>
        <v>0</v>
      </c>
      <c r="H11" s="3">
        <f t="shared" si="29"/>
        <v>0</v>
      </c>
      <c r="I11" s="3">
        <f t="shared" si="29"/>
        <v>0</v>
      </c>
      <c r="J11" s="3">
        <f t="shared" si="29"/>
        <v>0</v>
      </c>
      <c r="K11" s="3">
        <f t="shared" si="29"/>
        <v>0</v>
      </c>
      <c r="L11" s="3">
        <f t="shared" si="29"/>
        <v>0</v>
      </c>
      <c r="M11" s="3">
        <f t="shared" si="29"/>
        <v>0</v>
      </c>
      <c r="N11" s="3">
        <f t="shared" si="29"/>
        <v>0</v>
      </c>
      <c r="O11" s="3">
        <f t="shared" si="29"/>
        <v>0</v>
      </c>
      <c r="P11" s="397">
        <f>SUM(D11:O11)</f>
        <v>0</v>
      </c>
      <c r="Q11" s="3">
        <f t="shared" ref="Q11:AB11" si="30">Q9*Q10</f>
        <v>0</v>
      </c>
      <c r="R11" s="3">
        <f t="shared" si="30"/>
        <v>0</v>
      </c>
      <c r="S11" s="3">
        <f t="shared" si="30"/>
        <v>0</v>
      </c>
      <c r="T11" s="3">
        <f t="shared" si="30"/>
        <v>0</v>
      </c>
      <c r="U11" s="3">
        <f t="shared" si="30"/>
        <v>0</v>
      </c>
      <c r="V11" s="3">
        <f t="shared" si="30"/>
        <v>0</v>
      </c>
      <c r="W11" s="3">
        <f t="shared" si="30"/>
        <v>2331.2971085278923</v>
      </c>
      <c r="X11" s="3">
        <f t="shared" si="30"/>
        <v>2432.1443334096521</v>
      </c>
      <c r="Y11" s="3">
        <f t="shared" si="30"/>
        <v>2532.9915582914118</v>
      </c>
      <c r="Z11" s="3">
        <f t="shared" si="30"/>
        <v>2633.838783173172</v>
      </c>
      <c r="AA11" s="3">
        <f t="shared" si="30"/>
        <v>2734.6860080549318</v>
      </c>
      <c r="AB11" s="3">
        <f t="shared" si="30"/>
        <v>2721.0580046925425</v>
      </c>
      <c r="AC11" s="397">
        <f>SUM(Q11:AB11)</f>
        <v>15386.015796149602</v>
      </c>
      <c r="AD11" s="3">
        <f t="shared" ref="AD11:AO11" si="31">AD9*AD10</f>
        <v>2645.5079573887992</v>
      </c>
      <c r="AE11" s="3">
        <f t="shared" si="31"/>
        <v>2800.0613170046713</v>
      </c>
      <c r="AF11" s="3">
        <f t="shared" si="31"/>
        <v>2954.6146766205438</v>
      </c>
      <c r="AG11" s="3">
        <f t="shared" si="31"/>
        <v>3109.168036236415</v>
      </c>
      <c r="AH11" s="3">
        <f t="shared" si="31"/>
        <v>3263.7213958522871</v>
      </c>
      <c r="AI11" s="3">
        <f t="shared" si="31"/>
        <v>3418.2747554681587</v>
      </c>
      <c r="AJ11" s="3">
        <f t="shared" si="31"/>
        <v>3572.8281150840307</v>
      </c>
      <c r="AK11" s="3">
        <f t="shared" si="31"/>
        <v>3727.3814746999019</v>
      </c>
      <c r="AL11" s="3">
        <f t="shared" si="31"/>
        <v>3881.9348343157735</v>
      </c>
      <c r="AM11" s="3">
        <f t="shared" si="31"/>
        <v>4036.4881939316456</v>
      </c>
      <c r="AN11" s="3">
        <f t="shared" si="31"/>
        <v>4191.0415535475186</v>
      </c>
      <c r="AO11" s="3">
        <f t="shared" si="31"/>
        <v>4170.1559644102535</v>
      </c>
      <c r="AP11" s="397">
        <f>SUM(AD11:AO11)</f>
        <v>41771.178274559999</v>
      </c>
      <c r="AQ11" s="3">
        <f t="shared" ref="AQ11:BB11" si="32">AQ9*AQ10</f>
        <v>2980.2623930195191</v>
      </c>
      <c r="AR11" s="3">
        <f t="shared" si="32"/>
        <v>3154.3724591380278</v>
      </c>
      <c r="AS11" s="3">
        <f t="shared" si="32"/>
        <v>3328.4825252565365</v>
      </c>
      <c r="AT11" s="3">
        <f t="shared" si="32"/>
        <v>3502.5925913750452</v>
      </c>
      <c r="AU11" s="3">
        <f t="shared" si="32"/>
        <v>3676.7026574935535</v>
      </c>
      <c r="AV11" s="3">
        <f t="shared" si="32"/>
        <v>3850.8127236120617</v>
      </c>
      <c r="AW11" s="3">
        <f t="shared" si="32"/>
        <v>4024.92278973057</v>
      </c>
      <c r="AX11" s="3">
        <f t="shared" si="32"/>
        <v>4199.0328558490792</v>
      </c>
      <c r="AY11" s="3">
        <f t="shared" si="32"/>
        <v>4373.1429219675874</v>
      </c>
      <c r="AZ11" s="3">
        <f t="shared" si="32"/>
        <v>4547.2529880860957</v>
      </c>
      <c r="BA11" s="3">
        <f t="shared" si="32"/>
        <v>4721.3630542046049</v>
      </c>
      <c r="BB11" s="3">
        <f t="shared" si="32"/>
        <v>4697.8346668913109</v>
      </c>
      <c r="BC11" s="397">
        <f>SUM(AQ11:BB11)</f>
        <v>47056.774626623999</v>
      </c>
      <c r="BD11" s="3">
        <f t="shared" ref="BD11:BO11" si="33">BD9*BD10</f>
        <v>3406.0962176722874</v>
      </c>
      <c r="BE11" s="3">
        <f t="shared" si="33"/>
        <v>3605.0839440731415</v>
      </c>
      <c r="BF11" s="3">
        <f t="shared" si="33"/>
        <v>3804.0716704739957</v>
      </c>
      <c r="BG11" s="3">
        <f t="shared" si="33"/>
        <v>4003.0593968748499</v>
      </c>
      <c r="BH11" s="3">
        <f t="shared" si="33"/>
        <v>4202.0471232757045</v>
      </c>
      <c r="BI11" s="3">
        <f t="shared" si="33"/>
        <v>4401.0348496765591</v>
      </c>
      <c r="BJ11" s="3">
        <f t="shared" si="33"/>
        <v>4600.0225760774147</v>
      </c>
      <c r="BK11" s="3">
        <f t="shared" si="33"/>
        <v>4799.0103024782684</v>
      </c>
      <c r="BL11" s="3">
        <f t="shared" si="33"/>
        <v>4997.998028879123</v>
      </c>
      <c r="BM11" s="3">
        <f t="shared" si="33"/>
        <v>5196.9857552799767</v>
      </c>
      <c r="BN11" s="3">
        <f t="shared" si="33"/>
        <v>5395.9734816808314</v>
      </c>
      <c r="BO11" s="3">
        <f t="shared" si="33"/>
        <v>5369.0832483834383</v>
      </c>
      <c r="BP11" s="397">
        <f>SUM(BD11:BO11)</f>
        <v>53780.466594825601</v>
      </c>
      <c r="CF11" s="3" t="s">
        <v>953</v>
      </c>
      <c r="CG11" s="12" t="s">
        <v>394</v>
      </c>
    </row>
    <row r="12" spans="1:85" s="65" customFormat="1">
      <c r="A12" s="76" t="s">
        <v>696</v>
      </c>
      <c r="B12" s="285" t="s">
        <v>231</v>
      </c>
      <c r="C12" s="40"/>
      <c r="D12" s="65">
        <f>P12</f>
        <v>1</v>
      </c>
      <c r="E12" s="65">
        <f t="shared" ref="E12:O12" si="34">D12</f>
        <v>1</v>
      </c>
      <c r="F12" s="65">
        <f t="shared" si="34"/>
        <v>1</v>
      </c>
      <c r="G12" s="65">
        <f t="shared" si="34"/>
        <v>1</v>
      </c>
      <c r="H12" s="65">
        <f t="shared" si="34"/>
        <v>1</v>
      </c>
      <c r="I12" s="65">
        <f t="shared" si="34"/>
        <v>1</v>
      </c>
      <c r="J12" s="65">
        <f t="shared" si="34"/>
        <v>1</v>
      </c>
      <c r="K12" s="65">
        <f t="shared" si="34"/>
        <v>1</v>
      </c>
      <c r="L12" s="65">
        <f t="shared" si="34"/>
        <v>1</v>
      </c>
      <c r="M12" s="65">
        <f t="shared" si="34"/>
        <v>1</v>
      </c>
      <c r="N12" s="65">
        <f t="shared" si="34"/>
        <v>1</v>
      </c>
      <c r="O12" s="65">
        <f t="shared" si="34"/>
        <v>1</v>
      </c>
      <c r="P12" s="358">
        <f>'packages (indiv)'!P101</f>
        <v>1</v>
      </c>
      <c r="Q12" s="357">
        <f>AC12</f>
        <v>1</v>
      </c>
      <c r="R12" s="357">
        <f t="shared" ref="R12:AB12" si="35">Q12</f>
        <v>1</v>
      </c>
      <c r="S12" s="357">
        <f t="shared" si="35"/>
        <v>1</v>
      </c>
      <c r="T12" s="357">
        <f t="shared" si="35"/>
        <v>1</v>
      </c>
      <c r="U12" s="357">
        <f t="shared" si="35"/>
        <v>1</v>
      </c>
      <c r="V12" s="357">
        <f t="shared" si="35"/>
        <v>1</v>
      </c>
      <c r="W12" s="357">
        <f t="shared" si="35"/>
        <v>1</v>
      </c>
      <c r="X12" s="357">
        <f t="shared" si="35"/>
        <v>1</v>
      </c>
      <c r="Y12" s="357">
        <f t="shared" si="35"/>
        <v>1</v>
      </c>
      <c r="Z12" s="357">
        <f t="shared" si="35"/>
        <v>1</v>
      </c>
      <c r="AA12" s="357">
        <f t="shared" si="35"/>
        <v>1</v>
      </c>
      <c r="AB12" s="357">
        <f t="shared" si="35"/>
        <v>1</v>
      </c>
      <c r="AC12" s="358">
        <f>'packages (indiv)'!AC101</f>
        <v>1</v>
      </c>
      <c r="AD12" s="357">
        <f>AP12</f>
        <v>1</v>
      </c>
      <c r="AE12" s="357">
        <f t="shared" ref="AE12:AO12" si="36">AD12</f>
        <v>1</v>
      </c>
      <c r="AF12" s="357">
        <f t="shared" si="36"/>
        <v>1</v>
      </c>
      <c r="AG12" s="357">
        <f t="shared" si="36"/>
        <v>1</v>
      </c>
      <c r="AH12" s="357">
        <f t="shared" si="36"/>
        <v>1</v>
      </c>
      <c r="AI12" s="357">
        <f t="shared" si="36"/>
        <v>1</v>
      </c>
      <c r="AJ12" s="357">
        <f t="shared" si="36"/>
        <v>1</v>
      </c>
      <c r="AK12" s="357">
        <f t="shared" si="36"/>
        <v>1</v>
      </c>
      <c r="AL12" s="357">
        <f t="shared" si="36"/>
        <v>1</v>
      </c>
      <c r="AM12" s="357">
        <f t="shared" si="36"/>
        <v>1</v>
      </c>
      <c r="AN12" s="357">
        <f t="shared" si="36"/>
        <v>1</v>
      </c>
      <c r="AO12" s="357">
        <f t="shared" si="36"/>
        <v>1</v>
      </c>
      <c r="AP12" s="358">
        <f>'packages (indiv)'!AP101</f>
        <v>1</v>
      </c>
      <c r="AQ12" s="357">
        <f>BC12</f>
        <v>1</v>
      </c>
      <c r="AR12" s="357">
        <f t="shared" ref="AR12:BB12" si="37">AQ12</f>
        <v>1</v>
      </c>
      <c r="AS12" s="357">
        <f t="shared" si="37"/>
        <v>1</v>
      </c>
      <c r="AT12" s="357">
        <f t="shared" si="37"/>
        <v>1</v>
      </c>
      <c r="AU12" s="357">
        <f t="shared" si="37"/>
        <v>1</v>
      </c>
      <c r="AV12" s="357">
        <f t="shared" si="37"/>
        <v>1</v>
      </c>
      <c r="AW12" s="357">
        <f t="shared" si="37"/>
        <v>1</v>
      </c>
      <c r="AX12" s="357">
        <f t="shared" si="37"/>
        <v>1</v>
      </c>
      <c r="AY12" s="357">
        <f t="shared" si="37"/>
        <v>1</v>
      </c>
      <c r="AZ12" s="357">
        <f t="shared" si="37"/>
        <v>1</v>
      </c>
      <c r="BA12" s="357">
        <f t="shared" si="37"/>
        <v>1</v>
      </c>
      <c r="BB12" s="357">
        <f t="shared" si="37"/>
        <v>1</v>
      </c>
      <c r="BC12" s="358">
        <f>'packages (indiv)'!BC101</f>
        <v>1</v>
      </c>
      <c r="BD12" s="357">
        <f>BP12</f>
        <v>1</v>
      </c>
      <c r="BE12" s="357">
        <f t="shared" ref="BE12:BO12" si="38">BD12</f>
        <v>1</v>
      </c>
      <c r="BF12" s="357">
        <f t="shared" si="38"/>
        <v>1</v>
      </c>
      <c r="BG12" s="357">
        <f t="shared" si="38"/>
        <v>1</v>
      </c>
      <c r="BH12" s="357">
        <f t="shared" si="38"/>
        <v>1</v>
      </c>
      <c r="BI12" s="357">
        <f t="shared" si="38"/>
        <v>1</v>
      </c>
      <c r="BJ12" s="357">
        <f t="shared" si="38"/>
        <v>1</v>
      </c>
      <c r="BK12" s="357">
        <f t="shared" si="38"/>
        <v>1</v>
      </c>
      <c r="BL12" s="357">
        <f t="shared" si="38"/>
        <v>1</v>
      </c>
      <c r="BM12" s="357">
        <f t="shared" si="38"/>
        <v>1</v>
      </c>
      <c r="BN12" s="357">
        <f t="shared" si="38"/>
        <v>1</v>
      </c>
      <c r="BO12" s="357">
        <f t="shared" si="38"/>
        <v>1</v>
      </c>
      <c r="BP12" s="358">
        <f>'packages (indiv)'!BP101</f>
        <v>1</v>
      </c>
      <c r="CF12" s="76" t="s">
        <v>954</v>
      </c>
      <c r="CG12" s="285" t="s">
        <v>231</v>
      </c>
    </row>
    <row r="13" spans="1:85" s="3" customFormat="1">
      <c r="A13" s="3" t="s">
        <v>660</v>
      </c>
      <c r="B13" s="12" t="s">
        <v>496</v>
      </c>
      <c r="C13" s="5"/>
      <c r="D13" s="3">
        <f t="shared" ref="D13:O13" si="39">D11*D12</f>
        <v>0</v>
      </c>
      <c r="E13" s="3">
        <f t="shared" si="39"/>
        <v>0</v>
      </c>
      <c r="F13" s="3">
        <f t="shared" si="39"/>
        <v>0</v>
      </c>
      <c r="G13" s="3">
        <f t="shared" si="39"/>
        <v>0</v>
      </c>
      <c r="H13" s="3">
        <f t="shared" si="39"/>
        <v>0</v>
      </c>
      <c r="I13" s="3">
        <f t="shared" si="39"/>
        <v>0</v>
      </c>
      <c r="J13" s="3">
        <f t="shared" si="39"/>
        <v>0</v>
      </c>
      <c r="K13" s="3">
        <f t="shared" si="39"/>
        <v>0</v>
      </c>
      <c r="L13" s="3">
        <f t="shared" si="39"/>
        <v>0</v>
      </c>
      <c r="M13" s="3">
        <f t="shared" si="39"/>
        <v>0</v>
      </c>
      <c r="N13" s="3">
        <f t="shared" si="39"/>
        <v>0</v>
      </c>
      <c r="O13" s="3">
        <f t="shared" si="39"/>
        <v>0</v>
      </c>
      <c r="P13" s="397">
        <f>SUM(D13:O13)</f>
        <v>0</v>
      </c>
      <c r="Q13" s="3">
        <f t="shared" ref="Q13:AB13" si="40">Q11*Q12</f>
        <v>0</v>
      </c>
      <c r="R13" s="3">
        <f t="shared" si="40"/>
        <v>0</v>
      </c>
      <c r="S13" s="3">
        <f t="shared" si="40"/>
        <v>0</v>
      </c>
      <c r="T13" s="3">
        <f t="shared" si="40"/>
        <v>0</v>
      </c>
      <c r="U13" s="3">
        <f t="shared" si="40"/>
        <v>0</v>
      </c>
      <c r="V13" s="3">
        <f t="shared" si="40"/>
        <v>0</v>
      </c>
      <c r="W13" s="3">
        <f t="shared" si="40"/>
        <v>2331.2971085278923</v>
      </c>
      <c r="X13" s="3">
        <f t="shared" si="40"/>
        <v>2432.1443334096521</v>
      </c>
      <c r="Y13" s="3">
        <f t="shared" si="40"/>
        <v>2532.9915582914118</v>
      </c>
      <c r="Z13" s="3">
        <f t="shared" si="40"/>
        <v>2633.838783173172</v>
      </c>
      <c r="AA13" s="3">
        <f t="shared" si="40"/>
        <v>2734.6860080549318</v>
      </c>
      <c r="AB13" s="3">
        <f t="shared" si="40"/>
        <v>2721.0580046925425</v>
      </c>
      <c r="AC13" s="397">
        <f>SUM(Q13:AB13)</f>
        <v>15386.015796149602</v>
      </c>
      <c r="AD13" s="3">
        <f t="shared" ref="AD13:AO13" si="41">AD11*AD12</f>
        <v>2645.5079573887992</v>
      </c>
      <c r="AE13" s="3">
        <f t="shared" si="41"/>
        <v>2800.0613170046713</v>
      </c>
      <c r="AF13" s="3">
        <f t="shared" si="41"/>
        <v>2954.6146766205438</v>
      </c>
      <c r="AG13" s="3">
        <f t="shared" si="41"/>
        <v>3109.168036236415</v>
      </c>
      <c r="AH13" s="3">
        <f t="shared" si="41"/>
        <v>3263.7213958522871</v>
      </c>
      <c r="AI13" s="3">
        <f t="shared" si="41"/>
        <v>3418.2747554681587</v>
      </c>
      <c r="AJ13" s="3">
        <f t="shared" si="41"/>
        <v>3572.8281150840307</v>
      </c>
      <c r="AK13" s="3">
        <f t="shared" si="41"/>
        <v>3727.3814746999019</v>
      </c>
      <c r="AL13" s="3">
        <f t="shared" si="41"/>
        <v>3881.9348343157735</v>
      </c>
      <c r="AM13" s="3">
        <f t="shared" si="41"/>
        <v>4036.4881939316456</v>
      </c>
      <c r="AN13" s="3">
        <f t="shared" si="41"/>
        <v>4191.0415535475186</v>
      </c>
      <c r="AO13" s="3">
        <f t="shared" si="41"/>
        <v>4170.1559644102535</v>
      </c>
      <c r="AP13" s="397">
        <f>SUM(AD13:AO13)</f>
        <v>41771.178274559999</v>
      </c>
      <c r="AQ13" s="3">
        <f t="shared" ref="AQ13:BB13" si="42">AQ11*AQ12</f>
        <v>2980.2623930195191</v>
      </c>
      <c r="AR13" s="3">
        <f t="shared" si="42"/>
        <v>3154.3724591380278</v>
      </c>
      <c r="AS13" s="3">
        <f t="shared" si="42"/>
        <v>3328.4825252565365</v>
      </c>
      <c r="AT13" s="3">
        <f t="shared" si="42"/>
        <v>3502.5925913750452</v>
      </c>
      <c r="AU13" s="3">
        <f t="shared" si="42"/>
        <v>3676.7026574935535</v>
      </c>
      <c r="AV13" s="3">
        <f t="shared" si="42"/>
        <v>3850.8127236120617</v>
      </c>
      <c r="AW13" s="3">
        <f t="shared" si="42"/>
        <v>4024.92278973057</v>
      </c>
      <c r="AX13" s="3">
        <f t="shared" si="42"/>
        <v>4199.0328558490792</v>
      </c>
      <c r="AY13" s="3">
        <f t="shared" si="42"/>
        <v>4373.1429219675874</v>
      </c>
      <c r="AZ13" s="3">
        <f t="shared" si="42"/>
        <v>4547.2529880860957</v>
      </c>
      <c r="BA13" s="3">
        <f t="shared" si="42"/>
        <v>4721.3630542046049</v>
      </c>
      <c r="BB13" s="3">
        <f t="shared" si="42"/>
        <v>4697.8346668913109</v>
      </c>
      <c r="BC13" s="397">
        <f>SUM(AQ13:BB13)</f>
        <v>47056.774626623999</v>
      </c>
      <c r="BD13" s="3">
        <f t="shared" ref="BD13:BO13" si="43">BD11*BD12</f>
        <v>3406.0962176722874</v>
      </c>
      <c r="BE13" s="3">
        <f t="shared" si="43"/>
        <v>3605.0839440731415</v>
      </c>
      <c r="BF13" s="3">
        <f t="shared" si="43"/>
        <v>3804.0716704739957</v>
      </c>
      <c r="BG13" s="3">
        <f t="shared" si="43"/>
        <v>4003.0593968748499</v>
      </c>
      <c r="BH13" s="3">
        <f t="shared" si="43"/>
        <v>4202.0471232757045</v>
      </c>
      <c r="BI13" s="3">
        <f t="shared" si="43"/>
        <v>4401.0348496765591</v>
      </c>
      <c r="BJ13" s="3">
        <f t="shared" si="43"/>
        <v>4600.0225760774147</v>
      </c>
      <c r="BK13" s="3">
        <f t="shared" si="43"/>
        <v>4799.0103024782684</v>
      </c>
      <c r="BL13" s="3">
        <f t="shared" si="43"/>
        <v>4997.998028879123</v>
      </c>
      <c r="BM13" s="3">
        <f t="shared" si="43"/>
        <v>5196.9857552799767</v>
      </c>
      <c r="BN13" s="3">
        <f t="shared" si="43"/>
        <v>5395.9734816808314</v>
      </c>
      <c r="BO13" s="3">
        <f t="shared" si="43"/>
        <v>5369.0832483834383</v>
      </c>
      <c r="BP13" s="397">
        <f>SUM(BD13:BO13)</f>
        <v>53780.466594825601</v>
      </c>
      <c r="CF13" s="3" t="s">
        <v>955</v>
      </c>
      <c r="CG13" s="12" t="s">
        <v>394</v>
      </c>
    </row>
    <row r="14" spans="1:85" s="65" customFormat="1">
      <c r="A14" s="76" t="s">
        <v>578</v>
      </c>
      <c r="B14" s="285" t="s">
        <v>231</v>
      </c>
      <c r="C14" s="40"/>
      <c r="D14" s="65">
        <f>P14</f>
        <v>0.95</v>
      </c>
      <c r="E14" s="65">
        <f t="shared" ref="E14:K14" si="44">D14</f>
        <v>0.95</v>
      </c>
      <c r="F14" s="65">
        <f t="shared" si="44"/>
        <v>0.95</v>
      </c>
      <c r="G14" s="65">
        <f t="shared" si="44"/>
        <v>0.95</v>
      </c>
      <c r="H14" s="65">
        <f t="shared" si="44"/>
        <v>0.95</v>
      </c>
      <c r="I14" s="65">
        <f t="shared" si="44"/>
        <v>0.95</v>
      </c>
      <c r="J14" s="65">
        <f t="shared" si="44"/>
        <v>0.95</v>
      </c>
      <c r="K14" s="65">
        <f t="shared" si="44"/>
        <v>0.95</v>
      </c>
      <c r="L14" s="65">
        <v>0.95</v>
      </c>
      <c r="M14" s="65">
        <f>L14</f>
        <v>0.95</v>
      </c>
      <c r="N14" s="65">
        <f>M14</f>
        <v>0.95</v>
      </c>
      <c r="O14" s="65">
        <f>N14</f>
        <v>0.95</v>
      </c>
      <c r="P14" s="426">
        <f>Funnel!E87</f>
        <v>0.95</v>
      </c>
      <c r="Q14" s="65">
        <f>AC14</f>
        <v>0.95</v>
      </c>
      <c r="R14" s="65">
        <f t="shared" ref="R14:AB14" si="45">Q14</f>
        <v>0.95</v>
      </c>
      <c r="S14" s="65">
        <f t="shared" si="45"/>
        <v>0.95</v>
      </c>
      <c r="T14" s="65">
        <f t="shared" si="45"/>
        <v>0.95</v>
      </c>
      <c r="U14" s="65">
        <f t="shared" si="45"/>
        <v>0.95</v>
      </c>
      <c r="V14" s="65">
        <f t="shared" si="45"/>
        <v>0.95</v>
      </c>
      <c r="W14" s="65">
        <f t="shared" si="45"/>
        <v>0.95</v>
      </c>
      <c r="X14" s="65">
        <f t="shared" si="45"/>
        <v>0.95</v>
      </c>
      <c r="Y14" s="65">
        <f t="shared" si="45"/>
        <v>0.95</v>
      </c>
      <c r="Z14" s="65">
        <f t="shared" si="45"/>
        <v>0.95</v>
      </c>
      <c r="AA14" s="65">
        <f t="shared" si="45"/>
        <v>0.95</v>
      </c>
      <c r="AB14" s="65">
        <f t="shared" si="45"/>
        <v>0.95</v>
      </c>
      <c r="AC14" s="426">
        <f>Funnel!F87</f>
        <v>0.95</v>
      </c>
      <c r="AD14" s="65">
        <f>AP14</f>
        <v>0.95</v>
      </c>
      <c r="AE14" s="65">
        <f t="shared" ref="AE14:AO14" si="46">AD14</f>
        <v>0.95</v>
      </c>
      <c r="AF14" s="65">
        <f t="shared" si="46"/>
        <v>0.95</v>
      </c>
      <c r="AG14" s="65">
        <f t="shared" si="46"/>
        <v>0.95</v>
      </c>
      <c r="AH14" s="65">
        <f t="shared" si="46"/>
        <v>0.95</v>
      </c>
      <c r="AI14" s="65">
        <f t="shared" si="46"/>
        <v>0.95</v>
      </c>
      <c r="AJ14" s="65">
        <f t="shared" si="46"/>
        <v>0.95</v>
      </c>
      <c r="AK14" s="65">
        <f t="shared" si="46"/>
        <v>0.95</v>
      </c>
      <c r="AL14" s="65">
        <f t="shared" si="46"/>
        <v>0.95</v>
      </c>
      <c r="AM14" s="65">
        <f t="shared" si="46"/>
        <v>0.95</v>
      </c>
      <c r="AN14" s="65">
        <f t="shared" si="46"/>
        <v>0.95</v>
      </c>
      <c r="AO14" s="65">
        <f t="shared" si="46"/>
        <v>0.95</v>
      </c>
      <c r="AP14" s="426">
        <f>Funnel!G87</f>
        <v>0.95</v>
      </c>
      <c r="AQ14" s="65">
        <f>BC14</f>
        <v>0.95</v>
      </c>
      <c r="AR14" s="65">
        <f t="shared" ref="AR14:BB14" si="47">AQ14</f>
        <v>0.95</v>
      </c>
      <c r="AS14" s="65">
        <f t="shared" si="47"/>
        <v>0.95</v>
      </c>
      <c r="AT14" s="65">
        <f t="shared" si="47"/>
        <v>0.95</v>
      </c>
      <c r="AU14" s="65">
        <f t="shared" si="47"/>
        <v>0.95</v>
      </c>
      <c r="AV14" s="65">
        <f t="shared" si="47"/>
        <v>0.95</v>
      </c>
      <c r="AW14" s="65">
        <f t="shared" si="47"/>
        <v>0.95</v>
      </c>
      <c r="AX14" s="65">
        <f t="shared" si="47"/>
        <v>0.95</v>
      </c>
      <c r="AY14" s="65">
        <f t="shared" si="47"/>
        <v>0.95</v>
      </c>
      <c r="AZ14" s="65">
        <f t="shared" si="47"/>
        <v>0.95</v>
      </c>
      <c r="BA14" s="65">
        <f t="shared" si="47"/>
        <v>0.95</v>
      </c>
      <c r="BB14" s="65">
        <f t="shared" si="47"/>
        <v>0.95</v>
      </c>
      <c r="BC14" s="426">
        <f>Funnel!H87</f>
        <v>0.95</v>
      </c>
      <c r="BD14" s="65">
        <f>BP14</f>
        <v>0.95</v>
      </c>
      <c r="BE14" s="65">
        <f t="shared" ref="BE14:BO14" si="48">BD14</f>
        <v>0.95</v>
      </c>
      <c r="BF14" s="65">
        <f t="shared" si="48"/>
        <v>0.95</v>
      </c>
      <c r="BG14" s="65">
        <f t="shared" si="48"/>
        <v>0.95</v>
      </c>
      <c r="BH14" s="65">
        <f t="shared" si="48"/>
        <v>0.95</v>
      </c>
      <c r="BI14" s="65">
        <f t="shared" si="48"/>
        <v>0.95</v>
      </c>
      <c r="BJ14" s="65">
        <f t="shared" si="48"/>
        <v>0.95</v>
      </c>
      <c r="BK14" s="65">
        <f t="shared" si="48"/>
        <v>0.95</v>
      </c>
      <c r="BL14" s="65">
        <f t="shared" si="48"/>
        <v>0.95</v>
      </c>
      <c r="BM14" s="65">
        <f t="shared" si="48"/>
        <v>0.95</v>
      </c>
      <c r="BN14" s="65">
        <f t="shared" si="48"/>
        <v>0.95</v>
      </c>
      <c r="BO14" s="65">
        <f t="shared" si="48"/>
        <v>0.95</v>
      </c>
      <c r="BP14" s="426">
        <f>Funnel!I87</f>
        <v>0.95</v>
      </c>
      <c r="CF14" s="76" t="s">
        <v>956</v>
      </c>
      <c r="CG14" s="285" t="s">
        <v>231</v>
      </c>
    </row>
    <row r="15" spans="1:85" s="3" customFormat="1">
      <c r="A15" s="3" t="s">
        <v>659</v>
      </c>
      <c r="B15" s="12" t="s">
        <v>496</v>
      </c>
      <c r="C15" s="5"/>
      <c r="D15" s="3">
        <f t="shared" ref="D15:O15" si="49">D9*D14</f>
        <v>0</v>
      </c>
      <c r="E15" s="3">
        <f t="shared" si="49"/>
        <v>0</v>
      </c>
      <c r="F15" s="3">
        <f t="shared" si="49"/>
        <v>0</v>
      </c>
      <c r="G15" s="3">
        <f t="shared" si="49"/>
        <v>0</v>
      </c>
      <c r="H15" s="3">
        <f t="shared" si="49"/>
        <v>0</v>
      </c>
      <c r="I15" s="3">
        <f t="shared" si="49"/>
        <v>0</v>
      </c>
      <c r="J15" s="3">
        <f t="shared" si="49"/>
        <v>0</v>
      </c>
      <c r="K15" s="3">
        <f t="shared" si="49"/>
        <v>0</v>
      </c>
      <c r="L15" s="3">
        <f t="shared" si="49"/>
        <v>0</v>
      </c>
      <c r="M15" s="3">
        <f t="shared" si="49"/>
        <v>0</v>
      </c>
      <c r="N15" s="3">
        <f t="shared" si="49"/>
        <v>0</v>
      </c>
      <c r="O15" s="3">
        <f t="shared" si="49"/>
        <v>0</v>
      </c>
      <c r="P15" s="397">
        <f>SUM(D15:O15)</f>
        <v>0</v>
      </c>
      <c r="Q15" s="3">
        <f t="shared" ref="Q15:AB15" si="50">Q9*Q14</f>
        <v>0</v>
      </c>
      <c r="R15" s="3">
        <f t="shared" si="50"/>
        <v>0</v>
      </c>
      <c r="S15" s="3">
        <f t="shared" si="50"/>
        <v>0</v>
      </c>
      <c r="T15" s="3">
        <f t="shared" si="50"/>
        <v>0</v>
      </c>
      <c r="U15" s="3">
        <f t="shared" si="50"/>
        <v>0</v>
      </c>
      <c r="V15" s="3">
        <f t="shared" si="50"/>
        <v>0</v>
      </c>
      <c r="W15" s="3">
        <f t="shared" si="50"/>
        <v>3163.9032187164253</v>
      </c>
      <c r="X15" s="3">
        <f t="shared" si="50"/>
        <v>3300.7673096273847</v>
      </c>
      <c r="Y15" s="3">
        <f t="shared" si="50"/>
        <v>3437.6314005383447</v>
      </c>
      <c r="Z15" s="3">
        <f t="shared" si="50"/>
        <v>3574.4954914493051</v>
      </c>
      <c r="AA15" s="3">
        <f t="shared" si="50"/>
        <v>3711.3595823602645</v>
      </c>
      <c r="AB15" s="3">
        <f t="shared" si="50"/>
        <v>3692.8644349398787</v>
      </c>
      <c r="AC15" s="397">
        <f>SUM(Q15:AB15)</f>
        <v>20881.021437631603</v>
      </c>
      <c r="AD15" s="3">
        <f t="shared" ref="AD15:AO15" si="51">AD9*AD14</f>
        <v>3590.3322278847991</v>
      </c>
      <c r="AE15" s="3">
        <f t="shared" si="51"/>
        <v>3800.0832159349111</v>
      </c>
      <c r="AF15" s="3">
        <f t="shared" si="51"/>
        <v>4009.8342039850236</v>
      </c>
      <c r="AG15" s="3">
        <f t="shared" si="51"/>
        <v>4219.5851920351342</v>
      </c>
      <c r="AH15" s="3">
        <f t="shared" si="51"/>
        <v>4429.3361800852463</v>
      </c>
      <c r="AI15" s="3">
        <f t="shared" si="51"/>
        <v>4639.0871681353583</v>
      </c>
      <c r="AJ15" s="3">
        <f t="shared" si="51"/>
        <v>4848.8381561854703</v>
      </c>
      <c r="AK15" s="3">
        <f t="shared" si="51"/>
        <v>5058.5891442355814</v>
      </c>
      <c r="AL15" s="3">
        <f t="shared" si="51"/>
        <v>5268.3401322856926</v>
      </c>
      <c r="AM15" s="3">
        <f t="shared" si="51"/>
        <v>5478.0911203358046</v>
      </c>
      <c r="AN15" s="3">
        <f t="shared" si="51"/>
        <v>5687.8421083859175</v>
      </c>
      <c r="AO15" s="3">
        <f t="shared" si="51"/>
        <v>5659.4973802710583</v>
      </c>
      <c r="AP15" s="397">
        <f>SUM(AD15:AO15)</f>
        <v>56689.456229759991</v>
      </c>
      <c r="AQ15" s="3">
        <f t="shared" ref="AQ15:BB15" si="52">AQ9*AQ14</f>
        <v>4044.6418190979189</v>
      </c>
      <c r="AR15" s="3">
        <f t="shared" si="52"/>
        <v>4280.9340516873235</v>
      </c>
      <c r="AS15" s="3">
        <f t="shared" si="52"/>
        <v>4517.2262842767277</v>
      </c>
      <c r="AT15" s="3">
        <f t="shared" si="52"/>
        <v>4753.5185168661328</v>
      </c>
      <c r="AU15" s="3">
        <f t="shared" si="52"/>
        <v>4989.810749455537</v>
      </c>
      <c r="AV15" s="3">
        <f t="shared" si="52"/>
        <v>5226.1029820449412</v>
      </c>
      <c r="AW15" s="3">
        <f t="shared" si="52"/>
        <v>5462.3952146343454</v>
      </c>
      <c r="AX15" s="3">
        <f t="shared" si="52"/>
        <v>5698.6874472237496</v>
      </c>
      <c r="AY15" s="3">
        <f t="shared" si="52"/>
        <v>5934.9796798131547</v>
      </c>
      <c r="AZ15" s="3">
        <f t="shared" si="52"/>
        <v>6171.2719124025589</v>
      </c>
      <c r="BA15" s="3">
        <f t="shared" si="52"/>
        <v>6407.564144991964</v>
      </c>
      <c r="BB15" s="3">
        <f t="shared" si="52"/>
        <v>6375.632762209636</v>
      </c>
      <c r="BC15" s="397">
        <f>SUM(AQ15:BB15)</f>
        <v>63862.765564703994</v>
      </c>
      <c r="BD15" s="3">
        <f t="shared" ref="BD15:BO15" si="53">BD9*BD14</f>
        <v>4622.5591525552472</v>
      </c>
      <c r="BE15" s="3">
        <f t="shared" si="53"/>
        <v>4892.6139240992634</v>
      </c>
      <c r="BF15" s="3">
        <f t="shared" si="53"/>
        <v>5162.6686956432804</v>
      </c>
      <c r="BG15" s="3">
        <f t="shared" si="53"/>
        <v>5432.7234671872966</v>
      </c>
      <c r="BH15" s="3">
        <f t="shared" si="53"/>
        <v>5702.7782387313136</v>
      </c>
      <c r="BI15" s="3">
        <f t="shared" si="53"/>
        <v>5972.8330102753307</v>
      </c>
      <c r="BJ15" s="3">
        <f t="shared" si="53"/>
        <v>6242.8877818193478</v>
      </c>
      <c r="BK15" s="3">
        <f t="shared" si="53"/>
        <v>6512.9425533633648</v>
      </c>
      <c r="BL15" s="3">
        <f t="shared" si="53"/>
        <v>6782.997324907381</v>
      </c>
      <c r="BM15" s="3">
        <f t="shared" si="53"/>
        <v>7053.0520964513971</v>
      </c>
      <c r="BN15" s="3">
        <f t="shared" si="53"/>
        <v>7323.1068679954133</v>
      </c>
      <c r="BO15" s="3">
        <f t="shared" si="53"/>
        <v>7286.6129799489527</v>
      </c>
      <c r="BP15" s="397">
        <f>SUM(BD15:BO15)</f>
        <v>72987.776092977598</v>
      </c>
      <c r="CF15" s="3" t="s">
        <v>957</v>
      </c>
      <c r="CG15" s="12" t="s">
        <v>394</v>
      </c>
    </row>
    <row r="16" spans="1:85" s="65" customFormat="1">
      <c r="A16" s="76" t="s">
        <v>658</v>
      </c>
      <c r="B16" s="285" t="s">
        <v>231</v>
      </c>
      <c r="C16" s="40">
        <v>-5.0000000000000001E-4</v>
      </c>
      <c r="D16" s="65">
        <f t="shared" ref="D16:O16" si="54">C16+$C$16</f>
        <v>-1E-3</v>
      </c>
      <c r="E16" s="65">
        <f t="shared" si="54"/>
        <v>-1.5E-3</v>
      </c>
      <c r="F16" s="65">
        <f t="shared" si="54"/>
        <v>-2E-3</v>
      </c>
      <c r="G16" s="65">
        <f t="shared" si="54"/>
        <v>-2.5000000000000001E-3</v>
      </c>
      <c r="H16" s="65">
        <f t="shared" si="54"/>
        <v>-3.0000000000000001E-3</v>
      </c>
      <c r="I16" s="65">
        <f t="shared" si="54"/>
        <v>-3.5000000000000001E-3</v>
      </c>
      <c r="J16" s="65">
        <f t="shared" si="54"/>
        <v>-4.0000000000000001E-3</v>
      </c>
      <c r="K16" s="65">
        <f t="shared" si="54"/>
        <v>-4.5000000000000005E-3</v>
      </c>
      <c r="L16" s="65">
        <f t="shared" si="54"/>
        <v>-5.000000000000001E-3</v>
      </c>
      <c r="M16" s="65">
        <f t="shared" si="54"/>
        <v>-5.5000000000000014E-3</v>
      </c>
      <c r="N16" s="65">
        <f t="shared" si="54"/>
        <v>-6.0000000000000019E-3</v>
      </c>
      <c r="O16" s="65">
        <f t="shared" si="54"/>
        <v>-6.5000000000000023E-3</v>
      </c>
      <c r="P16" s="358">
        <f>O16</f>
        <v>-6.5000000000000023E-3</v>
      </c>
      <c r="Q16" s="65">
        <f t="shared" ref="Q16:AB16" si="55">P16+$C$16</f>
        <v>-7.0000000000000027E-3</v>
      </c>
      <c r="R16" s="65">
        <f t="shared" si="55"/>
        <v>-7.5000000000000032E-3</v>
      </c>
      <c r="S16" s="65">
        <f t="shared" si="55"/>
        <v>-8.0000000000000036E-3</v>
      </c>
      <c r="T16" s="65">
        <f t="shared" si="55"/>
        <v>-8.5000000000000041E-3</v>
      </c>
      <c r="U16" s="65">
        <f t="shared" si="55"/>
        <v>-9.0000000000000045E-3</v>
      </c>
      <c r="V16" s="65">
        <f t="shared" si="55"/>
        <v>-9.500000000000005E-3</v>
      </c>
      <c r="W16" s="65">
        <f t="shared" si="55"/>
        <v>-1.0000000000000005E-2</v>
      </c>
      <c r="X16" s="65">
        <f t="shared" si="55"/>
        <v>-1.0500000000000006E-2</v>
      </c>
      <c r="Y16" s="65">
        <f t="shared" si="55"/>
        <v>-1.1000000000000006E-2</v>
      </c>
      <c r="Z16" s="65">
        <f t="shared" si="55"/>
        <v>-1.1500000000000007E-2</v>
      </c>
      <c r="AA16" s="65">
        <f t="shared" si="55"/>
        <v>-1.2000000000000007E-2</v>
      </c>
      <c r="AB16" s="65">
        <f t="shared" si="55"/>
        <v>-1.2500000000000008E-2</v>
      </c>
      <c r="AC16" s="358">
        <f>AB16</f>
        <v>-1.2500000000000008E-2</v>
      </c>
      <c r="AD16" s="65">
        <f t="shared" ref="AD16:AO16" si="56">AC16+$C$16</f>
        <v>-1.3000000000000008E-2</v>
      </c>
      <c r="AE16" s="65">
        <f t="shared" si="56"/>
        <v>-1.3500000000000009E-2</v>
      </c>
      <c r="AF16" s="65">
        <f t="shared" si="56"/>
        <v>-1.4000000000000009E-2</v>
      </c>
      <c r="AG16" s="65">
        <f t="shared" si="56"/>
        <v>-1.4500000000000009E-2</v>
      </c>
      <c r="AH16" s="65">
        <f t="shared" si="56"/>
        <v>-1.500000000000001E-2</v>
      </c>
      <c r="AI16" s="65">
        <f t="shared" si="56"/>
        <v>-1.550000000000001E-2</v>
      </c>
      <c r="AJ16" s="65">
        <f t="shared" si="56"/>
        <v>-1.6000000000000011E-2</v>
      </c>
      <c r="AK16" s="65">
        <f t="shared" si="56"/>
        <v>-1.6500000000000011E-2</v>
      </c>
      <c r="AL16" s="65">
        <f t="shared" si="56"/>
        <v>-1.7000000000000012E-2</v>
      </c>
      <c r="AM16" s="65">
        <f t="shared" si="56"/>
        <v>-1.7500000000000012E-2</v>
      </c>
      <c r="AN16" s="65">
        <f t="shared" si="56"/>
        <v>-1.8000000000000013E-2</v>
      </c>
      <c r="AO16" s="65">
        <f t="shared" si="56"/>
        <v>-1.8500000000000013E-2</v>
      </c>
      <c r="AP16" s="358">
        <f>AO16</f>
        <v>-1.8500000000000013E-2</v>
      </c>
      <c r="AQ16" s="65">
        <f t="shared" ref="AQ16:BB16" si="57">AP16+$C$16</f>
        <v>-1.9000000000000013E-2</v>
      </c>
      <c r="AR16" s="65">
        <f t="shared" si="57"/>
        <v>-1.9500000000000014E-2</v>
      </c>
      <c r="AS16" s="65">
        <f t="shared" si="57"/>
        <v>-2.0000000000000014E-2</v>
      </c>
      <c r="AT16" s="65">
        <f t="shared" si="57"/>
        <v>-2.0500000000000015E-2</v>
      </c>
      <c r="AU16" s="65">
        <f t="shared" si="57"/>
        <v>-2.1000000000000015E-2</v>
      </c>
      <c r="AV16" s="65">
        <f t="shared" si="57"/>
        <v>-2.1500000000000016E-2</v>
      </c>
      <c r="AW16" s="65">
        <f t="shared" si="57"/>
        <v>-2.2000000000000016E-2</v>
      </c>
      <c r="AX16" s="65">
        <f t="shared" si="57"/>
        <v>-2.2500000000000017E-2</v>
      </c>
      <c r="AY16" s="65">
        <f t="shared" si="57"/>
        <v>-2.3000000000000017E-2</v>
      </c>
      <c r="AZ16" s="65">
        <f t="shared" si="57"/>
        <v>-2.3500000000000017E-2</v>
      </c>
      <c r="BA16" s="65">
        <f t="shared" si="57"/>
        <v>-2.4000000000000018E-2</v>
      </c>
      <c r="BB16" s="65">
        <f t="shared" si="57"/>
        <v>-2.4500000000000018E-2</v>
      </c>
      <c r="BC16" s="358">
        <f>BB16</f>
        <v>-2.4500000000000018E-2</v>
      </c>
      <c r="BD16" s="65">
        <f t="shared" ref="BD16:BO16" si="58">BC16+$C$16</f>
        <v>-2.5000000000000019E-2</v>
      </c>
      <c r="BE16" s="65">
        <f t="shared" si="58"/>
        <v>-2.5500000000000019E-2</v>
      </c>
      <c r="BF16" s="65">
        <f t="shared" si="58"/>
        <v>-2.600000000000002E-2</v>
      </c>
      <c r="BG16" s="65">
        <f t="shared" si="58"/>
        <v>-2.650000000000002E-2</v>
      </c>
      <c r="BH16" s="65">
        <f t="shared" si="58"/>
        <v>-2.7000000000000021E-2</v>
      </c>
      <c r="BI16" s="65">
        <f t="shared" si="58"/>
        <v>-2.7500000000000021E-2</v>
      </c>
      <c r="BJ16" s="65">
        <f t="shared" si="58"/>
        <v>-2.8000000000000021E-2</v>
      </c>
      <c r="BK16" s="65">
        <f t="shared" si="58"/>
        <v>-2.8500000000000022E-2</v>
      </c>
      <c r="BL16" s="65">
        <f t="shared" si="58"/>
        <v>-2.9000000000000022E-2</v>
      </c>
      <c r="BM16" s="65">
        <f t="shared" si="58"/>
        <v>-2.9500000000000023E-2</v>
      </c>
      <c r="BN16" s="65">
        <f t="shared" si="58"/>
        <v>-3.0000000000000023E-2</v>
      </c>
      <c r="BO16" s="65">
        <f t="shared" si="58"/>
        <v>-3.0500000000000024E-2</v>
      </c>
      <c r="BP16" s="358">
        <f>BO16</f>
        <v>-3.0500000000000024E-2</v>
      </c>
      <c r="CF16" s="76" t="s">
        <v>958</v>
      </c>
      <c r="CG16" s="285" t="s">
        <v>231</v>
      </c>
    </row>
    <row r="17" spans="1:85" s="3" customFormat="1">
      <c r="A17" s="3" t="s">
        <v>657</v>
      </c>
      <c r="B17" s="12" t="s">
        <v>496</v>
      </c>
      <c r="C17" s="5"/>
      <c r="D17" s="3">
        <f t="shared" ref="D17:O17" si="59">C18*D16</f>
        <v>0</v>
      </c>
      <c r="E17" s="3">
        <f t="shared" si="59"/>
        <v>0</v>
      </c>
      <c r="F17" s="3">
        <f t="shared" si="59"/>
        <v>0</v>
      </c>
      <c r="G17" s="3">
        <f t="shared" si="59"/>
        <v>0</v>
      </c>
      <c r="H17" s="3">
        <f t="shared" si="59"/>
        <v>0</v>
      </c>
      <c r="I17" s="3">
        <f t="shared" si="59"/>
        <v>0</v>
      </c>
      <c r="J17" s="3">
        <f t="shared" si="59"/>
        <v>0</v>
      </c>
      <c r="K17" s="3">
        <f t="shared" si="59"/>
        <v>0</v>
      </c>
      <c r="L17" s="3">
        <f t="shared" si="59"/>
        <v>0</v>
      </c>
      <c r="M17" s="3">
        <f t="shared" si="59"/>
        <v>0</v>
      </c>
      <c r="N17" s="3">
        <f t="shared" si="59"/>
        <v>0</v>
      </c>
      <c r="O17" s="3">
        <f t="shared" si="59"/>
        <v>0</v>
      </c>
      <c r="P17" s="397">
        <f>SUM(D17:O17)</f>
        <v>0</v>
      </c>
      <c r="Q17" s="3">
        <f t="shared" ref="Q17:AB17" si="60">P18*Q16</f>
        <v>0</v>
      </c>
      <c r="R17" s="3">
        <f t="shared" si="60"/>
        <v>0</v>
      </c>
      <c r="S17" s="3">
        <f t="shared" si="60"/>
        <v>0</v>
      </c>
      <c r="T17" s="3">
        <f t="shared" si="60"/>
        <v>0</v>
      </c>
      <c r="U17" s="3">
        <f t="shared" si="60"/>
        <v>0</v>
      </c>
      <c r="V17" s="3">
        <f t="shared" si="60"/>
        <v>0</v>
      </c>
      <c r="W17" s="3">
        <f t="shared" si="60"/>
        <v>0</v>
      </c>
      <c r="X17" s="3">
        <f t="shared" si="60"/>
        <v>-34.969456627918404</v>
      </c>
      <c r="Y17" s="3">
        <f t="shared" si="60"/>
        <v>-74.469415778968639</v>
      </c>
      <c r="Z17" s="3">
        <f t="shared" si="60"/>
        <v>-118.61142368536801</v>
      </c>
      <c r="AA17" s="3">
        <f t="shared" si="60"/>
        <v>-167.49662701950095</v>
      </c>
      <c r="AB17" s="3">
        <f t="shared" si="60"/>
        <v>-221.21562402283644</v>
      </c>
      <c r="AC17" s="397">
        <f>SUM(Q17:AB17)</f>
        <v>-616.76254713459241</v>
      </c>
      <c r="AD17" s="3">
        <f t="shared" ref="AD17:AO17" si="61">AC18*AD16</f>
        <v>-277.72238024431459</v>
      </c>
      <c r="AE17" s="3">
        <f t="shared" si="61"/>
        <v>-335.67526872719702</v>
      </c>
      <c r="AF17" s="3">
        <f t="shared" si="61"/>
        <v>-399.40945866537629</v>
      </c>
      <c r="AG17" s="3">
        <f t="shared" si="61"/>
        <v>-469.08537762563168</v>
      </c>
      <c r="AH17" s="3">
        <f t="shared" si="61"/>
        <v>-544.84948415833014</v>
      </c>
      <c r="AI17" s="3">
        <f t="shared" si="61"/>
        <v>-626.83408324826382</v>
      </c>
      <c r="AJ17" s="3">
        <f t="shared" si="61"/>
        <v>-715.15718662532356</v>
      </c>
      <c r="AK17" s="3">
        <f t="shared" si="61"/>
        <v>-809.92241784074213</v>
      </c>
      <c r="AL17" s="3">
        <f t="shared" si="61"/>
        <v>-911.21896183680735</v>
      </c>
      <c r="AM17" s="3">
        <f t="shared" si="61"/>
        <v>-1019.1215585636402</v>
      </c>
      <c r="AN17" s="3">
        <f t="shared" si="61"/>
        <v>-1133.6905400266983</v>
      </c>
      <c r="AO17" s="3">
        <f t="shared" si="61"/>
        <v>-1254.9719099838765</v>
      </c>
      <c r="AP17" s="397">
        <f>SUM(AD17:AO17)</f>
        <v>-8497.6586275462014</v>
      </c>
      <c r="AQ17" s="3">
        <f t="shared" ref="AQ17:BB17" si="62">AP18*AQ16</f>
        <v>-1378.2355510288983</v>
      </c>
      <c r="AR17" s="3">
        <f t="shared" si="62"/>
        <v>-1470.6509096239736</v>
      </c>
      <c r="AS17" s="3">
        <f t="shared" si="62"/>
        <v>-1569.0718165181038</v>
      </c>
      <c r="AT17" s="3">
        <f t="shared" si="62"/>
        <v>-1673.6096279320911</v>
      </c>
      <c r="AU17" s="3">
        <f t="shared" si="62"/>
        <v>-1784.3613505095025</v>
      </c>
      <c r="AV17" s="3">
        <f t="shared" si="62"/>
        <v>-1901.4096714420291</v>
      </c>
      <c r="AW17" s="3">
        <f t="shared" si="62"/>
        <v>-2024.8230309808173</v>
      </c>
      <c r="AX17" s="3">
        <f t="shared" si="62"/>
        <v>-2154.655736274653</v>
      </c>
      <c r="AY17" s="3">
        <f t="shared" si="62"/>
        <v>-2290.9481153306865</v>
      </c>
      <c r="AZ17" s="3">
        <f t="shared" si="62"/>
        <v>-2433.7267097563922</v>
      </c>
      <c r="BA17" s="3">
        <f t="shared" si="62"/>
        <v>-2583.0045048131383</v>
      </c>
      <c r="BB17" s="3">
        <f t="shared" si="62"/>
        <v>-2738.7811951926515</v>
      </c>
      <c r="BC17" s="397">
        <f>SUM(AQ17:BB17)</f>
        <v>-24003.278219402939</v>
      </c>
      <c r="BD17" s="3">
        <f t="shared" ref="BD17:BO17" si="63">BC18*BD16</f>
        <v>-2893.9849686241096</v>
      </c>
      <c r="BE17" s="3">
        <f t="shared" si="63"/>
        <v>-3002.1472706547388</v>
      </c>
      <c r="BF17" s="3">
        <f t="shared" si="63"/>
        <v>-3116.8601922983685</v>
      </c>
      <c r="BG17" s="3">
        <f t="shared" si="63"/>
        <v>-3238.2143009530669</v>
      </c>
      <c r="BH17" s="3">
        <f t="shared" si="63"/>
        <v>-3366.2846174579286</v>
      </c>
      <c r="BI17" s="3">
        <f t="shared" si="63"/>
        <v>-3501.1308172049512</v>
      </c>
      <c r="BJ17" s="3">
        <f t="shared" si="63"/>
        <v>-3642.7974722594563</v>
      </c>
      <c r="BK17" s="3">
        <f t="shared" si="63"/>
        <v>-3791.3143326164177</v>
      </c>
      <c r="BL17" s="3">
        <f t="shared" si="63"/>
        <v>-3946.6966446103429</v>
      </c>
      <c r="BM17" s="3">
        <f t="shared" si="63"/>
        <v>-4108.9455043982643</v>
      </c>
      <c r="BN17" s="3">
        <f t="shared" si="63"/>
        <v>-4278.048244349231</v>
      </c>
      <c r="BO17" s="3">
        <f t="shared" si="63"/>
        <v>-4453.9788500994464</v>
      </c>
      <c r="BP17" s="397">
        <f>SUM(BD17:BO17)</f>
        <v>-43340.403215526319</v>
      </c>
      <c r="CF17" s="3" t="s">
        <v>959</v>
      </c>
      <c r="CG17" s="12" t="s">
        <v>394</v>
      </c>
    </row>
    <row r="18" spans="1:85" s="17" customFormat="1" ht="15.6">
      <c r="A18" s="17" t="s">
        <v>695</v>
      </c>
      <c r="B18" s="13" t="s">
        <v>496</v>
      </c>
      <c r="C18" s="462"/>
      <c r="D18" s="60">
        <f t="shared" ref="D18:O18" si="64">C18+D9+D17</f>
        <v>0</v>
      </c>
      <c r="E18" s="60">
        <f t="shared" si="64"/>
        <v>0</v>
      </c>
      <c r="F18" s="60">
        <f t="shared" si="64"/>
        <v>0</v>
      </c>
      <c r="G18" s="60">
        <f t="shared" si="64"/>
        <v>0</v>
      </c>
      <c r="H18" s="60">
        <f t="shared" si="64"/>
        <v>0</v>
      </c>
      <c r="I18" s="60">
        <f t="shared" si="64"/>
        <v>0</v>
      </c>
      <c r="J18" s="60">
        <f t="shared" si="64"/>
        <v>0</v>
      </c>
      <c r="K18" s="60">
        <f t="shared" si="64"/>
        <v>0</v>
      </c>
      <c r="L18" s="60">
        <f t="shared" si="64"/>
        <v>0</v>
      </c>
      <c r="M18" s="60">
        <f t="shared" si="64"/>
        <v>0</v>
      </c>
      <c r="N18" s="60">
        <f t="shared" si="64"/>
        <v>0</v>
      </c>
      <c r="O18" s="60">
        <f t="shared" si="64"/>
        <v>0</v>
      </c>
      <c r="P18" s="372">
        <f>O18</f>
        <v>0</v>
      </c>
      <c r="Q18" s="60">
        <f t="shared" ref="Q18:AB18" si="65">P18+Q9+Q17</f>
        <v>0</v>
      </c>
      <c r="R18" s="60">
        <f t="shared" si="65"/>
        <v>0</v>
      </c>
      <c r="S18" s="60">
        <f t="shared" si="65"/>
        <v>0</v>
      </c>
      <c r="T18" s="60">
        <f t="shared" si="65"/>
        <v>0</v>
      </c>
      <c r="U18" s="60">
        <f t="shared" si="65"/>
        <v>0</v>
      </c>
      <c r="V18" s="60">
        <f t="shared" si="65"/>
        <v>0</v>
      </c>
      <c r="W18" s="60">
        <f t="shared" si="65"/>
        <v>3330.4244407541319</v>
      </c>
      <c r="X18" s="60">
        <f t="shared" si="65"/>
        <v>6769.9468889971449</v>
      </c>
      <c r="Y18" s="60">
        <f t="shared" si="65"/>
        <v>10314.036842205907</v>
      </c>
      <c r="Z18" s="60">
        <f t="shared" si="65"/>
        <v>13958.052251625071</v>
      </c>
      <c r="AA18" s="60">
        <f t="shared" si="65"/>
        <v>17697.249921826904</v>
      </c>
      <c r="AB18" s="60">
        <f t="shared" si="65"/>
        <v>21363.260018793415</v>
      </c>
      <c r="AC18" s="372">
        <f>AB18</f>
        <v>21363.260018793415</v>
      </c>
      <c r="AD18" s="60">
        <f t="shared" ref="AD18:AO18" si="66">AC18+AD9+AD17</f>
        <v>24864.834720533097</v>
      </c>
      <c r="AE18" s="60">
        <f t="shared" si="66"/>
        <v>28529.24704752686</v>
      </c>
      <c r="AF18" s="60">
        <f t="shared" si="66"/>
        <v>32350.715698319404</v>
      </c>
      <c r="AG18" s="60">
        <f t="shared" si="66"/>
        <v>36323.298943888651</v>
      </c>
      <c r="AH18" s="60">
        <f t="shared" si="66"/>
        <v>40440.908596662157</v>
      </c>
      <c r="AI18" s="60">
        <f t="shared" si="66"/>
        <v>44697.324164082689</v>
      </c>
      <c r="AJ18" s="60">
        <f t="shared" si="66"/>
        <v>49086.207141863124</v>
      </c>
      <c r="AK18" s="60">
        <f t="shared" si="66"/>
        <v>53601.115402165102</v>
      </c>
      <c r="AL18" s="60">
        <f t="shared" si="66"/>
        <v>58235.517632207971</v>
      </c>
      <c r="AM18" s="60">
        <f t="shared" si="66"/>
        <v>62982.807779260969</v>
      </c>
      <c r="AN18" s="60">
        <f t="shared" si="66"/>
        <v>67836.319458587866</v>
      </c>
      <c r="AO18" s="60">
        <f t="shared" si="66"/>
        <v>72538.713212047223</v>
      </c>
      <c r="AP18" s="372">
        <f>AO18</f>
        <v>72538.713212047223</v>
      </c>
      <c r="AQ18" s="60">
        <f t="shared" ref="AQ18:BB18" si="67">AP18+AQ9+AQ17</f>
        <v>75417.995365331924</v>
      </c>
      <c r="AR18" s="60">
        <f t="shared" si="67"/>
        <v>78453.590825905136</v>
      </c>
      <c r="AS18" s="60">
        <f t="shared" si="67"/>
        <v>81639.4940454678</v>
      </c>
      <c r="AT18" s="60">
        <f t="shared" si="67"/>
        <v>84969.588119500055</v>
      </c>
      <c r="AU18" s="60">
        <f t="shared" si="67"/>
        <v>88437.659136838498</v>
      </c>
      <c r="AV18" s="60">
        <f t="shared" si="67"/>
        <v>92037.410499127989</v>
      </c>
      <c r="AW18" s="60">
        <f t="shared" si="67"/>
        <v>95762.477167762278</v>
      </c>
      <c r="AX18" s="60">
        <f t="shared" si="67"/>
        <v>99606.439796986306</v>
      </c>
      <c r="AY18" s="60">
        <f t="shared" si="67"/>
        <v>103562.83871303788</v>
      </c>
      <c r="AZ18" s="60">
        <f t="shared" si="67"/>
        <v>107625.18770054735</v>
      </c>
      <c r="BA18" s="60">
        <f t="shared" si="67"/>
        <v>111786.98755888364</v>
      </c>
      <c r="BB18" s="60">
        <f t="shared" si="67"/>
        <v>115759.39874496429</v>
      </c>
      <c r="BC18" s="372">
        <f>BB18</f>
        <v>115759.39874496429</v>
      </c>
      <c r="BD18" s="60">
        <f t="shared" ref="BD18:BO18" si="68">BC18+BD9+BD17</f>
        <v>117731.26551587202</v>
      </c>
      <c r="BE18" s="60">
        <f t="shared" si="68"/>
        <v>119879.23816532177</v>
      </c>
      <c r="BF18" s="60">
        <f t="shared" si="68"/>
        <v>122196.76607370055</v>
      </c>
      <c r="BG18" s="60">
        <f t="shared" si="68"/>
        <v>124677.20805399727</v>
      </c>
      <c r="BH18" s="60">
        <f t="shared" si="68"/>
        <v>127313.84789836177</v>
      </c>
      <c r="BI18" s="60">
        <f t="shared" si="68"/>
        <v>130099.90972355191</v>
      </c>
      <c r="BJ18" s="60">
        <f t="shared" si="68"/>
        <v>133028.57307426017</v>
      </c>
      <c r="BK18" s="60">
        <f t="shared" si="68"/>
        <v>136092.98774518413</v>
      </c>
      <c r="BL18" s="60">
        <f t="shared" si="68"/>
        <v>139286.28828468683</v>
      </c>
      <c r="BM18" s="60">
        <f t="shared" si="68"/>
        <v>142601.60814497425</v>
      </c>
      <c r="BN18" s="60">
        <f t="shared" si="68"/>
        <v>146032.09344588337</v>
      </c>
      <c r="BO18" s="60">
        <f t="shared" si="68"/>
        <v>149248.23352204598</v>
      </c>
      <c r="BP18" s="372">
        <f>BO18</f>
        <v>149248.23352204598</v>
      </c>
      <c r="CF18" s="17" t="s">
        <v>1196</v>
      </c>
      <c r="CG18" s="13" t="s">
        <v>394</v>
      </c>
    </row>
    <row r="19" spans="1:85" s="6" customFormat="1">
      <c r="A19" s="6" t="s">
        <v>726</v>
      </c>
      <c r="B19" s="13" t="s">
        <v>130</v>
      </c>
      <c r="D19" s="5">
        <f>P19</f>
        <v>500000</v>
      </c>
      <c r="E19" s="5">
        <f t="shared" ref="E19:O19" si="69">D19</f>
        <v>500000</v>
      </c>
      <c r="F19" s="5">
        <f t="shared" si="69"/>
        <v>500000</v>
      </c>
      <c r="G19" s="5">
        <f t="shared" si="69"/>
        <v>500000</v>
      </c>
      <c r="H19" s="5">
        <f t="shared" si="69"/>
        <v>500000</v>
      </c>
      <c r="I19" s="5">
        <f t="shared" si="69"/>
        <v>500000</v>
      </c>
      <c r="J19" s="5">
        <f t="shared" si="69"/>
        <v>500000</v>
      </c>
      <c r="K19" s="5">
        <f t="shared" si="69"/>
        <v>500000</v>
      </c>
      <c r="L19" s="5">
        <f t="shared" si="69"/>
        <v>500000</v>
      </c>
      <c r="M19" s="5">
        <f t="shared" si="69"/>
        <v>500000</v>
      </c>
      <c r="N19" s="5">
        <f t="shared" si="69"/>
        <v>500000</v>
      </c>
      <c r="O19" s="5">
        <f t="shared" si="69"/>
        <v>500000</v>
      </c>
      <c r="P19" s="463">
        <f>Funnel!E89</f>
        <v>500000</v>
      </c>
      <c r="Q19" s="5">
        <f>AC19</f>
        <v>525000</v>
      </c>
      <c r="R19" s="5">
        <f t="shared" ref="R19:AB19" si="70">Q19</f>
        <v>525000</v>
      </c>
      <c r="S19" s="5">
        <f t="shared" si="70"/>
        <v>525000</v>
      </c>
      <c r="T19" s="5">
        <f t="shared" si="70"/>
        <v>525000</v>
      </c>
      <c r="U19" s="5">
        <f t="shared" si="70"/>
        <v>525000</v>
      </c>
      <c r="V19" s="5">
        <f t="shared" si="70"/>
        <v>525000</v>
      </c>
      <c r="W19" s="5">
        <f t="shared" si="70"/>
        <v>525000</v>
      </c>
      <c r="X19" s="5">
        <f t="shared" si="70"/>
        <v>525000</v>
      </c>
      <c r="Y19" s="5">
        <f t="shared" si="70"/>
        <v>525000</v>
      </c>
      <c r="Z19" s="5">
        <f t="shared" si="70"/>
        <v>525000</v>
      </c>
      <c r="AA19" s="5">
        <f t="shared" si="70"/>
        <v>525000</v>
      </c>
      <c r="AB19" s="5">
        <f t="shared" si="70"/>
        <v>525000</v>
      </c>
      <c r="AC19" s="463">
        <f>Funnel!F89</f>
        <v>525000</v>
      </c>
      <c r="AD19" s="5">
        <f>AP19</f>
        <v>551250</v>
      </c>
      <c r="AE19" s="5">
        <f t="shared" ref="AE19:AO19" si="71">AD19</f>
        <v>551250</v>
      </c>
      <c r="AF19" s="5">
        <f t="shared" si="71"/>
        <v>551250</v>
      </c>
      <c r="AG19" s="5">
        <f t="shared" si="71"/>
        <v>551250</v>
      </c>
      <c r="AH19" s="5">
        <f t="shared" si="71"/>
        <v>551250</v>
      </c>
      <c r="AI19" s="5">
        <f t="shared" si="71"/>
        <v>551250</v>
      </c>
      <c r="AJ19" s="5">
        <f t="shared" si="71"/>
        <v>551250</v>
      </c>
      <c r="AK19" s="5">
        <f t="shared" si="71"/>
        <v>551250</v>
      </c>
      <c r="AL19" s="5">
        <f t="shared" si="71"/>
        <v>551250</v>
      </c>
      <c r="AM19" s="5">
        <f t="shared" si="71"/>
        <v>551250</v>
      </c>
      <c r="AN19" s="5">
        <f t="shared" si="71"/>
        <v>551250</v>
      </c>
      <c r="AO19" s="5">
        <f t="shared" si="71"/>
        <v>551250</v>
      </c>
      <c r="AP19" s="463">
        <f>Funnel!G89</f>
        <v>551250</v>
      </c>
      <c r="AQ19" s="5">
        <f>BC19</f>
        <v>578812.5</v>
      </c>
      <c r="AR19" s="5">
        <f t="shared" ref="AR19:BB19" si="72">AQ19</f>
        <v>578812.5</v>
      </c>
      <c r="AS19" s="5">
        <f t="shared" si="72"/>
        <v>578812.5</v>
      </c>
      <c r="AT19" s="5">
        <f t="shared" si="72"/>
        <v>578812.5</v>
      </c>
      <c r="AU19" s="5">
        <f t="shared" si="72"/>
        <v>578812.5</v>
      </c>
      <c r="AV19" s="5">
        <f t="shared" si="72"/>
        <v>578812.5</v>
      </c>
      <c r="AW19" s="5">
        <f t="shared" si="72"/>
        <v>578812.5</v>
      </c>
      <c r="AX19" s="5">
        <f t="shared" si="72"/>
        <v>578812.5</v>
      </c>
      <c r="AY19" s="5">
        <f t="shared" si="72"/>
        <v>578812.5</v>
      </c>
      <c r="AZ19" s="5">
        <f t="shared" si="72"/>
        <v>578812.5</v>
      </c>
      <c r="BA19" s="5">
        <f t="shared" si="72"/>
        <v>578812.5</v>
      </c>
      <c r="BB19" s="5">
        <f t="shared" si="72"/>
        <v>578812.5</v>
      </c>
      <c r="BC19" s="463">
        <f>Funnel!H89</f>
        <v>578812.5</v>
      </c>
      <c r="BD19" s="5">
        <f>BP19</f>
        <v>607753.12500000012</v>
      </c>
      <c r="BE19" s="5">
        <f t="shared" ref="BE19:BO19" si="73">BD19</f>
        <v>607753.12500000012</v>
      </c>
      <c r="BF19" s="5">
        <f t="shared" si="73"/>
        <v>607753.12500000012</v>
      </c>
      <c r="BG19" s="5">
        <f t="shared" si="73"/>
        <v>607753.12500000012</v>
      </c>
      <c r="BH19" s="5">
        <f t="shared" si="73"/>
        <v>607753.12500000012</v>
      </c>
      <c r="BI19" s="5">
        <f t="shared" si="73"/>
        <v>607753.12500000012</v>
      </c>
      <c r="BJ19" s="5">
        <f t="shared" si="73"/>
        <v>607753.12500000012</v>
      </c>
      <c r="BK19" s="5">
        <f t="shared" si="73"/>
        <v>607753.12500000012</v>
      </c>
      <c r="BL19" s="5">
        <f t="shared" si="73"/>
        <v>607753.12500000012</v>
      </c>
      <c r="BM19" s="5">
        <f t="shared" si="73"/>
        <v>607753.12500000012</v>
      </c>
      <c r="BN19" s="5">
        <f t="shared" si="73"/>
        <v>607753.12500000012</v>
      </c>
      <c r="BO19" s="5">
        <f t="shared" si="73"/>
        <v>607753.12500000012</v>
      </c>
      <c r="BP19" s="463">
        <f>Funnel!I89</f>
        <v>607753.12500000012</v>
      </c>
      <c r="CF19" s="6" t="s">
        <v>1052</v>
      </c>
      <c r="CG19" s="13" t="s">
        <v>966</v>
      </c>
    </row>
    <row r="20" spans="1:85" s="17" customFormat="1" ht="15.6">
      <c r="A20" s="17" t="s">
        <v>725</v>
      </c>
      <c r="B20" s="13" t="s">
        <v>502</v>
      </c>
      <c r="C20" s="462"/>
      <c r="D20" s="60">
        <f t="shared" ref="D20:AI20" si="74">D18*D19/1000000</f>
        <v>0</v>
      </c>
      <c r="E20" s="60">
        <f t="shared" si="74"/>
        <v>0</v>
      </c>
      <c r="F20" s="60">
        <f t="shared" si="74"/>
        <v>0</v>
      </c>
      <c r="G20" s="60">
        <f t="shared" si="74"/>
        <v>0</v>
      </c>
      <c r="H20" s="60">
        <f t="shared" si="74"/>
        <v>0</v>
      </c>
      <c r="I20" s="60">
        <f t="shared" si="74"/>
        <v>0</v>
      </c>
      <c r="J20" s="60">
        <f t="shared" si="74"/>
        <v>0</v>
      </c>
      <c r="K20" s="60">
        <f t="shared" si="74"/>
        <v>0</v>
      </c>
      <c r="L20" s="60">
        <f t="shared" si="74"/>
        <v>0</v>
      </c>
      <c r="M20" s="60">
        <f t="shared" si="74"/>
        <v>0</v>
      </c>
      <c r="N20" s="60">
        <f t="shared" si="74"/>
        <v>0</v>
      </c>
      <c r="O20" s="60">
        <f t="shared" si="74"/>
        <v>0</v>
      </c>
      <c r="P20" s="372">
        <f t="shared" si="74"/>
        <v>0</v>
      </c>
      <c r="Q20" s="60">
        <f t="shared" si="74"/>
        <v>0</v>
      </c>
      <c r="R20" s="60">
        <f t="shared" si="74"/>
        <v>0</v>
      </c>
      <c r="S20" s="60">
        <f t="shared" si="74"/>
        <v>0</v>
      </c>
      <c r="T20" s="60">
        <f t="shared" si="74"/>
        <v>0</v>
      </c>
      <c r="U20" s="60">
        <f t="shared" si="74"/>
        <v>0</v>
      </c>
      <c r="V20" s="60">
        <f t="shared" si="74"/>
        <v>0</v>
      </c>
      <c r="W20" s="60">
        <f t="shared" si="74"/>
        <v>1748.4728313959192</v>
      </c>
      <c r="X20" s="60">
        <f t="shared" si="74"/>
        <v>3554.2221167235011</v>
      </c>
      <c r="Y20" s="60">
        <f t="shared" si="74"/>
        <v>5414.8693421581011</v>
      </c>
      <c r="Z20" s="60">
        <f t="shared" si="74"/>
        <v>7327.9774321031628</v>
      </c>
      <c r="AA20" s="60">
        <f t="shared" si="74"/>
        <v>9291.0562089591258</v>
      </c>
      <c r="AB20" s="60">
        <f t="shared" si="74"/>
        <v>11215.711509866544</v>
      </c>
      <c r="AC20" s="372">
        <f t="shared" si="74"/>
        <v>11215.711509866544</v>
      </c>
      <c r="AD20" s="60">
        <f t="shared" si="74"/>
        <v>13706.740139693871</v>
      </c>
      <c r="AE20" s="60">
        <f t="shared" si="74"/>
        <v>15726.747434949182</v>
      </c>
      <c r="AF20" s="60">
        <f t="shared" si="74"/>
        <v>17833.332028698569</v>
      </c>
      <c r="AG20" s="60">
        <f t="shared" si="74"/>
        <v>20023.21854281862</v>
      </c>
      <c r="AH20" s="60">
        <f t="shared" si="74"/>
        <v>22293.050863910015</v>
      </c>
      <c r="AI20" s="60">
        <f t="shared" si="74"/>
        <v>24639.399945450579</v>
      </c>
      <c r="AJ20" s="60">
        <f t="shared" ref="AJ20:BO20" si="75">AJ18*AJ19/1000000</f>
        <v>27058.771686952045</v>
      </c>
      <c r="AK20" s="60">
        <f t="shared" si="75"/>
        <v>29547.614865443513</v>
      </c>
      <c r="AL20" s="60">
        <f t="shared" si="75"/>
        <v>32102.329094754641</v>
      </c>
      <c r="AM20" s="60">
        <f t="shared" si="75"/>
        <v>34719.272788317612</v>
      </c>
      <c r="AN20" s="60">
        <f t="shared" si="75"/>
        <v>37394.771101546561</v>
      </c>
      <c r="AO20" s="60">
        <f t="shared" si="75"/>
        <v>39986.965658141031</v>
      </c>
      <c r="AP20" s="372">
        <f t="shared" si="75"/>
        <v>39986.965658141031</v>
      </c>
      <c r="AQ20" s="60">
        <f t="shared" si="75"/>
        <v>43652.878442396184</v>
      </c>
      <c r="AR20" s="60">
        <f t="shared" si="75"/>
        <v>45409.919039919223</v>
      </c>
      <c r="AS20" s="60">
        <f t="shared" si="75"/>
        <v>47253.959647192329</v>
      </c>
      <c r="AT20" s="60">
        <f t="shared" si="75"/>
        <v>49181.459723418127</v>
      </c>
      <c r="AU20" s="60">
        <f t="shared" si="75"/>
        <v>51188.822579141335</v>
      </c>
      <c r="AV20" s="60">
        <f t="shared" si="75"/>
        <v>53272.403664526522</v>
      </c>
      <c r="AW20" s="60">
        <f t="shared" si="75"/>
        <v>55428.518815665404</v>
      </c>
      <c r="AX20" s="60">
        <f t="shared" si="75"/>
        <v>57653.452434993131</v>
      </c>
      <c r="AY20" s="60">
        <f t="shared" si="75"/>
        <v>59943.465582590237</v>
      </c>
      <c r="AZ20" s="60">
        <f t="shared" si="75"/>
        <v>62294.803955923067</v>
      </c>
      <c r="BA20" s="60">
        <f t="shared" si="75"/>
        <v>64703.705736426338</v>
      </c>
      <c r="BB20" s="60">
        <f t="shared" si="75"/>
        <v>67002.986986069634</v>
      </c>
      <c r="BC20" s="372">
        <f t="shared" si="75"/>
        <v>67002.986986069634</v>
      </c>
      <c r="BD20" s="60">
        <f t="shared" si="75"/>
        <v>71551.54452747597</v>
      </c>
      <c r="BE20" s="60">
        <f t="shared" si="75"/>
        <v>72856.981617593585</v>
      </c>
      <c r="BF20" s="60">
        <f t="shared" si="75"/>
        <v>74265.466446185499</v>
      </c>
      <c r="BG20" s="60">
        <f t="shared" si="75"/>
        <v>75772.962811092031</v>
      </c>
      <c r="BH20" s="60">
        <f t="shared" si="75"/>
        <v>77375.388916004056</v>
      </c>
      <c r="BI20" s="60">
        <f t="shared" si="75"/>
        <v>79068.626696706575</v>
      </c>
      <c r="BJ20" s="60">
        <f t="shared" si="75"/>
        <v>80848.531000172501</v>
      </c>
      <c r="BK20" s="60">
        <f t="shared" si="75"/>
        <v>82710.938592722378</v>
      </c>
      <c r="BL20" s="60">
        <f t="shared" si="75"/>
        <v>84651.676974669332</v>
      </c>
      <c r="BM20" s="60">
        <f t="shared" si="75"/>
        <v>86666.572980133569</v>
      </c>
      <c r="BN20" s="60">
        <f t="shared" si="75"/>
        <v>88751.461142027649</v>
      </c>
      <c r="BO20" s="60">
        <f t="shared" si="75"/>
        <v>90706.080323753224</v>
      </c>
      <c r="BP20" s="372">
        <f t="shared" ref="BP20" si="76">BP18*BP19/1000000</f>
        <v>90706.080323753224</v>
      </c>
      <c r="CF20" s="17" t="s">
        <v>1198</v>
      </c>
      <c r="CG20" s="13" t="s">
        <v>965</v>
      </c>
    </row>
    <row r="21" spans="1:85" s="291" customFormat="1">
      <c r="A21" s="291" t="s">
        <v>724</v>
      </c>
      <c r="B21" s="285" t="s">
        <v>231</v>
      </c>
      <c r="C21" s="40"/>
      <c r="D21" s="291">
        <f>P21</f>
        <v>0.95</v>
      </c>
      <c r="E21" s="291">
        <f t="shared" ref="E21:O21" si="77">D21</f>
        <v>0.95</v>
      </c>
      <c r="F21" s="291">
        <f t="shared" si="77"/>
        <v>0.95</v>
      </c>
      <c r="G21" s="291">
        <f t="shared" si="77"/>
        <v>0.95</v>
      </c>
      <c r="H21" s="291">
        <f t="shared" si="77"/>
        <v>0.95</v>
      </c>
      <c r="I21" s="291">
        <f t="shared" si="77"/>
        <v>0.95</v>
      </c>
      <c r="J21" s="291">
        <f t="shared" si="77"/>
        <v>0.95</v>
      </c>
      <c r="K21" s="291">
        <f t="shared" si="77"/>
        <v>0.95</v>
      </c>
      <c r="L21" s="291">
        <f t="shared" si="77"/>
        <v>0.95</v>
      </c>
      <c r="M21" s="291">
        <f t="shared" si="77"/>
        <v>0.95</v>
      </c>
      <c r="N21" s="291">
        <f t="shared" si="77"/>
        <v>0.95</v>
      </c>
      <c r="O21" s="291">
        <f t="shared" si="77"/>
        <v>0.95</v>
      </c>
      <c r="P21" s="461">
        <f>Funnel!E92</f>
        <v>0.95</v>
      </c>
      <c r="Q21" s="291">
        <f>AC21</f>
        <v>0.94</v>
      </c>
      <c r="R21" s="291">
        <f t="shared" ref="R21:AB21" si="78">Q21</f>
        <v>0.94</v>
      </c>
      <c r="S21" s="291">
        <f t="shared" si="78"/>
        <v>0.94</v>
      </c>
      <c r="T21" s="291">
        <f t="shared" si="78"/>
        <v>0.94</v>
      </c>
      <c r="U21" s="291">
        <f t="shared" si="78"/>
        <v>0.94</v>
      </c>
      <c r="V21" s="291">
        <f t="shared" si="78"/>
        <v>0.94</v>
      </c>
      <c r="W21" s="291">
        <f t="shared" si="78"/>
        <v>0.94</v>
      </c>
      <c r="X21" s="291">
        <f t="shared" si="78"/>
        <v>0.94</v>
      </c>
      <c r="Y21" s="291">
        <f t="shared" si="78"/>
        <v>0.94</v>
      </c>
      <c r="Z21" s="291">
        <f t="shared" si="78"/>
        <v>0.94</v>
      </c>
      <c r="AA21" s="291">
        <f t="shared" si="78"/>
        <v>0.94</v>
      </c>
      <c r="AB21" s="291">
        <f t="shared" si="78"/>
        <v>0.94</v>
      </c>
      <c r="AC21" s="461">
        <f>Funnel!F92</f>
        <v>0.94</v>
      </c>
      <c r="AD21" s="291">
        <f>AP21</f>
        <v>0.92999999999999994</v>
      </c>
      <c r="AE21" s="291">
        <f t="shared" ref="AE21:AO21" si="79">AD21</f>
        <v>0.92999999999999994</v>
      </c>
      <c r="AF21" s="291">
        <f t="shared" si="79"/>
        <v>0.92999999999999994</v>
      </c>
      <c r="AG21" s="291">
        <f t="shared" si="79"/>
        <v>0.92999999999999994</v>
      </c>
      <c r="AH21" s="291">
        <f t="shared" si="79"/>
        <v>0.92999999999999994</v>
      </c>
      <c r="AI21" s="291">
        <f t="shared" si="79"/>
        <v>0.92999999999999994</v>
      </c>
      <c r="AJ21" s="291">
        <f t="shared" si="79"/>
        <v>0.92999999999999994</v>
      </c>
      <c r="AK21" s="291">
        <f t="shared" si="79"/>
        <v>0.92999999999999994</v>
      </c>
      <c r="AL21" s="291">
        <f t="shared" si="79"/>
        <v>0.92999999999999994</v>
      </c>
      <c r="AM21" s="291">
        <f t="shared" si="79"/>
        <v>0.92999999999999994</v>
      </c>
      <c r="AN21" s="291">
        <f t="shared" si="79"/>
        <v>0.92999999999999994</v>
      </c>
      <c r="AO21" s="291">
        <f t="shared" si="79"/>
        <v>0.92999999999999994</v>
      </c>
      <c r="AP21" s="461">
        <f>Funnel!G92</f>
        <v>0.92999999999999994</v>
      </c>
      <c r="AQ21" s="291">
        <f>BC21</f>
        <v>0.91999999999999993</v>
      </c>
      <c r="AR21" s="291">
        <f t="shared" ref="AR21:BB21" si="80">AQ21</f>
        <v>0.91999999999999993</v>
      </c>
      <c r="AS21" s="291">
        <f t="shared" si="80"/>
        <v>0.91999999999999993</v>
      </c>
      <c r="AT21" s="291">
        <f t="shared" si="80"/>
        <v>0.91999999999999993</v>
      </c>
      <c r="AU21" s="291">
        <f t="shared" si="80"/>
        <v>0.91999999999999993</v>
      </c>
      <c r="AV21" s="291">
        <f t="shared" si="80"/>
        <v>0.91999999999999993</v>
      </c>
      <c r="AW21" s="291">
        <f t="shared" si="80"/>
        <v>0.91999999999999993</v>
      </c>
      <c r="AX21" s="291">
        <f t="shared" si="80"/>
        <v>0.91999999999999993</v>
      </c>
      <c r="AY21" s="291">
        <f t="shared" si="80"/>
        <v>0.91999999999999993</v>
      </c>
      <c r="AZ21" s="291">
        <f t="shared" si="80"/>
        <v>0.91999999999999993</v>
      </c>
      <c r="BA21" s="291">
        <f t="shared" si="80"/>
        <v>0.91999999999999993</v>
      </c>
      <c r="BB21" s="291">
        <f t="shared" si="80"/>
        <v>0.91999999999999993</v>
      </c>
      <c r="BC21" s="461">
        <f>Funnel!H92</f>
        <v>0.91999999999999993</v>
      </c>
      <c r="BD21" s="291">
        <f>BP21</f>
        <v>0.90999999999999992</v>
      </c>
      <c r="BE21" s="291">
        <f t="shared" ref="BE21:BO21" si="81">BD21</f>
        <v>0.90999999999999992</v>
      </c>
      <c r="BF21" s="291">
        <f t="shared" si="81"/>
        <v>0.90999999999999992</v>
      </c>
      <c r="BG21" s="291">
        <f t="shared" si="81"/>
        <v>0.90999999999999992</v>
      </c>
      <c r="BH21" s="291">
        <f t="shared" si="81"/>
        <v>0.90999999999999992</v>
      </c>
      <c r="BI21" s="291">
        <f t="shared" si="81"/>
        <v>0.90999999999999992</v>
      </c>
      <c r="BJ21" s="291">
        <f t="shared" si="81"/>
        <v>0.90999999999999992</v>
      </c>
      <c r="BK21" s="291">
        <f t="shared" si="81"/>
        <v>0.90999999999999992</v>
      </c>
      <c r="BL21" s="291">
        <f t="shared" si="81"/>
        <v>0.90999999999999992</v>
      </c>
      <c r="BM21" s="291">
        <f t="shared" si="81"/>
        <v>0.90999999999999992</v>
      </c>
      <c r="BN21" s="291">
        <f t="shared" si="81"/>
        <v>0.90999999999999992</v>
      </c>
      <c r="BO21" s="291">
        <f t="shared" si="81"/>
        <v>0.90999999999999992</v>
      </c>
      <c r="BP21" s="461">
        <f>Funnel!I92</f>
        <v>0.90999999999999992</v>
      </c>
      <c r="CF21" s="291" t="s">
        <v>1053</v>
      </c>
      <c r="CG21" s="285" t="s">
        <v>231</v>
      </c>
    </row>
    <row r="22" spans="1:85" s="60" customFormat="1" ht="15.6">
      <c r="A22" s="60" t="s">
        <v>694</v>
      </c>
      <c r="B22" s="12" t="s">
        <v>496</v>
      </c>
      <c r="C22" s="374"/>
      <c r="D22" s="60">
        <f t="shared" ref="D22:AI22" si="82">D18*D21</f>
        <v>0</v>
      </c>
      <c r="E22" s="60">
        <f t="shared" si="82"/>
        <v>0</v>
      </c>
      <c r="F22" s="60">
        <f t="shared" si="82"/>
        <v>0</v>
      </c>
      <c r="G22" s="60">
        <f t="shared" si="82"/>
        <v>0</v>
      </c>
      <c r="H22" s="60">
        <f t="shared" si="82"/>
        <v>0</v>
      </c>
      <c r="I22" s="60">
        <f t="shared" si="82"/>
        <v>0</v>
      </c>
      <c r="J22" s="60">
        <f t="shared" si="82"/>
        <v>0</v>
      </c>
      <c r="K22" s="60">
        <f t="shared" si="82"/>
        <v>0</v>
      </c>
      <c r="L22" s="60">
        <f t="shared" si="82"/>
        <v>0</v>
      </c>
      <c r="M22" s="60">
        <f t="shared" si="82"/>
        <v>0</v>
      </c>
      <c r="N22" s="60">
        <f t="shared" si="82"/>
        <v>0</v>
      </c>
      <c r="O22" s="60">
        <f t="shared" si="82"/>
        <v>0</v>
      </c>
      <c r="P22" s="372">
        <f t="shared" si="82"/>
        <v>0</v>
      </c>
      <c r="Q22" s="60">
        <f t="shared" si="82"/>
        <v>0</v>
      </c>
      <c r="R22" s="60">
        <f t="shared" si="82"/>
        <v>0</v>
      </c>
      <c r="S22" s="60">
        <f t="shared" si="82"/>
        <v>0</v>
      </c>
      <c r="T22" s="60">
        <f t="shared" si="82"/>
        <v>0</v>
      </c>
      <c r="U22" s="60">
        <f t="shared" si="82"/>
        <v>0</v>
      </c>
      <c r="V22" s="60">
        <f t="shared" si="82"/>
        <v>0</v>
      </c>
      <c r="W22" s="60">
        <f t="shared" si="82"/>
        <v>3130.598974308884</v>
      </c>
      <c r="X22" s="60">
        <f t="shared" si="82"/>
        <v>6363.7500756573163</v>
      </c>
      <c r="Y22" s="60">
        <f t="shared" si="82"/>
        <v>9695.1946316735521</v>
      </c>
      <c r="Z22" s="60">
        <f t="shared" si="82"/>
        <v>13120.569116527566</v>
      </c>
      <c r="AA22" s="60">
        <f t="shared" si="82"/>
        <v>16635.414926517289</v>
      </c>
      <c r="AB22" s="60">
        <f t="shared" si="82"/>
        <v>20081.464417665808</v>
      </c>
      <c r="AC22" s="372">
        <f t="shared" si="82"/>
        <v>20081.464417665808</v>
      </c>
      <c r="AD22" s="60">
        <f t="shared" si="82"/>
        <v>23124.296290095779</v>
      </c>
      <c r="AE22" s="60">
        <f t="shared" si="82"/>
        <v>26532.199754199977</v>
      </c>
      <c r="AF22" s="60">
        <f t="shared" si="82"/>
        <v>30086.165599437045</v>
      </c>
      <c r="AG22" s="60">
        <f t="shared" si="82"/>
        <v>33780.668017816446</v>
      </c>
      <c r="AH22" s="60">
        <f t="shared" si="82"/>
        <v>37610.044994895805</v>
      </c>
      <c r="AI22" s="60">
        <f t="shared" si="82"/>
        <v>41568.511472596896</v>
      </c>
      <c r="AJ22" s="60">
        <f t="shared" ref="AJ22:BO22" si="83">AJ18*AJ21</f>
        <v>45650.172641932702</v>
      </c>
      <c r="AK22" s="60">
        <f t="shared" si="83"/>
        <v>49849.037324013545</v>
      </c>
      <c r="AL22" s="60">
        <f t="shared" si="83"/>
        <v>54159.031397953411</v>
      </c>
      <c r="AM22" s="60">
        <f t="shared" si="83"/>
        <v>58574.0112347127</v>
      </c>
      <c r="AN22" s="60">
        <f t="shared" si="83"/>
        <v>63087.777096486709</v>
      </c>
      <c r="AO22" s="60">
        <f t="shared" si="83"/>
        <v>67461.003287203916</v>
      </c>
      <c r="AP22" s="372">
        <f t="shared" si="83"/>
        <v>67461.003287203916</v>
      </c>
      <c r="AQ22" s="60">
        <f t="shared" si="83"/>
        <v>69384.555736105365</v>
      </c>
      <c r="AR22" s="60">
        <f t="shared" si="83"/>
        <v>72177.303559832726</v>
      </c>
      <c r="AS22" s="60">
        <f t="shared" si="83"/>
        <v>75108.334521830373</v>
      </c>
      <c r="AT22" s="60">
        <f t="shared" si="83"/>
        <v>78172.021069940049</v>
      </c>
      <c r="AU22" s="60">
        <f t="shared" si="83"/>
        <v>81362.646405891413</v>
      </c>
      <c r="AV22" s="60">
        <f t="shared" si="83"/>
        <v>84674.417659197745</v>
      </c>
      <c r="AW22" s="60">
        <f t="shared" si="83"/>
        <v>88101.478994341291</v>
      </c>
      <c r="AX22" s="60">
        <f t="shared" si="83"/>
        <v>91637.924613227398</v>
      </c>
      <c r="AY22" s="60">
        <f t="shared" si="83"/>
        <v>95277.81161599484</v>
      </c>
      <c r="AZ22" s="60">
        <f t="shared" si="83"/>
        <v>99015.172684503559</v>
      </c>
      <c r="BA22" s="60">
        <f t="shared" si="83"/>
        <v>102844.02855417294</v>
      </c>
      <c r="BB22" s="60">
        <f t="shared" si="83"/>
        <v>106498.64684536714</v>
      </c>
      <c r="BC22" s="372">
        <f t="shared" si="83"/>
        <v>106498.64684536714</v>
      </c>
      <c r="BD22" s="60">
        <f t="shared" si="83"/>
        <v>107135.45161944353</v>
      </c>
      <c r="BE22" s="60">
        <f t="shared" si="83"/>
        <v>109090.1067304428</v>
      </c>
      <c r="BF22" s="60">
        <f t="shared" si="83"/>
        <v>111199.05712706748</v>
      </c>
      <c r="BG22" s="60">
        <f t="shared" si="83"/>
        <v>113456.25932913751</v>
      </c>
      <c r="BH22" s="60">
        <f t="shared" si="83"/>
        <v>115855.6015875092</v>
      </c>
      <c r="BI22" s="60">
        <f t="shared" si="83"/>
        <v>118390.91784843223</v>
      </c>
      <c r="BJ22" s="60">
        <f t="shared" si="83"/>
        <v>121056.00149757674</v>
      </c>
      <c r="BK22" s="60">
        <f t="shared" si="83"/>
        <v>123844.61884811755</v>
      </c>
      <c r="BL22" s="60">
        <f t="shared" si="83"/>
        <v>126750.52233906501</v>
      </c>
      <c r="BM22" s="60">
        <f t="shared" si="83"/>
        <v>129767.46341192655</v>
      </c>
      <c r="BN22" s="60">
        <f t="shared" si="83"/>
        <v>132889.20503575384</v>
      </c>
      <c r="BO22" s="60">
        <f t="shared" si="83"/>
        <v>135815.89250506184</v>
      </c>
      <c r="BP22" s="372">
        <f t="shared" ref="BP22" si="84">BP18*BP21</f>
        <v>135815.89250506184</v>
      </c>
      <c r="CF22" s="60" t="s">
        <v>1197</v>
      </c>
      <c r="CG22" s="13" t="s">
        <v>394</v>
      </c>
    </row>
    <row r="23" spans="1:85" s="365" customFormat="1">
      <c r="A23" s="370" t="s">
        <v>622</v>
      </c>
      <c r="B23" s="454" t="s">
        <v>231</v>
      </c>
      <c r="C23" s="369">
        <f>'packages (indiv)'!C103</f>
        <v>0</v>
      </c>
      <c r="D23" s="369">
        <f>'packages (indiv)'!D103</f>
        <v>8.3333333333333332E-3</v>
      </c>
      <c r="E23" s="369">
        <f>'packages (indiv)'!E103</f>
        <v>1.6666666666666666E-2</v>
      </c>
      <c r="F23" s="369">
        <f>'packages (indiv)'!F103</f>
        <v>2.5000000000000001E-2</v>
      </c>
      <c r="G23" s="369">
        <f>'packages (indiv)'!G103</f>
        <v>3.3333333333333333E-2</v>
      </c>
      <c r="H23" s="369">
        <f>'packages (indiv)'!H103</f>
        <v>4.1666666666666664E-2</v>
      </c>
      <c r="I23" s="369">
        <f>'packages (indiv)'!I103</f>
        <v>4.9999999999999996E-2</v>
      </c>
      <c r="J23" s="369">
        <f>'packages (indiv)'!J103</f>
        <v>5.8333333333333327E-2</v>
      </c>
      <c r="K23" s="369">
        <f>'packages (indiv)'!K103</f>
        <v>6.6666666666666666E-2</v>
      </c>
      <c r="L23" s="369">
        <f>'packages (indiv)'!L103</f>
        <v>7.4999999999999997E-2</v>
      </c>
      <c r="M23" s="369">
        <f>'packages (indiv)'!M103</f>
        <v>8.3333333333333329E-2</v>
      </c>
      <c r="N23" s="369">
        <f>'packages (indiv)'!N103</f>
        <v>9.166666666666666E-2</v>
      </c>
      <c r="O23" s="369">
        <f>'packages (indiv)'!O103</f>
        <v>9.9999999999999992E-2</v>
      </c>
      <c r="P23" s="368">
        <f>'packages (indiv)'!P103</f>
        <v>0.1</v>
      </c>
      <c r="Q23" s="369">
        <f>'packages (indiv)'!Q103</f>
        <v>0.10250000000000001</v>
      </c>
      <c r="R23" s="369">
        <f>'packages (indiv)'!R103</f>
        <v>0.10500000000000001</v>
      </c>
      <c r="S23" s="369">
        <f>'packages (indiv)'!S103</f>
        <v>0.10750000000000001</v>
      </c>
      <c r="T23" s="369">
        <f>'packages (indiv)'!T103</f>
        <v>0.11000000000000001</v>
      </c>
      <c r="U23" s="369">
        <f>'packages (indiv)'!U103</f>
        <v>0.11250000000000002</v>
      </c>
      <c r="V23" s="369">
        <f>'packages (indiv)'!V103</f>
        <v>0.11500000000000002</v>
      </c>
      <c r="W23" s="369">
        <f>'packages (indiv)'!W103</f>
        <v>0.11750000000000002</v>
      </c>
      <c r="X23" s="369">
        <f>'packages (indiv)'!X103</f>
        <v>0.12000000000000002</v>
      </c>
      <c r="Y23" s="369">
        <f>'packages (indiv)'!Y103</f>
        <v>0.12250000000000003</v>
      </c>
      <c r="Z23" s="369">
        <f>'packages (indiv)'!Z103</f>
        <v>0.12500000000000003</v>
      </c>
      <c r="AA23" s="369">
        <f>'packages (indiv)'!AA103</f>
        <v>0.12750000000000003</v>
      </c>
      <c r="AB23" s="369">
        <f>'packages (indiv)'!AB103</f>
        <v>0.13000000000000003</v>
      </c>
      <c r="AC23" s="368">
        <f>'packages (indiv)'!AC103</f>
        <v>0.13</v>
      </c>
      <c r="AD23" s="369">
        <f>'packages (indiv)'!AD103</f>
        <v>0.13250000000000001</v>
      </c>
      <c r="AE23" s="369">
        <f>'packages (indiv)'!AE103</f>
        <v>0.13500000000000001</v>
      </c>
      <c r="AF23" s="369">
        <f>'packages (indiv)'!AF103</f>
        <v>0.13750000000000001</v>
      </c>
      <c r="AG23" s="369">
        <f>'packages (indiv)'!AG103</f>
        <v>0.14000000000000001</v>
      </c>
      <c r="AH23" s="369">
        <f>'packages (indiv)'!AH103</f>
        <v>0.14250000000000002</v>
      </c>
      <c r="AI23" s="369">
        <f>'packages (indiv)'!AI103</f>
        <v>0.14500000000000002</v>
      </c>
      <c r="AJ23" s="369">
        <f>'packages (indiv)'!AJ103</f>
        <v>0.14750000000000002</v>
      </c>
      <c r="AK23" s="369">
        <f>'packages (indiv)'!AK103</f>
        <v>0.15000000000000002</v>
      </c>
      <c r="AL23" s="369">
        <f>'packages (indiv)'!AL103</f>
        <v>0.15250000000000002</v>
      </c>
      <c r="AM23" s="369">
        <f>'packages (indiv)'!AM103</f>
        <v>0.15500000000000003</v>
      </c>
      <c r="AN23" s="369">
        <f>'packages (indiv)'!AN103</f>
        <v>0.15750000000000003</v>
      </c>
      <c r="AO23" s="369">
        <f>'packages (indiv)'!AO103</f>
        <v>0.16000000000000003</v>
      </c>
      <c r="AP23" s="368">
        <f>'packages (indiv)'!AP103</f>
        <v>0.16</v>
      </c>
      <c r="AQ23" s="369">
        <f>'packages (indiv)'!AQ103</f>
        <v>0.16250000000000001</v>
      </c>
      <c r="AR23" s="369">
        <f>'packages (indiv)'!AR103</f>
        <v>0.16500000000000001</v>
      </c>
      <c r="AS23" s="369">
        <f>'packages (indiv)'!AS103</f>
        <v>0.16750000000000001</v>
      </c>
      <c r="AT23" s="369">
        <f>'packages (indiv)'!AT103</f>
        <v>0.17</v>
      </c>
      <c r="AU23" s="369">
        <f>'packages (indiv)'!AU103</f>
        <v>0.17250000000000001</v>
      </c>
      <c r="AV23" s="369">
        <f>'packages (indiv)'!AV103</f>
        <v>0.17500000000000002</v>
      </c>
      <c r="AW23" s="369">
        <f>'packages (indiv)'!AW103</f>
        <v>0.17750000000000002</v>
      </c>
      <c r="AX23" s="369">
        <f>'packages (indiv)'!AX103</f>
        <v>0.18000000000000002</v>
      </c>
      <c r="AY23" s="369">
        <f>'packages (indiv)'!AY103</f>
        <v>0.18250000000000002</v>
      </c>
      <c r="AZ23" s="369">
        <f>'packages (indiv)'!AZ103</f>
        <v>0.18500000000000003</v>
      </c>
      <c r="BA23" s="369">
        <f>'packages (indiv)'!BA103</f>
        <v>0.18750000000000003</v>
      </c>
      <c r="BB23" s="369">
        <f>'packages (indiv)'!BB103</f>
        <v>0.19000000000000003</v>
      </c>
      <c r="BC23" s="368">
        <f>'packages (indiv)'!BC103</f>
        <v>0.19</v>
      </c>
      <c r="BD23" s="369">
        <f>'packages (indiv)'!BD103</f>
        <v>0.1925</v>
      </c>
      <c r="BE23" s="369">
        <f>'packages (indiv)'!BE103</f>
        <v>0.19500000000000001</v>
      </c>
      <c r="BF23" s="369">
        <f>'packages (indiv)'!BF103</f>
        <v>0.19750000000000001</v>
      </c>
      <c r="BG23" s="369">
        <f>'packages (indiv)'!BG103</f>
        <v>0.2</v>
      </c>
      <c r="BH23" s="369">
        <f>'packages (indiv)'!BH103</f>
        <v>0.20250000000000001</v>
      </c>
      <c r="BI23" s="369">
        <f>'packages (indiv)'!BI103</f>
        <v>0.20500000000000002</v>
      </c>
      <c r="BJ23" s="369">
        <f>'packages (indiv)'!BJ103</f>
        <v>0.20750000000000002</v>
      </c>
      <c r="BK23" s="369">
        <f>'packages (indiv)'!BK103</f>
        <v>0.21000000000000002</v>
      </c>
      <c r="BL23" s="369">
        <f>'packages (indiv)'!BL103</f>
        <v>0.21250000000000002</v>
      </c>
      <c r="BM23" s="369">
        <f>'packages (indiv)'!BM103</f>
        <v>0.21500000000000002</v>
      </c>
      <c r="BN23" s="369">
        <f>'packages (indiv)'!BN103</f>
        <v>0.21750000000000003</v>
      </c>
      <c r="BO23" s="369">
        <f>'packages (indiv)'!BO103</f>
        <v>0.22000000000000003</v>
      </c>
      <c r="BP23" s="368">
        <f>'packages (indiv)'!BP103</f>
        <v>0.22</v>
      </c>
      <c r="CF23" s="370" t="s">
        <v>1000</v>
      </c>
      <c r="CG23" s="454" t="s">
        <v>231</v>
      </c>
    </row>
    <row r="24" spans="1:85" s="365" customFormat="1">
      <c r="A24" s="370" t="s">
        <v>621</v>
      </c>
      <c r="B24" s="454" t="s">
        <v>231</v>
      </c>
      <c r="C24" s="369">
        <f>'packages (indiv)'!C104</f>
        <v>1</v>
      </c>
      <c r="D24" s="369">
        <f>'packages (indiv)'!D104</f>
        <v>0.9916666666666667</v>
      </c>
      <c r="E24" s="369">
        <f>'packages (indiv)'!E104</f>
        <v>0.98333333333333328</v>
      </c>
      <c r="F24" s="369">
        <f>'packages (indiv)'!F104</f>
        <v>0.97499999999999998</v>
      </c>
      <c r="G24" s="369">
        <f>'packages (indiv)'!G104</f>
        <v>0.96666666666666667</v>
      </c>
      <c r="H24" s="369">
        <f>'packages (indiv)'!H104</f>
        <v>0.95833333333333337</v>
      </c>
      <c r="I24" s="369">
        <f>'packages (indiv)'!I104</f>
        <v>0.95</v>
      </c>
      <c r="J24" s="369">
        <f>'packages (indiv)'!J104</f>
        <v>0.94166666666666665</v>
      </c>
      <c r="K24" s="369">
        <f>'packages (indiv)'!K104</f>
        <v>0.93333333333333335</v>
      </c>
      <c r="L24" s="369">
        <f>'packages (indiv)'!L104</f>
        <v>0.92500000000000004</v>
      </c>
      <c r="M24" s="369">
        <f>'packages (indiv)'!M104</f>
        <v>0.91666666666666663</v>
      </c>
      <c r="N24" s="369">
        <f>'packages (indiv)'!N104</f>
        <v>0.90833333333333333</v>
      </c>
      <c r="O24" s="369">
        <f>'packages (indiv)'!O104</f>
        <v>0.9</v>
      </c>
      <c r="P24" s="368">
        <f>'packages (indiv)'!P104</f>
        <v>0.9</v>
      </c>
      <c r="Q24" s="369">
        <f>'packages (indiv)'!Q104</f>
        <v>0.89749999999999996</v>
      </c>
      <c r="R24" s="369">
        <f>'packages (indiv)'!R104</f>
        <v>0.89500000000000002</v>
      </c>
      <c r="S24" s="369">
        <f>'packages (indiv)'!S104</f>
        <v>0.89249999999999996</v>
      </c>
      <c r="T24" s="369">
        <f>'packages (indiv)'!T104</f>
        <v>0.89</v>
      </c>
      <c r="U24" s="369">
        <f>'packages (indiv)'!U104</f>
        <v>0.88749999999999996</v>
      </c>
      <c r="V24" s="369">
        <f>'packages (indiv)'!V104</f>
        <v>0.88500000000000001</v>
      </c>
      <c r="W24" s="369">
        <f>'packages (indiv)'!W104</f>
        <v>0.88249999999999995</v>
      </c>
      <c r="X24" s="369">
        <f>'packages (indiv)'!X104</f>
        <v>0.88</v>
      </c>
      <c r="Y24" s="369">
        <f>'packages (indiv)'!Y104</f>
        <v>0.87749999999999995</v>
      </c>
      <c r="Z24" s="369">
        <f>'packages (indiv)'!Z104</f>
        <v>0.875</v>
      </c>
      <c r="AA24" s="369">
        <f>'packages (indiv)'!AA104</f>
        <v>0.87249999999999994</v>
      </c>
      <c r="AB24" s="369">
        <f>'packages (indiv)'!AB104</f>
        <v>0.87</v>
      </c>
      <c r="AC24" s="368">
        <f>'packages (indiv)'!AC104</f>
        <v>0.87</v>
      </c>
      <c r="AD24" s="369">
        <f>'packages (indiv)'!AD104</f>
        <v>0.86749999999999994</v>
      </c>
      <c r="AE24" s="369">
        <f>'packages (indiv)'!AE104</f>
        <v>0.86499999999999999</v>
      </c>
      <c r="AF24" s="369">
        <f>'packages (indiv)'!AF104</f>
        <v>0.86250000000000004</v>
      </c>
      <c r="AG24" s="369">
        <f>'packages (indiv)'!AG104</f>
        <v>0.86</v>
      </c>
      <c r="AH24" s="369">
        <f>'packages (indiv)'!AH104</f>
        <v>0.85749999999999993</v>
      </c>
      <c r="AI24" s="369">
        <f>'packages (indiv)'!AI104</f>
        <v>0.85499999999999998</v>
      </c>
      <c r="AJ24" s="369">
        <f>'packages (indiv)'!AJ104</f>
        <v>0.85250000000000004</v>
      </c>
      <c r="AK24" s="369">
        <f>'packages (indiv)'!AK104</f>
        <v>0.85</v>
      </c>
      <c r="AL24" s="369">
        <f>'packages (indiv)'!AL104</f>
        <v>0.84749999999999992</v>
      </c>
      <c r="AM24" s="369">
        <f>'packages (indiv)'!AM104</f>
        <v>0.84499999999999997</v>
      </c>
      <c r="AN24" s="369">
        <f>'packages (indiv)'!AN104</f>
        <v>0.84250000000000003</v>
      </c>
      <c r="AO24" s="369">
        <f>'packages (indiv)'!AO104</f>
        <v>0.84</v>
      </c>
      <c r="AP24" s="368">
        <f>'packages (indiv)'!AP104</f>
        <v>0.84</v>
      </c>
      <c r="AQ24" s="369">
        <f>'packages (indiv)'!AQ104</f>
        <v>0.83750000000000002</v>
      </c>
      <c r="AR24" s="369">
        <f>'packages (indiv)'!AR104</f>
        <v>0.83499999999999996</v>
      </c>
      <c r="AS24" s="369">
        <f>'packages (indiv)'!AS104</f>
        <v>0.83250000000000002</v>
      </c>
      <c r="AT24" s="369">
        <f>'packages (indiv)'!AT104</f>
        <v>0.83</v>
      </c>
      <c r="AU24" s="369">
        <f>'packages (indiv)'!AU104</f>
        <v>0.82750000000000001</v>
      </c>
      <c r="AV24" s="369">
        <f>'packages (indiv)'!AV104</f>
        <v>0.82499999999999996</v>
      </c>
      <c r="AW24" s="369">
        <f>'packages (indiv)'!AW104</f>
        <v>0.82250000000000001</v>
      </c>
      <c r="AX24" s="369">
        <f>'packages (indiv)'!AX104</f>
        <v>0.82</v>
      </c>
      <c r="AY24" s="369">
        <f>'packages (indiv)'!AY104</f>
        <v>0.8175</v>
      </c>
      <c r="AZ24" s="369">
        <f>'packages (indiv)'!AZ104</f>
        <v>0.81499999999999995</v>
      </c>
      <c r="BA24" s="369">
        <f>'packages (indiv)'!BA104</f>
        <v>0.8125</v>
      </c>
      <c r="BB24" s="369">
        <f>'packages (indiv)'!BB104</f>
        <v>0.80999999999999994</v>
      </c>
      <c r="BC24" s="368">
        <f>'packages (indiv)'!BC104</f>
        <v>0.81</v>
      </c>
      <c r="BD24" s="369">
        <f>'packages (indiv)'!BD104</f>
        <v>0.8075</v>
      </c>
      <c r="BE24" s="369">
        <f>'packages (indiv)'!BE104</f>
        <v>0.80499999999999994</v>
      </c>
      <c r="BF24" s="369">
        <f>'packages (indiv)'!BF104</f>
        <v>0.80249999999999999</v>
      </c>
      <c r="BG24" s="369">
        <f>'packages (indiv)'!BG104</f>
        <v>0.8</v>
      </c>
      <c r="BH24" s="369">
        <f>'packages (indiv)'!BH104</f>
        <v>0.79749999999999999</v>
      </c>
      <c r="BI24" s="369">
        <f>'packages (indiv)'!BI104</f>
        <v>0.79499999999999993</v>
      </c>
      <c r="BJ24" s="369">
        <f>'packages (indiv)'!BJ104</f>
        <v>0.79249999999999998</v>
      </c>
      <c r="BK24" s="369">
        <f>'packages (indiv)'!BK104</f>
        <v>0.79</v>
      </c>
      <c r="BL24" s="369">
        <f>'packages (indiv)'!BL104</f>
        <v>0.78749999999999998</v>
      </c>
      <c r="BM24" s="369">
        <f>'packages (indiv)'!BM104</f>
        <v>0.78499999999999992</v>
      </c>
      <c r="BN24" s="369">
        <f>'packages (indiv)'!BN104</f>
        <v>0.78249999999999997</v>
      </c>
      <c r="BO24" s="369">
        <f>'packages (indiv)'!BO104</f>
        <v>0.78</v>
      </c>
      <c r="BP24" s="368">
        <f>'packages (indiv)'!BP104</f>
        <v>0.78</v>
      </c>
      <c r="CF24" s="370" t="s">
        <v>1001</v>
      </c>
      <c r="CG24" s="454" t="s">
        <v>231</v>
      </c>
    </row>
    <row r="25" spans="1:85" s="365" customFormat="1">
      <c r="A25" s="367" t="s">
        <v>138</v>
      </c>
      <c r="B25" s="454" t="s">
        <v>231</v>
      </c>
      <c r="C25" s="369">
        <f>'packages (indiv)'!C105</f>
        <v>0.10000000000000009</v>
      </c>
      <c r="D25" s="369">
        <f>'packages (indiv)'!D105</f>
        <v>0.10000000000000009</v>
      </c>
      <c r="E25" s="369">
        <f>'packages (indiv)'!E105</f>
        <v>0.10000000000000009</v>
      </c>
      <c r="F25" s="369">
        <f>'packages (indiv)'!F105</f>
        <v>0.10000000000000009</v>
      </c>
      <c r="G25" s="369">
        <f>'packages (indiv)'!G105</f>
        <v>0.10000000000000009</v>
      </c>
      <c r="H25" s="369">
        <f>'packages (indiv)'!H105</f>
        <v>0.10000000000000009</v>
      </c>
      <c r="I25" s="369">
        <f>'packages (indiv)'!I105</f>
        <v>0.10000000000000009</v>
      </c>
      <c r="J25" s="369">
        <f>'packages (indiv)'!J105</f>
        <v>0.10000000000000009</v>
      </c>
      <c r="K25" s="369">
        <f>'packages (indiv)'!K105</f>
        <v>0.10000000000000009</v>
      </c>
      <c r="L25" s="369">
        <f>'packages (indiv)'!L105</f>
        <v>0.10000000000000009</v>
      </c>
      <c r="M25" s="369">
        <f>'packages (indiv)'!M105</f>
        <v>0.10000000000000009</v>
      </c>
      <c r="N25" s="369">
        <f>'packages (indiv)'!N105</f>
        <v>0.10000000000000009</v>
      </c>
      <c r="O25" s="369">
        <f>'packages (indiv)'!O105</f>
        <v>0.10000000000000009</v>
      </c>
      <c r="P25" s="368">
        <f>'packages (indiv)'!P105</f>
        <v>0.10000000000000009</v>
      </c>
      <c r="Q25" s="369">
        <f>'packages (indiv)'!Q105</f>
        <v>0.10000000000000009</v>
      </c>
      <c r="R25" s="369">
        <f>'packages (indiv)'!R105</f>
        <v>0.10000000000000009</v>
      </c>
      <c r="S25" s="369">
        <f>'packages (indiv)'!S105</f>
        <v>0.10000000000000009</v>
      </c>
      <c r="T25" s="369">
        <f>'packages (indiv)'!T105</f>
        <v>0.10000000000000009</v>
      </c>
      <c r="U25" s="369">
        <f>'packages (indiv)'!U105</f>
        <v>0.10000000000000009</v>
      </c>
      <c r="V25" s="369">
        <f>'packages (indiv)'!V105</f>
        <v>0.10000000000000009</v>
      </c>
      <c r="W25" s="369">
        <f>'packages (indiv)'!W105</f>
        <v>0.10000000000000009</v>
      </c>
      <c r="X25" s="369">
        <f>'packages (indiv)'!X105</f>
        <v>0.10000000000000009</v>
      </c>
      <c r="Y25" s="369">
        <f>'packages (indiv)'!Y105</f>
        <v>0.10000000000000009</v>
      </c>
      <c r="Z25" s="369">
        <f>'packages (indiv)'!Z105</f>
        <v>0.10000000000000009</v>
      </c>
      <c r="AA25" s="369">
        <f>'packages (indiv)'!AA105</f>
        <v>0.10000000000000009</v>
      </c>
      <c r="AB25" s="369">
        <f>'packages (indiv)'!AB105</f>
        <v>0.10000000000000009</v>
      </c>
      <c r="AC25" s="368">
        <f>'packages (indiv)'!AC105</f>
        <v>0.10000000000000009</v>
      </c>
      <c r="AD25" s="369">
        <f>'packages (indiv)'!AD105</f>
        <v>0.10000000000000009</v>
      </c>
      <c r="AE25" s="369">
        <f>'packages (indiv)'!AE105</f>
        <v>0.10000000000000009</v>
      </c>
      <c r="AF25" s="369">
        <f>'packages (indiv)'!AF105</f>
        <v>0.10000000000000009</v>
      </c>
      <c r="AG25" s="369">
        <f>'packages (indiv)'!AG105</f>
        <v>0.10000000000000009</v>
      </c>
      <c r="AH25" s="369">
        <f>'packages (indiv)'!AH105</f>
        <v>0.10000000000000009</v>
      </c>
      <c r="AI25" s="369">
        <f>'packages (indiv)'!AI105</f>
        <v>0.10000000000000009</v>
      </c>
      <c r="AJ25" s="369">
        <f>'packages (indiv)'!AJ105</f>
        <v>0.10000000000000009</v>
      </c>
      <c r="AK25" s="369">
        <f>'packages (indiv)'!AK105</f>
        <v>0.10000000000000009</v>
      </c>
      <c r="AL25" s="369">
        <f>'packages (indiv)'!AL105</f>
        <v>0.10000000000000009</v>
      </c>
      <c r="AM25" s="369">
        <f>'packages (indiv)'!AM105</f>
        <v>0.10000000000000009</v>
      </c>
      <c r="AN25" s="369">
        <f>'packages (indiv)'!AN105</f>
        <v>0.10000000000000009</v>
      </c>
      <c r="AO25" s="369">
        <f>'packages (indiv)'!AO105</f>
        <v>0.10000000000000009</v>
      </c>
      <c r="AP25" s="368">
        <f>'packages (indiv)'!AP105</f>
        <v>0.10000000000000009</v>
      </c>
      <c r="AQ25" s="369">
        <f>'packages (indiv)'!AQ105</f>
        <v>0.10000000000000009</v>
      </c>
      <c r="AR25" s="369">
        <f>'packages (indiv)'!AR105</f>
        <v>0.10000000000000009</v>
      </c>
      <c r="AS25" s="369">
        <f>'packages (indiv)'!AS105</f>
        <v>0.10000000000000009</v>
      </c>
      <c r="AT25" s="369">
        <f>'packages (indiv)'!AT105</f>
        <v>0.10000000000000009</v>
      </c>
      <c r="AU25" s="369">
        <f>'packages (indiv)'!AU105</f>
        <v>0.10000000000000009</v>
      </c>
      <c r="AV25" s="369">
        <f>'packages (indiv)'!AV105</f>
        <v>0.10000000000000009</v>
      </c>
      <c r="AW25" s="369">
        <f>'packages (indiv)'!AW105</f>
        <v>0.10000000000000009</v>
      </c>
      <c r="AX25" s="369">
        <f>'packages (indiv)'!AX105</f>
        <v>0.10000000000000009</v>
      </c>
      <c r="AY25" s="369">
        <f>'packages (indiv)'!AY105</f>
        <v>0.10000000000000009</v>
      </c>
      <c r="AZ25" s="369">
        <f>'packages (indiv)'!AZ105</f>
        <v>0.10000000000000009</v>
      </c>
      <c r="BA25" s="369">
        <f>'packages (indiv)'!BA105</f>
        <v>0.10000000000000009</v>
      </c>
      <c r="BB25" s="369">
        <f>'packages (indiv)'!BB105</f>
        <v>0.10000000000000009</v>
      </c>
      <c r="BC25" s="368">
        <f>'packages (indiv)'!BC105</f>
        <v>0.10000000000000009</v>
      </c>
      <c r="BD25" s="369">
        <f>'packages (indiv)'!BD105</f>
        <v>0.10000000000000009</v>
      </c>
      <c r="BE25" s="369">
        <f>'packages (indiv)'!BE105</f>
        <v>0.10000000000000009</v>
      </c>
      <c r="BF25" s="369">
        <f>'packages (indiv)'!BF105</f>
        <v>0.10000000000000009</v>
      </c>
      <c r="BG25" s="369">
        <f>'packages (indiv)'!BG105</f>
        <v>0.10000000000000009</v>
      </c>
      <c r="BH25" s="369">
        <f>'packages (indiv)'!BH105</f>
        <v>0.10000000000000009</v>
      </c>
      <c r="BI25" s="369">
        <f>'packages (indiv)'!BI105</f>
        <v>0.10000000000000009</v>
      </c>
      <c r="BJ25" s="369">
        <f>'packages (indiv)'!BJ105</f>
        <v>0.10000000000000009</v>
      </c>
      <c r="BK25" s="369">
        <f>'packages (indiv)'!BK105</f>
        <v>0.10000000000000009</v>
      </c>
      <c r="BL25" s="369">
        <f>'packages (indiv)'!BL105</f>
        <v>0.10000000000000009</v>
      </c>
      <c r="BM25" s="369">
        <f>'packages (indiv)'!BM105</f>
        <v>0.10000000000000009</v>
      </c>
      <c r="BN25" s="369">
        <f>'packages (indiv)'!BN105</f>
        <v>0.10000000000000009</v>
      </c>
      <c r="BO25" s="369">
        <f>'packages (indiv)'!BO105</f>
        <v>0.10000000000000009</v>
      </c>
      <c r="BP25" s="368">
        <f>'packages (indiv)'!BP105</f>
        <v>0.10000000000000009</v>
      </c>
      <c r="CF25" s="367" t="s">
        <v>1002</v>
      </c>
      <c r="CG25" s="454" t="s">
        <v>231</v>
      </c>
    </row>
    <row r="26" spans="1:85" s="365" customFormat="1">
      <c r="A26" s="367" t="s">
        <v>142</v>
      </c>
      <c r="B26" s="454" t="s">
        <v>231</v>
      </c>
      <c r="C26" s="369">
        <f>'packages (indiv)'!C106</f>
        <v>0.2</v>
      </c>
      <c r="D26" s="369">
        <f>'packages (indiv)'!D106</f>
        <v>0.2</v>
      </c>
      <c r="E26" s="369">
        <f>'packages (indiv)'!E106</f>
        <v>0.2</v>
      </c>
      <c r="F26" s="369">
        <f>'packages (indiv)'!F106</f>
        <v>0.2</v>
      </c>
      <c r="G26" s="369">
        <f>'packages (indiv)'!G106</f>
        <v>0.2</v>
      </c>
      <c r="H26" s="369">
        <f>'packages (indiv)'!H106</f>
        <v>0.2</v>
      </c>
      <c r="I26" s="369">
        <f>'packages (indiv)'!I106</f>
        <v>0.2</v>
      </c>
      <c r="J26" s="369">
        <f>'packages (indiv)'!J106</f>
        <v>0.2</v>
      </c>
      <c r="K26" s="369">
        <f>'packages (indiv)'!K106</f>
        <v>0.2</v>
      </c>
      <c r="L26" s="369">
        <f>'packages (indiv)'!L106</f>
        <v>0.2</v>
      </c>
      <c r="M26" s="369">
        <f>'packages (indiv)'!M106</f>
        <v>0.2</v>
      </c>
      <c r="N26" s="369">
        <f>'packages (indiv)'!N106</f>
        <v>0.2</v>
      </c>
      <c r="O26" s="369">
        <f>'packages (indiv)'!O106</f>
        <v>0.2</v>
      </c>
      <c r="P26" s="368">
        <f>'packages (indiv)'!P106</f>
        <v>0.2</v>
      </c>
      <c r="Q26" s="369">
        <f>'packages (indiv)'!Q106</f>
        <v>0.2</v>
      </c>
      <c r="R26" s="369">
        <f>'packages (indiv)'!R106</f>
        <v>0.2</v>
      </c>
      <c r="S26" s="369">
        <f>'packages (indiv)'!S106</f>
        <v>0.2</v>
      </c>
      <c r="T26" s="369">
        <f>'packages (indiv)'!T106</f>
        <v>0.2</v>
      </c>
      <c r="U26" s="369">
        <f>'packages (indiv)'!U106</f>
        <v>0.2</v>
      </c>
      <c r="V26" s="369">
        <f>'packages (indiv)'!V106</f>
        <v>0.2</v>
      </c>
      <c r="W26" s="369">
        <f>'packages (indiv)'!W106</f>
        <v>0.2</v>
      </c>
      <c r="X26" s="369">
        <f>'packages (indiv)'!X106</f>
        <v>0.2</v>
      </c>
      <c r="Y26" s="369">
        <f>'packages (indiv)'!Y106</f>
        <v>0.2</v>
      </c>
      <c r="Z26" s="369">
        <f>'packages (indiv)'!Z106</f>
        <v>0.2</v>
      </c>
      <c r="AA26" s="369">
        <f>'packages (indiv)'!AA106</f>
        <v>0.2</v>
      </c>
      <c r="AB26" s="369">
        <f>'packages (indiv)'!AB106</f>
        <v>0.2</v>
      </c>
      <c r="AC26" s="368">
        <f>'packages (indiv)'!AC106</f>
        <v>0.2</v>
      </c>
      <c r="AD26" s="369">
        <f>'packages (indiv)'!AD106</f>
        <v>0.2</v>
      </c>
      <c r="AE26" s="369">
        <f>'packages (indiv)'!AE106</f>
        <v>0.2</v>
      </c>
      <c r="AF26" s="369">
        <f>'packages (indiv)'!AF106</f>
        <v>0.2</v>
      </c>
      <c r="AG26" s="369">
        <f>'packages (indiv)'!AG106</f>
        <v>0.2</v>
      </c>
      <c r="AH26" s="369">
        <f>'packages (indiv)'!AH106</f>
        <v>0.2</v>
      </c>
      <c r="AI26" s="369">
        <f>'packages (indiv)'!AI106</f>
        <v>0.2</v>
      </c>
      <c r="AJ26" s="369">
        <f>'packages (indiv)'!AJ106</f>
        <v>0.2</v>
      </c>
      <c r="AK26" s="369">
        <f>'packages (indiv)'!AK106</f>
        <v>0.2</v>
      </c>
      <c r="AL26" s="369">
        <f>'packages (indiv)'!AL106</f>
        <v>0.2</v>
      </c>
      <c r="AM26" s="369">
        <f>'packages (indiv)'!AM106</f>
        <v>0.2</v>
      </c>
      <c r="AN26" s="369">
        <f>'packages (indiv)'!AN106</f>
        <v>0.2</v>
      </c>
      <c r="AO26" s="369">
        <f>'packages (indiv)'!AO106</f>
        <v>0.2</v>
      </c>
      <c r="AP26" s="368">
        <f>'packages (indiv)'!AP106</f>
        <v>0.2</v>
      </c>
      <c r="AQ26" s="369">
        <f>'packages (indiv)'!AQ106</f>
        <v>0.2</v>
      </c>
      <c r="AR26" s="369">
        <f>'packages (indiv)'!AR106</f>
        <v>0.2</v>
      </c>
      <c r="AS26" s="369">
        <f>'packages (indiv)'!AS106</f>
        <v>0.2</v>
      </c>
      <c r="AT26" s="369">
        <f>'packages (indiv)'!AT106</f>
        <v>0.2</v>
      </c>
      <c r="AU26" s="369">
        <f>'packages (indiv)'!AU106</f>
        <v>0.2</v>
      </c>
      <c r="AV26" s="369">
        <f>'packages (indiv)'!AV106</f>
        <v>0.2</v>
      </c>
      <c r="AW26" s="369">
        <f>'packages (indiv)'!AW106</f>
        <v>0.2</v>
      </c>
      <c r="AX26" s="369">
        <f>'packages (indiv)'!AX106</f>
        <v>0.2</v>
      </c>
      <c r="AY26" s="369">
        <f>'packages (indiv)'!AY106</f>
        <v>0.2</v>
      </c>
      <c r="AZ26" s="369">
        <f>'packages (indiv)'!AZ106</f>
        <v>0.2</v>
      </c>
      <c r="BA26" s="369">
        <f>'packages (indiv)'!BA106</f>
        <v>0.2</v>
      </c>
      <c r="BB26" s="369">
        <f>'packages (indiv)'!BB106</f>
        <v>0.2</v>
      </c>
      <c r="BC26" s="368">
        <f>'packages (indiv)'!BC106</f>
        <v>0.2</v>
      </c>
      <c r="BD26" s="369">
        <f>'packages (indiv)'!BD106</f>
        <v>0.2</v>
      </c>
      <c r="BE26" s="369">
        <f>'packages (indiv)'!BE106</f>
        <v>0.2</v>
      </c>
      <c r="BF26" s="369">
        <f>'packages (indiv)'!BF106</f>
        <v>0.2</v>
      </c>
      <c r="BG26" s="369">
        <f>'packages (indiv)'!BG106</f>
        <v>0.2</v>
      </c>
      <c r="BH26" s="369">
        <f>'packages (indiv)'!BH106</f>
        <v>0.2</v>
      </c>
      <c r="BI26" s="369">
        <f>'packages (indiv)'!BI106</f>
        <v>0.2</v>
      </c>
      <c r="BJ26" s="369">
        <f>'packages (indiv)'!BJ106</f>
        <v>0.2</v>
      </c>
      <c r="BK26" s="369">
        <f>'packages (indiv)'!BK106</f>
        <v>0.2</v>
      </c>
      <c r="BL26" s="369">
        <f>'packages (indiv)'!BL106</f>
        <v>0.2</v>
      </c>
      <c r="BM26" s="369">
        <f>'packages (indiv)'!BM106</f>
        <v>0.2</v>
      </c>
      <c r="BN26" s="369">
        <f>'packages (indiv)'!BN106</f>
        <v>0.2</v>
      </c>
      <c r="BO26" s="369">
        <f>'packages (indiv)'!BO106</f>
        <v>0.2</v>
      </c>
      <c r="BP26" s="368">
        <f>'packages (indiv)'!BP106</f>
        <v>0.2</v>
      </c>
      <c r="CF26" s="367" t="s">
        <v>1003</v>
      </c>
      <c r="CG26" s="454" t="s">
        <v>231</v>
      </c>
    </row>
    <row r="27" spans="1:85" s="365" customFormat="1">
      <c r="A27" s="367" t="s">
        <v>145</v>
      </c>
      <c r="B27" s="454" t="s">
        <v>231</v>
      </c>
      <c r="C27" s="369">
        <f>'packages (indiv)'!C107</f>
        <v>0.2</v>
      </c>
      <c r="D27" s="369">
        <f>'packages (indiv)'!D107</f>
        <v>0.2</v>
      </c>
      <c r="E27" s="369">
        <f>'packages (indiv)'!E107</f>
        <v>0.2</v>
      </c>
      <c r="F27" s="369">
        <f>'packages (indiv)'!F107</f>
        <v>0.2</v>
      </c>
      <c r="G27" s="369">
        <f>'packages (indiv)'!G107</f>
        <v>0.2</v>
      </c>
      <c r="H27" s="369">
        <f>'packages (indiv)'!H107</f>
        <v>0.2</v>
      </c>
      <c r="I27" s="369">
        <f>'packages (indiv)'!I107</f>
        <v>0.2</v>
      </c>
      <c r="J27" s="369">
        <f>'packages (indiv)'!J107</f>
        <v>0.2</v>
      </c>
      <c r="K27" s="369">
        <f>'packages (indiv)'!K107</f>
        <v>0.2</v>
      </c>
      <c r="L27" s="369">
        <f>'packages (indiv)'!L107</f>
        <v>0.2</v>
      </c>
      <c r="M27" s="369">
        <f>'packages (indiv)'!M107</f>
        <v>0.2</v>
      </c>
      <c r="N27" s="369">
        <f>'packages (indiv)'!N107</f>
        <v>0.2</v>
      </c>
      <c r="O27" s="369">
        <f>'packages (indiv)'!O107</f>
        <v>0.2</v>
      </c>
      <c r="P27" s="368">
        <f>'packages (indiv)'!P107</f>
        <v>0.2</v>
      </c>
      <c r="Q27" s="369">
        <f>'packages (indiv)'!Q107</f>
        <v>0.2</v>
      </c>
      <c r="R27" s="369">
        <f>'packages (indiv)'!R107</f>
        <v>0.2</v>
      </c>
      <c r="S27" s="369">
        <f>'packages (indiv)'!S107</f>
        <v>0.2</v>
      </c>
      <c r="T27" s="369">
        <f>'packages (indiv)'!T107</f>
        <v>0.2</v>
      </c>
      <c r="U27" s="369">
        <f>'packages (indiv)'!U107</f>
        <v>0.2</v>
      </c>
      <c r="V27" s="369">
        <f>'packages (indiv)'!V107</f>
        <v>0.2</v>
      </c>
      <c r="W27" s="369">
        <f>'packages (indiv)'!W107</f>
        <v>0.2</v>
      </c>
      <c r="X27" s="369">
        <f>'packages (indiv)'!X107</f>
        <v>0.2</v>
      </c>
      <c r="Y27" s="369">
        <f>'packages (indiv)'!Y107</f>
        <v>0.2</v>
      </c>
      <c r="Z27" s="369">
        <f>'packages (indiv)'!Z107</f>
        <v>0.2</v>
      </c>
      <c r="AA27" s="369">
        <f>'packages (indiv)'!AA107</f>
        <v>0.2</v>
      </c>
      <c r="AB27" s="369">
        <f>'packages (indiv)'!AB107</f>
        <v>0.2</v>
      </c>
      <c r="AC27" s="368">
        <f>'packages (indiv)'!AC107</f>
        <v>0.2</v>
      </c>
      <c r="AD27" s="369">
        <f>'packages (indiv)'!AD107</f>
        <v>0.2</v>
      </c>
      <c r="AE27" s="369">
        <f>'packages (indiv)'!AE107</f>
        <v>0.2</v>
      </c>
      <c r="AF27" s="369">
        <f>'packages (indiv)'!AF107</f>
        <v>0.2</v>
      </c>
      <c r="AG27" s="369">
        <f>'packages (indiv)'!AG107</f>
        <v>0.2</v>
      </c>
      <c r="AH27" s="369">
        <f>'packages (indiv)'!AH107</f>
        <v>0.2</v>
      </c>
      <c r="AI27" s="369">
        <f>'packages (indiv)'!AI107</f>
        <v>0.2</v>
      </c>
      <c r="AJ27" s="369">
        <f>'packages (indiv)'!AJ107</f>
        <v>0.2</v>
      </c>
      <c r="AK27" s="369">
        <f>'packages (indiv)'!AK107</f>
        <v>0.2</v>
      </c>
      <c r="AL27" s="369">
        <f>'packages (indiv)'!AL107</f>
        <v>0.2</v>
      </c>
      <c r="AM27" s="369">
        <f>'packages (indiv)'!AM107</f>
        <v>0.2</v>
      </c>
      <c r="AN27" s="369">
        <f>'packages (indiv)'!AN107</f>
        <v>0.2</v>
      </c>
      <c r="AO27" s="369">
        <f>'packages (indiv)'!AO107</f>
        <v>0.2</v>
      </c>
      <c r="AP27" s="368">
        <f>'packages (indiv)'!AP107</f>
        <v>0.2</v>
      </c>
      <c r="AQ27" s="369">
        <f>'packages (indiv)'!AQ107</f>
        <v>0.2</v>
      </c>
      <c r="AR27" s="369">
        <f>'packages (indiv)'!AR107</f>
        <v>0.2</v>
      </c>
      <c r="AS27" s="369">
        <f>'packages (indiv)'!AS107</f>
        <v>0.2</v>
      </c>
      <c r="AT27" s="369">
        <f>'packages (indiv)'!AT107</f>
        <v>0.2</v>
      </c>
      <c r="AU27" s="369">
        <f>'packages (indiv)'!AU107</f>
        <v>0.2</v>
      </c>
      <c r="AV27" s="369">
        <f>'packages (indiv)'!AV107</f>
        <v>0.2</v>
      </c>
      <c r="AW27" s="369">
        <f>'packages (indiv)'!AW107</f>
        <v>0.2</v>
      </c>
      <c r="AX27" s="369">
        <f>'packages (indiv)'!AX107</f>
        <v>0.2</v>
      </c>
      <c r="AY27" s="369">
        <f>'packages (indiv)'!AY107</f>
        <v>0.2</v>
      </c>
      <c r="AZ27" s="369">
        <f>'packages (indiv)'!AZ107</f>
        <v>0.2</v>
      </c>
      <c r="BA27" s="369">
        <f>'packages (indiv)'!BA107</f>
        <v>0.2</v>
      </c>
      <c r="BB27" s="369">
        <f>'packages (indiv)'!BB107</f>
        <v>0.2</v>
      </c>
      <c r="BC27" s="368">
        <f>'packages (indiv)'!BC107</f>
        <v>0.2</v>
      </c>
      <c r="BD27" s="369">
        <f>'packages (indiv)'!BD107</f>
        <v>0.2</v>
      </c>
      <c r="BE27" s="369">
        <f>'packages (indiv)'!BE107</f>
        <v>0.2</v>
      </c>
      <c r="BF27" s="369">
        <f>'packages (indiv)'!BF107</f>
        <v>0.2</v>
      </c>
      <c r="BG27" s="369">
        <f>'packages (indiv)'!BG107</f>
        <v>0.2</v>
      </c>
      <c r="BH27" s="369">
        <f>'packages (indiv)'!BH107</f>
        <v>0.2</v>
      </c>
      <c r="BI27" s="369">
        <f>'packages (indiv)'!BI107</f>
        <v>0.2</v>
      </c>
      <c r="BJ27" s="369">
        <f>'packages (indiv)'!BJ107</f>
        <v>0.2</v>
      </c>
      <c r="BK27" s="369">
        <f>'packages (indiv)'!BK107</f>
        <v>0.2</v>
      </c>
      <c r="BL27" s="369">
        <f>'packages (indiv)'!BL107</f>
        <v>0.2</v>
      </c>
      <c r="BM27" s="369">
        <f>'packages (indiv)'!BM107</f>
        <v>0.2</v>
      </c>
      <c r="BN27" s="369">
        <f>'packages (indiv)'!BN107</f>
        <v>0.2</v>
      </c>
      <c r="BO27" s="369">
        <f>'packages (indiv)'!BO107</f>
        <v>0.2</v>
      </c>
      <c r="BP27" s="368">
        <f>'packages (indiv)'!BP107</f>
        <v>0.2</v>
      </c>
      <c r="CF27" s="367" t="s">
        <v>1004</v>
      </c>
      <c r="CG27" s="454" t="s">
        <v>231</v>
      </c>
    </row>
    <row r="28" spans="1:85" s="365" customFormat="1">
      <c r="A28" s="367" t="s">
        <v>620</v>
      </c>
      <c r="B28" s="454" t="s">
        <v>231</v>
      </c>
      <c r="C28" s="369">
        <f>'packages (indiv)'!C108</f>
        <v>0.5</v>
      </c>
      <c r="D28" s="369">
        <f>'packages (indiv)'!D108</f>
        <v>0.5</v>
      </c>
      <c r="E28" s="369">
        <f>'packages (indiv)'!E108</f>
        <v>0.5</v>
      </c>
      <c r="F28" s="369">
        <f>'packages (indiv)'!F108</f>
        <v>0.5</v>
      </c>
      <c r="G28" s="369">
        <f>'packages (indiv)'!G108</f>
        <v>0.5</v>
      </c>
      <c r="H28" s="369">
        <f>'packages (indiv)'!H108</f>
        <v>0.5</v>
      </c>
      <c r="I28" s="369">
        <f>'packages (indiv)'!I108</f>
        <v>0.5</v>
      </c>
      <c r="J28" s="369">
        <f>'packages (indiv)'!J108</f>
        <v>0.5</v>
      </c>
      <c r="K28" s="369">
        <f>'packages (indiv)'!K108</f>
        <v>0.5</v>
      </c>
      <c r="L28" s="369">
        <f>'packages (indiv)'!L108</f>
        <v>0.5</v>
      </c>
      <c r="M28" s="369">
        <f>'packages (indiv)'!M108</f>
        <v>0.5</v>
      </c>
      <c r="N28" s="369">
        <f>'packages (indiv)'!N108</f>
        <v>0.5</v>
      </c>
      <c r="O28" s="369">
        <f>'packages (indiv)'!O108</f>
        <v>0.5</v>
      </c>
      <c r="P28" s="368">
        <f>'packages (indiv)'!P108</f>
        <v>0.5</v>
      </c>
      <c r="Q28" s="369">
        <f>'packages (indiv)'!Q108</f>
        <v>0.5</v>
      </c>
      <c r="R28" s="369">
        <f>'packages (indiv)'!R108</f>
        <v>0.5</v>
      </c>
      <c r="S28" s="369">
        <f>'packages (indiv)'!S108</f>
        <v>0.5</v>
      </c>
      <c r="T28" s="369">
        <f>'packages (indiv)'!T108</f>
        <v>0.5</v>
      </c>
      <c r="U28" s="369">
        <f>'packages (indiv)'!U108</f>
        <v>0.5</v>
      </c>
      <c r="V28" s="369">
        <f>'packages (indiv)'!V108</f>
        <v>0.5</v>
      </c>
      <c r="W28" s="369">
        <f>'packages (indiv)'!W108</f>
        <v>0.5</v>
      </c>
      <c r="X28" s="369">
        <f>'packages (indiv)'!X108</f>
        <v>0.5</v>
      </c>
      <c r="Y28" s="369">
        <f>'packages (indiv)'!Y108</f>
        <v>0.5</v>
      </c>
      <c r="Z28" s="369">
        <f>'packages (indiv)'!Z108</f>
        <v>0.5</v>
      </c>
      <c r="AA28" s="369">
        <f>'packages (indiv)'!AA108</f>
        <v>0.5</v>
      </c>
      <c r="AB28" s="369">
        <f>'packages (indiv)'!AB108</f>
        <v>0.5</v>
      </c>
      <c r="AC28" s="368">
        <f>'packages (indiv)'!AC108</f>
        <v>0.5</v>
      </c>
      <c r="AD28" s="369">
        <f>'packages (indiv)'!AD108</f>
        <v>0.5</v>
      </c>
      <c r="AE28" s="369">
        <f>'packages (indiv)'!AE108</f>
        <v>0.5</v>
      </c>
      <c r="AF28" s="369">
        <f>'packages (indiv)'!AF108</f>
        <v>0.5</v>
      </c>
      <c r="AG28" s="369">
        <f>'packages (indiv)'!AG108</f>
        <v>0.5</v>
      </c>
      <c r="AH28" s="369">
        <f>'packages (indiv)'!AH108</f>
        <v>0.5</v>
      </c>
      <c r="AI28" s="369">
        <f>'packages (indiv)'!AI108</f>
        <v>0.5</v>
      </c>
      <c r="AJ28" s="369">
        <f>'packages (indiv)'!AJ108</f>
        <v>0.5</v>
      </c>
      <c r="AK28" s="369">
        <f>'packages (indiv)'!AK108</f>
        <v>0.5</v>
      </c>
      <c r="AL28" s="369">
        <f>'packages (indiv)'!AL108</f>
        <v>0.5</v>
      </c>
      <c r="AM28" s="369">
        <f>'packages (indiv)'!AM108</f>
        <v>0.5</v>
      </c>
      <c r="AN28" s="369">
        <f>'packages (indiv)'!AN108</f>
        <v>0.5</v>
      </c>
      <c r="AO28" s="369">
        <f>'packages (indiv)'!AO108</f>
        <v>0.5</v>
      </c>
      <c r="AP28" s="368">
        <f>'packages (indiv)'!AP108</f>
        <v>0.5</v>
      </c>
      <c r="AQ28" s="369">
        <f>'packages (indiv)'!AQ108</f>
        <v>0.5</v>
      </c>
      <c r="AR28" s="369">
        <f>'packages (indiv)'!AR108</f>
        <v>0.5</v>
      </c>
      <c r="AS28" s="369">
        <f>'packages (indiv)'!AS108</f>
        <v>0.5</v>
      </c>
      <c r="AT28" s="369">
        <f>'packages (indiv)'!AT108</f>
        <v>0.5</v>
      </c>
      <c r="AU28" s="369">
        <f>'packages (indiv)'!AU108</f>
        <v>0.5</v>
      </c>
      <c r="AV28" s="369">
        <f>'packages (indiv)'!AV108</f>
        <v>0.5</v>
      </c>
      <c r="AW28" s="369">
        <f>'packages (indiv)'!AW108</f>
        <v>0.5</v>
      </c>
      <c r="AX28" s="369">
        <f>'packages (indiv)'!AX108</f>
        <v>0.5</v>
      </c>
      <c r="AY28" s="369">
        <f>'packages (indiv)'!AY108</f>
        <v>0.5</v>
      </c>
      <c r="AZ28" s="369">
        <f>'packages (indiv)'!AZ108</f>
        <v>0.5</v>
      </c>
      <c r="BA28" s="369">
        <f>'packages (indiv)'!BA108</f>
        <v>0.5</v>
      </c>
      <c r="BB28" s="369">
        <f>'packages (indiv)'!BB108</f>
        <v>0.5</v>
      </c>
      <c r="BC28" s="368">
        <f>'packages (indiv)'!BC108</f>
        <v>0.5</v>
      </c>
      <c r="BD28" s="369">
        <f>'packages (indiv)'!BD108</f>
        <v>0.5</v>
      </c>
      <c r="BE28" s="369">
        <f>'packages (indiv)'!BE108</f>
        <v>0.5</v>
      </c>
      <c r="BF28" s="369">
        <f>'packages (indiv)'!BF108</f>
        <v>0.5</v>
      </c>
      <c r="BG28" s="369">
        <f>'packages (indiv)'!BG108</f>
        <v>0.5</v>
      </c>
      <c r="BH28" s="369">
        <f>'packages (indiv)'!BH108</f>
        <v>0.5</v>
      </c>
      <c r="BI28" s="369">
        <f>'packages (indiv)'!BI108</f>
        <v>0.5</v>
      </c>
      <c r="BJ28" s="369">
        <f>'packages (indiv)'!BJ108</f>
        <v>0.5</v>
      </c>
      <c r="BK28" s="369">
        <f>'packages (indiv)'!BK108</f>
        <v>0.5</v>
      </c>
      <c r="BL28" s="369">
        <f>'packages (indiv)'!BL108</f>
        <v>0.5</v>
      </c>
      <c r="BM28" s="369">
        <f>'packages (indiv)'!BM108</f>
        <v>0.5</v>
      </c>
      <c r="BN28" s="369">
        <f>'packages (indiv)'!BN108</f>
        <v>0.5</v>
      </c>
      <c r="BO28" s="369">
        <f>'packages (indiv)'!BO108</f>
        <v>0.5</v>
      </c>
      <c r="BP28" s="368">
        <f>'packages (indiv)'!BP108</f>
        <v>0.5</v>
      </c>
      <c r="CF28" s="367" t="s">
        <v>1005</v>
      </c>
      <c r="CG28" s="454" t="s">
        <v>231</v>
      </c>
    </row>
    <row r="29" spans="1:85" s="3" customFormat="1" outlineLevel="1">
      <c r="A29" s="398" t="s">
        <v>723</v>
      </c>
      <c r="B29" s="12" t="s">
        <v>496</v>
      </c>
      <c r="C29" s="5"/>
      <c r="D29" s="3">
        <f t="shared" ref="D29:AI29" si="85">D22*D23</f>
        <v>0</v>
      </c>
      <c r="E29" s="3">
        <f t="shared" si="85"/>
        <v>0</v>
      </c>
      <c r="F29" s="3">
        <f t="shared" si="85"/>
        <v>0</v>
      </c>
      <c r="G29" s="3">
        <f t="shared" si="85"/>
        <v>0</v>
      </c>
      <c r="H29" s="3">
        <f t="shared" si="85"/>
        <v>0</v>
      </c>
      <c r="I29" s="3">
        <f t="shared" si="85"/>
        <v>0</v>
      </c>
      <c r="J29" s="3">
        <f t="shared" si="85"/>
        <v>0</v>
      </c>
      <c r="K29" s="3">
        <f t="shared" si="85"/>
        <v>0</v>
      </c>
      <c r="L29" s="3">
        <f t="shared" si="85"/>
        <v>0</v>
      </c>
      <c r="M29" s="3">
        <f t="shared" si="85"/>
        <v>0</v>
      </c>
      <c r="N29" s="3">
        <f t="shared" si="85"/>
        <v>0</v>
      </c>
      <c r="O29" s="3">
        <f t="shared" si="85"/>
        <v>0</v>
      </c>
      <c r="P29" s="397">
        <f t="shared" si="85"/>
        <v>0</v>
      </c>
      <c r="Q29" s="3">
        <f t="shared" si="85"/>
        <v>0</v>
      </c>
      <c r="R29" s="3">
        <f t="shared" si="85"/>
        <v>0</v>
      </c>
      <c r="S29" s="3">
        <f t="shared" si="85"/>
        <v>0</v>
      </c>
      <c r="T29" s="3">
        <f t="shared" si="85"/>
        <v>0</v>
      </c>
      <c r="U29" s="3">
        <f t="shared" si="85"/>
        <v>0</v>
      </c>
      <c r="V29" s="3">
        <f t="shared" si="85"/>
        <v>0</v>
      </c>
      <c r="W29" s="3">
        <f t="shared" si="85"/>
        <v>367.84537948129395</v>
      </c>
      <c r="X29" s="3">
        <f t="shared" si="85"/>
        <v>763.65000907887816</v>
      </c>
      <c r="Y29" s="3">
        <f t="shared" si="85"/>
        <v>1187.6613423800104</v>
      </c>
      <c r="Z29" s="3">
        <f t="shared" si="85"/>
        <v>1640.0711395659462</v>
      </c>
      <c r="AA29" s="3">
        <f t="shared" si="85"/>
        <v>2121.0154031309548</v>
      </c>
      <c r="AB29" s="3">
        <f t="shared" si="85"/>
        <v>2610.5903742965556</v>
      </c>
      <c r="AC29" s="397">
        <f t="shared" si="85"/>
        <v>2610.5903742965552</v>
      </c>
      <c r="AD29" s="3">
        <f t="shared" si="85"/>
        <v>3063.9692584376908</v>
      </c>
      <c r="AE29" s="3">
        <f t="shared" si="85"/>
        <v>3581.8469668169973</v>
      </c>
      <c r="AF29" s="3">
        <f t="shared" si="85"/>
        <v>4136.8477699225941</v>
      </c>
      <c r="AG29" s="3">
        <f t="shared" si="85"/>
        <v>4729.293522494303</v>
      </c>
      <c r="AH29" s="3">
        <f t="shared" si="85"/>
        <v>5359.4314117726526</v>
      </c>
      <c r="AI29" s="3">
        <f t="shared" si="85"/>
        <v>6027.4341635265509</v>
      </c>
      <c r="AJ29" s="3">
        <f t="shared" ref="AJ29:BP29" si="86">AJ22*AJ23</f>
        <v>6733.4004646850744</v>
      </c>
      <c r="AK29" s="3">
        <f t="shared" si="86"/>
        <v>7477.3555986020328</v>
      </c>
      <c r="AL29" s="3">
        <f t="shared" si="86"/>
        <v>8259.2522881878958</v>
      </c>
      <c r="AM29" s="3">
        <f t="shared" si="86"/>
        <v>9078.9717413804701</v>
      </c>
      <c r="AN29" s="3">
        <f t="shared" si="86"/>
        <v>9936.3248926966589</v>
      </c>
      <c r="AO29" s="3">
        <f t="shared" si="86"/>
        <v>10793.760525952628</v>
      </c>
      <c r="AP29" s="397">
        <f t="shared" si="86"/>
        <v>10793.760525952626</v>
      </c>
      <c r="AQ29" s="3">
        <f t="shared" si="86"/>
        <v>11274.990307117123</v>
      </c>
      <c r="AR29" s="3">
        <f t="shared" si="86"/>
        <v>11909.255087372401</v>
      </c>
      <c r="AS29" s="3">
        <f t="shared" si="86"/>
        <v>12580.646032406588</v>
      </c>
      <c r="AT29" s="3">
        <f t="shared" si="86"/>
        <v>13289.243581889808</v>
      </c>
      <c r="AU29" s="3">
        <f t="shared" si="86"/>
        <v>14035.05650501627</v>
      </c>
      <c r="AV29" s="3">
        <f t="shared" si="86"/>
        <v>14818.023090359608</v>
      </c>
      <c r="AW29" s="3">
        <f t="shared" si="86"/>
        <v>15638.012521495581</v>
      </c>
      <c r="AX29" s="3">
        <f t="shared" si="86"/>
        <v>16494.826430380934</v>
      </c>
      <c r="AY29" s="3">
        <f t="shared" si="86"/>
        <v>17388.200619919062</v>
      </c>
      <c r="AZ29" s="3">
        <f t="shared" si="86"/>
        <v>18317.806946633162</v>
      </c>
      <c r="BA29" s="3">
        <f t="shared" si="86"/>
        <v>19283.255353907429</v>
      </c>
      <c r="BB29" s="3">
        <f t="shared" si="86"/>
        <v>20234.74290061976</v>
      </c>
      <c r="BC29" s="397">
        <f t="shared" si="86"/>
        <v>20234.742900619756</v>
      </c>
      <c r="BD29" s="3">
        <f t="shared" si="86"/>
        <v>20623.574436742878</v>
      </c>
      <c r="BE29" s="3">
        <f t="shared" si="86"/>
        <v>21272.570812436348</v>
      </c>
      <c r="BF29" s="3">
        <f t="shared" si="86"/>
        <v>21961.813782595829</v>
      </c>
      <c r="BG29" s="3">
        <f t="shared" si="86"/>
        <v>22691.251865827504</v>
      </c>
      <c r="BH29" s="3">
        <f t="shared" si="86"/>
        <v>23460.759321470614</v>
      </c>
      <c r="BI29" s="3">
        <f t="shared" si="86"/>
        <v>24270.13815892861</v>
      </c>
      <c r="BJ29" s="3">
        <f t="shared" si="86"/>
        <v>25119.120310747177</v>
      </c>
      <c r="BK29" s="3">
        <f t="shared" si="86"/>
        <v>26007.369958104689</v>
      </c>
      <c r="BL29" s="3">
        <f t="shared" si="86"/>
        <v>26934.485997051317</v>
      </c>
      <c r="BM29" s="3">
        <f t="shared" si="86"/>
        <v>27900.004633564211</v>
      </c>
      <c r="BN29" s="3">
        <f t="shared" si="86"/>
        <v>28903.402095276462</v>
      </c>
      <c r="BO29" s="3">
        <f t="shared" si="86"/>
        <v>29879.496351113608</v>
      </c>
      <c r="BP29" s="397">
        <f t="shared" si="86"/>
        <v>29879.496351113605</v>
      </c>
      <c r="CF29" s="398" t="s">
        <v>1240</v>
      </c>
      <c r="CG29" s="13" t="s">
        <v>394</v>
      </c>
    </row>
    <row r="30" spans="1:85" s="3" customFormat="1" outlineLevel="1">
      <c r="A30" s="398" t="s">
        <v>722</v>
      </c>
      <c r="B30" s="12" t="s">
        <v>496</v>
      </c>
      <c r="C30" s="5"/>
      <c r="D30" s="3">
        <f t="shared" ref="D30:AI30" si="87">D22*D24</f>
        <v>0</v>
      </c>
      <c r="E30" s="3">
        <f t="shared" si="87"/>
        <v>0</v>
      </c>
      <c r="F30" s="3">
        <f t="shared" si="87"/>
        <v>0</v>
      </c>
      <c r="G30" s="3">
        <f t="shared" si="87"/>
        <v>0</v>
      </c>
      <c r="H30" s="3">
        <f t="shared" si="87"/>
        <v>0</v>
      </c>
      <c r="I30" s="3">
        <f t="shared" si="87"/>
        <v>0</v>
      </c>
      <c r="J30" s="3">
        <f t="shared" si="87"/>
        <v>0</v>
      </c>
      <c r="K30" s="3">
        <f t="shared" si="87"/>
        <v>0</v>
      </c>
      <c r="L30" s="3">
        <f t="shared" si="87"/>
        <v>0</v>
      </c>
      <c r="M30" s="3">
        <f t="shared" si="87"/>
        <v>0</v>
      </c>
      <c r="N30" s="3">
        <f t="shared" si="87"/>
        <v>0</v>
      </c>
      <c r="O30" s="3">
        <f t="shared" si="87"/>
        <v>0</v>
      </c>
      <c r="P30" s="397">
        <f t="shared" si="87"/>
        <v>0</v>
      </c>
      <c r="Q30" s="3">
        <f t="shared" si="87"/>
        <v>0</v>
      </c>
      <c r="R30" s="3">
        <f t="shared" si="87"/>
        <v>0</v>
      </c>
      <c r="S30" s="3">
        <f t="shared" si="87"/>
        <v>0</v>
      </c>
      <c r="T30" s="3">
        <f t="shared" si="87"/>
        <v>0</v>
      </c>
      <c r="U30" s="3">
        <f t="shared" si="87"/>
        <v>0</v>
      </c>
      <c r="V30" s="3">
        <f t="shared" si="87"/>
        <v>0</v>
      </c>
      <c r="W30" s="3">
        <f t="shared" si="87"/>
        <v>2762.75359482759</v>
      </c>
      <c r="X30" s="3">
        <f t="shared" si="87"/>
        <v>5600.1000665784386</v>
      </c>
      <c r="Y30" s="3">
        <f t="shared" si="87"/>
        <v>8507.5332892935421</v>
      </c>
      <c r="Z30" s="3">
        <f t="shared" si="87"/>
        <v>11480.49797696162</v>
      </c>
      <c r="AA30" s="3">
        <f t="shared" si="87"/>
        <v>14514.399523386333</v>
      </c>
      <c r="AB30" s="3">
        <f t="shared" si="87"/>
        <v>17470.874043369251</v>
      </c>
      <c r="AC30" s="397">
        <f t="shared" si="87"/>
        <v>17470.874043369251</v>
      </c>
      <c r="AD30" s="3">
        <f t="shared" si="87"/>
        <v>20060.327031658086</v>
      </c>
      <c r="AE30" s="3">
        <f t="shared" si="87"/>
        <v>22950.352787382981</v>
      </c>
      <c r="AF30" s="3">
        <f t="shared" si="87"/>
        <v>25949.317829514453</v>
      </c>
      <c r="AG30" s="3">
        <f t="shared" si="87"/>
        <v>29051.374495322143</v>
      </c>
      <c r="AH30" s="3">
        <f t="shared" si="87"/>
        <v>32250.613583123151</v>
      </c>
      <c r="AI30" s="3">
        <f t="shared" si="87"/>
        <v>35541.077309070344</v>
      </c>
      <c r="AJ30" s="3">
        <f t="shared" ref="AJ30:BP30" si="88">AJ22*AJ24</f>
        <v>38916.772177247629</v>
      </c>
      <c r="AK30" s="3">
        <f t="shared" si="88"/>
        <v>42371.681725411509</v>
      </c>
      <c r="AL30" s="3">
        <f t="shared" si="88"/>
        <v>45899.779109765514</v>
      </c>
      <c r="AM30" s="3">
        <f t="shared" si="88"/>
        <v>49495.039493332231</v>
      </c>
      <c r="AN30" s="3">
        <f t="shared" si="88"/>
        <v>53151.452203790053</v>
      </c>
      <c r="AO30" s="3">
        <f t="shared" si="88"/>
        <v>56667.242761251284</v>
      </c>
      <c r="AP30" s="397">
        <f t="shared" si="88"/>
        <v>56667.242761251284</v>
      </c>
      <c r="AQ30" s="3">
        <f t="shared" si="88"/>
        <v>58109.565428988244</v>
      </c>
      <c r="AR30" s="3">
        <f t="shared" si="88"/>
        <v>60268.048472460323</v>
      </c>
      <c r="AS30" s="3">
        <f t="shared" si="88"/>
        <v>62527.688489423788</v>
      </c>
      <c r="AT30" s="3">
        <f t="shared" si="88"/>
        <v>64882.77748805024</v>
      </c>
      <c r="AU30" s="3">
        <f t="shared" si="88"/>
        <v>67327.589900875144</v>
      </c>
      <c r="AV30" s="3">
        <f t="shared" si="88"/>
        <v>69856.394568838135</v>
      </c>
      <c r="AW30" s="3">
        <f t="shared" si="88"/>
        <v>72463.466472845714</v>
      </c>
      <c r="AX30" s="3">
        <f t="shared" si="88"/>
        <v>75143.098182846457</v>
      </c>
      <c r="AY30" s="3">
        <f t="shared" si="88"/>
        <v>77889.610996075789</v>
      </c>
      <c r="AZ30" s="3">
        <f t="shared" si="88"/>
        <v>80697.365737870394</v>
      </c>
      <c r="BA30" s="3">
        <f t="shared" si="88"/>
        <v>83560.77320026551</v>
      </c>
      <c r="BB30" s="3">
        <f t="shared" si="88"/>
        <v>86263.903944747377</v>
      </c>
      <c r="BC30" s="397">
        <f t="shared" si="88"/>
        <v>86263.903944747392</v>
      </c>
      <c r="BD30" s="3">
        <f t="shared" si="88"/>
        <v>86511.877182700642</v>
      </c>
      <c r="BE30" s="3">
        <f t="shared" si="88"/>
        <v>87817.535918006441</v>
      </c>
      <c r="BF30" s="3">
        <f t="shared" si="88"/>
        <v>89237.243344471659</v>
      </c>
      <c r="BG30" s="3">
        <f t="shared" si="88"/>
        <v>90765.007463310016</v>
      </c>
      <c r="BH30" s="3">
        <f t="shared" si="88"/>
        <v>92394.842266038584</v>
      </c>
      <c r="BI30" s="3">
        <f t="shared" si="88"/>
        <v>94120.779689503615</v>
      </c>
      <c r="BJ30" s="3">
        <f t="shared" si="88"/>
        <v>95936.88118682956</v>
      </c>
      <c r="BK30" s="3">
        <f t="shared" si="88"/>
        <v>97837.248890012866</v>
      </c>
      <c r="BL30" s="3">
        <f t="shared" si="88"/>
        <v>99816.036342013685</v>
      </c>
      <c r="BM30" s="3">
        <f t="shared" si="88"/>
        <v>101867.45877836233</v>
      </c>
      <c r="BN30" s="3">
        <f t="shared" si="88"/>
        <v>103985.80294047737</v>
      </c>
      <c r="BO30" s="3">
        <f t="shared" si="88"/>
        <v>105936.39615394824</v>
      </c>
      <c r="BP30" s="397">
        <f t="shared" si="88"/>
        <v>105936.39615394824</v>
      </c>
      <c r="CF30" s="398" t="s">
        <v>1241</v>
      </c>
      <c r="CG30" s="13" t="s">
        <v>394</v>
      </c>
    </row>
    <row r="31" spans="1:85" s="440" customFormat="1" ht="10.199999999999999" outlineLevel="1">
      <c r="A31" s="442" t="s">
        <v>138</v>
      </c>
      <c r="B31" s="12" t="s">
        <v>496</v>
      </c>
      <c r="D31" s="440">
        <f t="shared" ref="D31:AI31" si="89">D30*D25</f>
        <v>0</v>
      </c>
      <c r="E31" s="440">
        <f t="shared" si="89"/>
        <v>0</v>
      </c>
      <c r="F31" s="440">
        <f t="shared" si="89"/>
        <v>0</v>
      </c>
      <c r="G31" s="440">
        <f t="shared" si="89"/>
        <v>0</v>
      </c>
      <c r="H31" s="440">
        <f t="shared" si="89"/>
        <v>0</v>
      </c>
      <c r="I31" s="440">
        <f t="shared" si="89"/>
        <v>0</v>
      </c>
      <c r="J31" s="440">
        <f t="shared" si="89"/>
        <v>0</v>
      </c>
      <c r="K31" s="440">
        <f t="shared" si="89"/>
        <v>0</v>
      </c>
      <c r="L31" s="440">
        <f t="shared" si="89"/>
        <v>0</v>
      </c>
      <c r="M31" s="440">
        <f t="shared" si="89"/>
        <v>0</v>
      </c>
      <c r="N31" s="440">
        <f t="shared" si="89"/>
        <v>0</v>
      </c>
      <c r="O31" s="440">
        <f t="shared" si="89"/>
        <v>0</v>
      </c>
      <c r="P31" s="458">
        <f t="shared" si="89"/>
        <v>0</v>
      </c>
      <c r="Q31" s="440">
        <f t="shared" si="89"/>
        <v>0</v>
      </c>
      <c r="R31" s="440">
        <f t="shared" si="89"/>
        <v>0</v>
      </c>
      <c r="S31" s="440">
        <f t="shared" si="89"/>
        <v>0</v>
      </c>
      <c r="T31" s="440">
        <f t="shared" si="89"/>
        <v>0</v>
      </c>
      <c r="U31" s="440">
        <f t="shared" si="89"/>
        <v>0</v>
      </c>
      <c r="V31" s="440">
        <f t="shared" si="89"/>
        <v>0</v>
      </c>
      <c r="W31" s="440">
        <f t="shared" si="89"/>
        <v>276.27535948275926</v>
      </c>
      <c r="X31" s="440">
        <f t="shared" si="89"/>
        <v>560.01000665784431</v>
      </c>
      <c r="Y31" s="440">
        <f t="shared" si="89"/>
        <v>850.75332892935501</v>
      </c>
      <c r="Z31" s="440">
        <f t="shared" si="89"/>
        <v>1148.0497976961631</v>
      </c>
      <c r="AA31" s="440">
        <f t="shared" si="89"/>
        <v>1451.4399523386346</v>
      </c>
      <c r="AB31" s="440">
        <f t="shared" si="89"/>
        <v>1747.0874043369267</v>
      </c>
      <c r="AC31" s="458">
        <f t="shared" si="89"/>
        <v>1747.0874043369267</v>
      </c>
      <c r="AD31" s="440">
        <f t="shared" si="89"/>
        <v>2006.0327031658103</v>
      </c>
      <c r="AE31" s="440">
        <f t="shared" si="89"/>
        <v>2295.0352787382999</v>
      </c>
      <c r="AF31" s="440">
        <f t="shared" si="89"/>
        <v>2594.9317829514475</v>
      </c>
      <c r="AG31" s="440">
        <f t="shared" si="89"/>
        <v>2905.137449532217</v>
      </c>
      <c r="AH31" s="440">
        <f t="shared" si="89"/>
        <v>3225.0613583123181</v>
      </c>
      <c r="AI31" s="440">
        <f t="shared" si="89"/>
        <v>3554.1077309070374</v>
      </c>
      <c r="AJ31" s="440">
        <f t="shared" ref="AJ31:BO31" si="90">AJ30*AJ25</f>
        <v>3891.6772177247663</v>
      </c>
      <c r="AK31" s="440">
        <f t="shared" si="90"/>
        <v>4237.1681725411545</v>
      </c>
      <c r="AL31" s="440">
        <f t="shared" si="90"/>
        <v>4589.977910976555</v>
      </c>
      <c r="AM31" s="440">
        <f t="shared" si="90"/>
        <v>4949.5039493332279</v>
      </c>
      <c r="AN31" s="440">
        <f t="shared" si="90"/>
        <v>5315.1452203790104</v>
      </c>
      <c r="AO31" s="440">
        <f t="shared" si="90"/>
        <v>5666.7242761251337</v>
      </c>
      <c r="AP31" s="458">
        <f t="shared" si="90"/>
        <v>5666.7242761251337</v>
      </c>
      <c r="AQ31" s="440">
        <f t="shared" si="90"/>
        <v>5810.9565428988299</v>
      </c>
      <c r="AR31" s="440">
        <f t="shared" si="90"/>
        <v>6026.8048472460378</v>
      </c>
      <c r="AS31" s="440">
        <f t="shared" si="90"/>
        <v>6252.7688489423845</v>
      </c>
      <c r="AT31" s="440">
        <f t="shared" si="90"/>
        <v>6488.2777488050297</v>
      </c>
      <c r="AU31" s="440">
        <f t="shared" si="90"/>
        <v>6732.75899008752</v>
      </c>
      <c r="AV31" s="440">
        <f t="shared" si="90"/>
        <v>6985.6394568838195</v>
      </c>
      <c r="AW31" s="440">
        <f t="shared" si="90"/>
        <v>7246.3466472845776</v>
      </c>
      <c r="AX31" s="440">
        <f t="shared" si="90"/>
        <v>7514.3098182846525</v>
      </c>
      <c r="AY31" s="440">
        <f t="shared" si="90"/>
        <v>7788.9610996075862</v>
      </c>
      <c r="AZ31" s="440">
        <f t="shared" si="90"/>
        <v>8069.7365737870468</v>
      </c>
      <c r="BA31" s="440">
        <f t="shared" si="90"/>
        <v>8356.0773200265576</v>
      </c>
      <c r="BB31" s="440">
        <f t="shared" si="90"/>
        <v>8626.3903944747453</v>
      </c>
      <c r="BC31" s="458">
        <f t="shared" si="90"/>
        <v>8626.3903944747472</v>
      </c>
      <c r="BD31" s="440">
        <f t="shared" si="90"/>
        <v>8651.1877182700719</v>
      </c>
      <c r="BE31" s="440">
        <f t="shared" si="90"/>
        <v>8781.7535918006524</v>
      </c>
      <c r="BF31" s="440">
        <f t="shared" si="90"/>
        <v>8923.7243344471735</v>
      </c>
      <c r="BG31" s="440">
        <f t="shared" si="90"/>
        <v>9076.5007463310103</v>
      </c>
      <c r="BH31" s="440">
        <f t="shared" si="90"/>
        <v>9239.4842266038668</v>
      </c>
      <c r="BI31" s="440">
        <f t="shared" si="90"/>
        <v>9412.0779689503706</v>
      </c>
      <c r="BJ31" s="440">
        <f t="shared" si="90"/>
        <v>9593.6881186829651</v>
      </c>
      <c r="BK31" s="440">
        <f t="shared" si="90"/>
        <v>9783.7248890012961</v>
      </c>
      <c r="BL31" s="440">
        <f t="shared" si="90"/>
        <v>9981.6036342013776</v>
      </c>
      <c r="BM31" s="440">
        <f t="shared" si="90"/>
        <v>10186.745877836242</v>
      </c>
      <c r="BN31" s="440">
        <f t="shared" si="90"/>
        <v>10398.580294047746</v>
      </c>
      <c r="BO31" s="440">
        <f t="shared" si="90"/>
        <v>10593.639615394834</v>
      </c>
      <c r="BP31" s="458">
        <f t="shared" ref="BP31" si="91">BP30*BP25</f>
        <v>10593.639615394834</v>
      </c>
      <c r="CF31" s="442" t="s">
        <v>1002</v>
      </c>
      <c r="CG31" s="13" t="s">
        <v>394</v>
      </c>
    </row>
    <row r="32" spans="1:85" s="440" customFormat="1" ht="10.199999999999999" outlineLevel="1">
      <c r="A32" s="442" t="s">
        <v>142</v>
      </c>
      <c r="B32" s="12" t="s">
        <v>496</v>
      </c>
      <c r="D32" s="440">
        <f t="shared" ref="D32:AI32" si="92">D30*D26</f>
        <v>0</v>
      </c>
      <c r="E32" s="440">
        <f t="shared" si="92"/>
        <v>0</v>
      </c>
      <c r="F32" s="440">
        <f t="shared" si="92"/>
        <v>0</v>
      </c>
      <c r="G32" s="440">
        <f t="shared" si="92"/>
        <v>0</v>
      </c>
      <c r="H32" s="440">
        <f t="shared" si="92"/>
        <v>0</v>
      </c>
      <c r="I32" s="440">
        <f t="shared" si="92"/>
        <v>0</v>
      </c>
      <c r="J32" s="440">
        <f t="shared" si="92"/>
        <v>0</v>
      </c>
      <c r="K32" s="440">
        <f t="shared" si="92"/>
        <v>0</v>
      </c>
      <c r="L32" s="440">
        <f t="shared" si="92"/>
        <v>0</v>
      </c>
      <c r="M32" s="440">
        <f t="shared" si="92"/>
        <v>0</v>
      </c>
      <c r="N32" s="440">
        <f t="shared" si="92"/>
        <v>0</v>
      </c>
      <c r="O32" s="440">
        <f t="shared" si="92"/>
        <v>0</v>
      </c>
      <c r="P32" s="458">
        <f t="shared" si="92"/>
        <v>0</v>
      </c>
      <c r="Q32" s="440">
        <f t="shared" si="92"/>
        <v>0</v>
      </c>
      <c r="R32" s="440">
        <f t="shared" si="92"/>
        <v>0</v>
      </c>
      <c r="S32" s="440">
        <f t="shared" si="92"/>
        <v>0</v>
      </c>
      <c r="T32" s="440">
        <f t="shared" si="92"/>
        <v>0</v>
      </c>
      <c r="U32" s="440">
        <f t="shared" si="92"/>
        <v>0</v>
      </c>
      <c r="V32" s="440">
        <f t="shared" si="92"/>
        <v>0</v>
      </c>
      <c r="W32" s="440">
        <f t="shared" si="92"/>
        <v>552.55071896551806</v>
      </c>
      <c r="X32" s="440">
        <f t="shared" si="92"/>
        <v>1120.0200133156877</v>
      </c>
      <c r="Y32" s="440">
        <f t="shared" si="92"/>
        <v>1701.5066578587084</v>
      </c>
      <c r="Z32" s="440">
        <f t="shared" si="92"/>
        <v>2296.0995953923243</v>
      </c>
      <c r="AA32" s="440">
        <f t="shared" si="92"/>
        <v>2902.8799046772669</v>
      </c>
      <c r="AB32" s="440">
        <f t="shared" si="92"/>
        <v>3494.1748086738503</v>
      </c>
      <c r="AC32" s="458">
        <f t="shared" si="92"/>
        <v>3494.1748086738503</v>
      </c>
      <c r="AD32" s="440">
        <f t="shared" si="92"/>
        <v>4012.0654063316174</v>
      </c>
      <c r="AE32" s="440">
        <f t="shared" si="92"/>
        <v>4590.0705574765962</v>
      </c>
      <c r="AF32" s="440">
        <f t="shared" si="92"/>
        <v>5189.8635659028914</v>
      </c>
      <c r="AG32" s="440">
        <f t="shared" si="92"/>
        <v>5810.2748990644286</v>
      </c>
      <c r="AH32" s="440">
        <f t="shared" si="92"/>
        <v>6450.1227166246308</v>
      </c>
      <c r="AI32" s="440">
        <f t="shared" si="92"/>
        <v>7108.2154618140694</v>
      </c>
      <c r="AJ32" s="440">
        <f t="shared" ref="AJ32:BP32" si="93">AJ30*AJ26</f>
        <v>7783.3544354495261</v>
      </c>
      <c r="AK32" s="440">
        <f t="shared" si="93"/>
        <v>8474.3363450823017</v>
      </c>
      <c r="AL32" s="440">
        <f t="shared" si="93"/>
        <v>9179.9558219531027</v>
      </c>
      <c r="AM32" s="440">
        <f t="shared" si="93"/>
        <v>9899.0078986664466</v>
      </c>
      <c r="AN32" s="440">
        <f t="shared" si="93"/>
        <v>10630.290440758012</v>
      </c>
      <c r="AO32" s="440">
        <f t="shared" si="93"/>
        <v>11333.448552250258</v>
      </c>
      <c r="AP32" s="458">
        <f t="shared" si="93"/>
        <v>11333.448552250258</v>
      </c>
      <c r="AQ32" s="440">
        <f t="shared" si="93"/>
        <v>11621.913085797649</v>
      </c>
      <c r="AR32" s="440">
        <f t="shared" si="93"/>
        <v>12053.609694492065</v>
      </c>
      <c r="AS32" s="440">
        <f t="shared" si="93"/>
        <v>12505.537697884758</v>
      </c>
      <c r="AT32" s="440">
        <f t="shared" si="93"/>
        <v>12976.555497610048</v>
      </c>
      <c r="AU32" s="440">
        <f t="shared" si="93"/>
        <v>13465.517980175029</v>
      </c>
      <c r="AV32" s="440">
        <f t="shared" si="93"/>
        <v>13971.278913767628</v>
      </c>
      <c r="AW32" s="440">
        <f t="shared" si="93"/>
        <v>14492.693294569144</v>
      </c>
      <c r="AX32" s="440">
        <f t="shared" si="93"/>
        <v>15028.619636569292</v>
      </c>
      <c r="AY32" s="440">
        <f t="shared" si="93"/>
        <v>15577.922199215158</v>
      </c>
      <c r="AZ32" s="440">
        <f t="shared" si="93"/>
        <v>16139.473147574079</v>
      </c>
      <c r="BA32" s="440">
        <f t="shared" si="93"/>
        <v>16712.154640053104</v>
      </c>
      <c r="BB32" s="440">
        <f t="shared" si="93"/>
        <v>17252.780788949476</v>
      </c>
      <c r="BC32" s="458">
        <f t="shared" si="93"/>
        <v>17252.78078894948</v>
      </c>
      <c r="BD32" s="440">
        <f t="shared" si="93"/>
        <v>17302.375436540129</v>
      </c>
      <c r="BE32" s="440">
        <f t="shared" si="93"/>
        <v>17563.50718360129</v>
      </c>
      <c r="BF32" s="440">
        <f t="shared" si="93"/>
        <v>17847.448668894333</v>
      </c>
      <c r="BG32" s="440">
        <f t="shared" si="93"/>
        <v>18153.001492662002</v>
      </c>
      <c r="BH32" s="440">
        <f t="shared" si="93"/>
        <v>18478.968453207719</v>
      </c>
      <c r="BI32" s="440">
        <f t="shared" si="93"/>
        <v>18824.155937900723</v>
      </c>
      <c r="BJ32" s="440">
        <f t="shared" si="93"/>
        <v>19187.376237365912</v>
      </c>
      <c r="BK32" s="440">
        <f t="shared" si="93"/>
        <v>19567.449778002574</v>
      </c>
      <c r="BL32" s="440">
        <f t="shared" si="93"/>
        <v>19963.207268402737</v>
      </c>
      <c r="BM32" s="440">
        <f t="shared" si="93"/>
        <v>20373.491755672469</v>
      </c>
      <c r="BN32" s="440">
        <f t="shared" si="93"/>
        <v>20797.160588095474</v>
      </c>
      <c r="BO32" s="440">
        <f t="shared" si="93"/>
        <v>21187.279230789649</v>
      </c>
      <c r="BP32" s="458">
        <f t="shared" si="93"/>
        <v>21187.279230789649</v>
      </c>
      <c r="CF32" s="442" t="s">
        <v>1003</v>
      </c>
      <c r="CG32" s="13" t="s">
        <v>394</v>
      </c>
    </row>
    <row r="33" spans="1:85" s="440" customFormat="1" ht="10.199999999999999" outlineLevel="1">
      <c r="A33" s="442" t="s">
        <v>145</v>
      </c>
      <c r="B33" s="12" t="s">
        <v>496</v>
      </c>
      <c r="D33" s="440">
        <f t="shared" ref="D33:AI33" si="94">D30*D27</f>
        <v>0</v>
      </c>
      <c r="E33" s="440">
        <f t="shared" si="94"/>
        <v>0</v>
      </c>
      <c r="F33" s="440">
        <f t="shared" si="94"/>
        <v>0</v>
      </c>
      <c r="G33" s="440">
        <f t="shared" si="94"/>
        <v>0</v>
      </c>
      <c r="H33" s="440">
        <f t="shared" si="94"/>
        <v>0</v>
      </c>
      <c r="I33" s="440">
        <f t="shared" si="94"/>
        <v>0</v>
      </c>
      <c r="J33" s="440">
        <f t="shared" si="94"/>
        <v>0</v>
      </c>
      <c r="K33" s="440">
        <f t="shared" si="94"/>
        <v>0</v>
      </c>
      <c r="L33" s="440">
        <f t="shared" si="94"/>
        <v>0</v>
      </c>
      <c r="M33" s="440">
        <f t="shared" si="94"/>
        <v>0</v>
      </c>
      <c r="N33" s="440">
        <f t="shared" si="94"/>
        <v>0</v>
      </c>
      <c r="O33" s="440">
        <f t="shared" si="94"/>
        <v>0</v>
      </c>
      <c r="P33" s="458">
        <f t="shared" si="94"/>
        <v>0</v>
      </c>
      <c r="Q33" s="440">
        <f t="shared" si="94"/>
        <v>0</v>
      </c>
      <c r="R33" s="440">
        <f t="shared" si="94"/>
        <v>0</v>
      </c>
      <c r="S33" s="440">
        <f t="shared" si="94"/>
        <v>0</v>
      </c>
      <c r="T33" s="440">
        <f t="shared" si="94"/>
        <v>0</v>
      </c>
      <c r="U33" s="440">
        <f t="shared" si="94"/>
        <v>0</v>
      </c>
      <c r="V33" s="440">
        <f t="shared" si="94"/>
        <v>0</v>
      </c>
      <c r="W33" s="440">
        <f t="shared" si="94"/>
        <v>552.55071896551806</v>
      </c>
      <c r="X33" s="440">
        <f t="shared" si="94"/>
        <v>1120.0200133156877</v>
      </c>
      <c r="Y33" s="440">
        <f t="shared" si="94"/>
        <v>1701.5066578587084</v>
      </c>
      <c r="Z33" s="440">
        <f t="shared" si="94"/>
        <v>2296.0995953923243</v>
      </c>
      <c r="AA33" s="440">
        <f t="shared" si="94"/>
        <v>2902.8799046772669</v>
      </c>
      <c r="AB33" s="440">
        <f t="shared" si="94"/>
        <v>3494.1748086738503</v>
      </c>
      <c r="AC33" s="458">
        <f t="shared" si="94"/>
        <v>3494.1748086738503</v>
      </c>
      <c r="AD33" s="440">
        <f t="shared" si="94"/>
        <v>4012.0654063316174</v>
      </c>
      <c r="AE33" s="440">
        <f t="shared" si="94"/>
        <v>4590.0705574765962</v>
      </c>
      <c r="AF33" s="440">
        <f t="shared" si="94"/>
        <v>5189.8635659028914</v>
      </c>
      <c r="AG33" s="440">
        <f t="shared" si="94"/>
        <v>5810.2748990644286</v>
      </c>
      <c r="AH33" s="440">
        <f t="shared" si="94"/>
        <v>6450.1227166246308</v>
      </c>
      <c r="AI33" s="440">
        <f t="shared" si="94"/>
        <v>7108.2154618140694</v>
      </c>
      <c r="AJ33" s="440">
        <f t="shared" ref="AJ33:BP33" si="95">AJ30*AJ27</f>
        <v>7783.3544354495261</v>
      </c>
      <c r="AK33" s="440">
        <f t="shared" si="95"/>
        <v>8474.3363450823017</v>
      </c>
      <c r="AL33" s="440">
        <f t="shared" si="95"/>
        <v>9179.9558219531027</v>
      </c>
      <c r="AM33" s="440">
        <f t="shared" si="95"/>
        <v>9899.0078986664466</v>
      </c>
      <c r="AN33" s="440">
        <f t="shared" si="95"/>
        <v>10630.290440758012</v>
      </c>
      <c r="AO33" s="440">
        <f t="shared" si="95"/>
        <v>11333.448552250258</v>
      </c>
      <c r="AP33" s="458">
        <f t="shared" si="95"/>
        <v>11333.448552250258</v>
      </c>
      <c r="AQ33" s="440">
        <f t="shared" si="95"/>
        <v>11621.913085797649</v>
      </c>
      <c r="AR33" s="440">
        <f t="shared" si="95"/>
        <v>12053.609694492065</v>
      </c>
      <c r="AS33" s="440">
        <f t="shared" si="95"/>
        <v>12505.537697884758</v>
      </c>
      <c r="AT33" s="440">
        <f t="shared" si="95"/>
        <v>12976.555497610048</v>
      </c>
      <c r="AU33" s="440">
        <f t="shared" si="95"/>
        <v>13465.517980175029</v>
      </c>
      <c r="AV33" s="440">
        <f t="shared" si="95"/>
        <v>13971.278913767628</v>
      </c>
      <c r="AW33" s="440">
        <f t="shared" si="95"/>
        <v>14492.693294569144</v>
      </c>
      <c r="AX33" s="440">
        <f t="shared" si="95"/>
        <v>15028.619636569292</v>
      </c>
      <c r="AY33" s="440">
        <f t="shared" si="95"/>
        <v>15577.922199215158</v>
      </c>
      <c r="AZ33" s="440">
        <f t="shared" si="95"/>
        <v>16139.473147574079</v>
      </c>
      <c r="BA33" s="440">
        <f t="shared" si="95"/>
        <v>16712.154640053104</v>
      </c>
      <c r="BB33" s="440">
        <f t="shared" si="95"/>
        <v>17252.780788949476</v>
      </c>
      <c r="BC33" s="458">
        <f t="shared" si="95"/>
        <v>17252.78078894948</v>
      </c>
      <c r="BD33" s="440">
        <f t="shared" si="95"/>
        <v>17302.375436540129</v>
      </c>
      <c r="BE33" s="440">
        <f t="shared" si="95"/>
        <v>17563.50718360129</v>
      </c>
      <c r="BF33" s="440">
        <f t="shared" si="95"/>
        <v>17847.448668894333</v>
      </c>
      <c r="BG33" s="440">
        <f t="shared" si="95"/>
        <v>18153.001492662002</v>
      </c>
      <c r="BH33" s="440">
        <f t="shared" si="95"/>
        <v>18478.968453207719</v>
      </c>
      <c r="BI33" s="440">
        <f t="shared" si="95"/>
        <v>18824.155937900723</v>
      </c>
      <c r="BJ33" s="440">
        <f t="shared" si="95"/>
        <v>19187.376237365912</v>
      </c>
      <c r="BK33" s="440">
        <f t="shared" si="95"/>
        <v>19567.449778002574</v>
      </c>
      <c r="BL33" s="440">
        <f t="shared" si="95"/>
        <v>19963.207268402737</v>
      </c>
      <c r="BM33" s="440">
        <f t="shared" si="95"/>
        <v>20373.491755672469</v>
      </c>
      <c r="BN33" s="440">
        <f t="shared" si="95"/>
        <v>20797.160588095474</v>
      </c>
      <c r="BO33" s="440">
        <f t="shared" si="95"/>
        <v>21187.279230789649</v>
      </c>
      <c r="BP33" s="458">
        <f t="shared" si="95"/>
        <v>21187.279230789649</v>
      </c>
      <c r="CF33" s="442" t="s">
        <v>1004</v>
      </c>
      <c r="CG33" s="13" t="s">
        <v>394</v>
      </c>
    </row>
    <row r="34" spans="1:85" s="440" customFormat="1" ht="10.199999999999999" outlineLevel="1">
      <c r="A34" s="442" t="s">
        <v>620</v>
      </c>
      <c r="B34" s="12" t="s">
        <v>496</v>
      </c>
      <c r="D34" s="440">
        <f t="shared" ref="D34:AI34" si="96">D30*D28</f>
        <v>0</v>
      </c>
      <c r="E34" s="440">
        <f t="shared" si="96"/>
        <v>0</v>
      </c>
      <c r="F34" s="440">
        <f t="shared" si="96"/>
        <v>0</v>
      </c>
      <c r="G34" s="440">
        <f t="shared" si="96"/>
        <v>0</v>
      </c>
      <c r="H34" s="440">
        <f t="shared" si="96"/>
        <v>0</v>
      </c>
      <c r="I34" s="440">
        <f t="shared" si="96"/>
        <v>0</v>
      </c>
      <c r="J34" s="440">
        <f t="shared" si="96"/>
        <v>0</v>
      </c>
      <c r="K34" s="440">
        <f t="shared" si="96"/>
        <v>0</v>
      </c>
      <c r="L34" s="440">
        <f t="shared" si="96"/>
        <v>0</v>
      </c>
      <c r="M34" s="440">
        <f t="shared" si="96"/>
        <v>0</v>
      </c>
      <c r="N34" s="440">
        <f t="shared" si="96"/>
        <v>0</v>
      </c>
      <c r="O34" s="440">
        <f t="shared" si="96"/>
        <v>0</v>
      </c>
      <c r="P34" s="458">
        <f t="shared" si="96"/>
        <v>0</v>
      </c>
      <c r="Q34" s="440">
        <f t="shared" si="96"/>
        <v>0</v>
      </c>
      <c r="R34" s="440">
        <f t="shared" si="96"/>
        <v>0</v>
      </c>
      <c r="S34" s="440">
        <f t="shared" si="96"/>
        <v>0</v>
      </c>
      <c r="T34" s="440">
        <f t="shared" si="96"/>
        <v>0</v>
      </c>
      <c r="U34" s="440">
        <f t="shared" si="96"/>
        <v>0</v>
      </c>
      <c r="V34" s="440">
        <f t="shared" si="96"/>
        <v>0</v>
      </c>
      <c r="W34" s="440">
        <f t="shared" si="96"/>
        <v>1381.376797413795</v>
      </c>
      <c r="X34" s="440">
        <f t="shared" si="96"/>
        <v>2800.0500332892193</v>
      </c>
      <c r="Y34" s="440">
        <f t="shared" si="96"/>
        <v>4253.7666446467711</v>
      </c>
      <c r="Z34" s="440">
        <f t="shared" si="96"/>
        <v>5740.2489884808101</v>
      </c>
      <c r="AA34" s="440">
        <f t="shared" si="96"/>
        <v>7257.1997616931667</v>
      </c>
      <c r="AB34" s="440">
        <f t="shared" si="96"/>
        <v>8735.4370216846255</v>
      </c>
      <c r="AC34" s="458">
        <f t="shared" si="96"/>
        <v>8735.4370216846255</v>
      </c>
      <c r="AD34" s="440">
        <f t="shared" si="96"/>
        <v>10030.163515829043</v>
      </c>
      <c r="AE34" s="440">
        <f t="shared" si="96"/>
        <v>11475.17639369149</v>
      </c>
      <c r="AF34" s="440">
        <f t="shared" si="96"/>
        <v>12974.658914757227</v>
      </c>
      <c r="AG34" s="440">
        <f t="shared" si="96"/>
        <v>14525.687247661072</v>
      </c>
      <c r="AH34" s="440">
        <f t="shared" si="96"/>
        <v>16125.306791561576</v>
      </c>
      <c r="AI34" s="440">
        <f t="shared" si="96"/>
        <v>17770.538654535172</v>
      </c>
      <c r="AJ34" s="440">
        <f t="shared" ref="AJ34:BP34" si="97">AJ30*AJ28</f>
        <v>19458.386088623814</v>
      </c>
      <c r="AK34" s="440">
        <f t="shared" si="97"/>
        <v>21185.840862705754</v>
      </c>
      <c r="AL34" s="440">
        <f t="shared" si="97"/>
        <v>22949.889554882757</v>
      </c>
      <c r="AM34" s="440">
        <f t="shared" si="97"/>
        <v>24747.519746666116</v>
      </c>
      <c r="AN34" s="440">
        <f t="shared" si="97"/>
        <v>26575.726101895027</v>
      </c>
      <c r="AO34" s="440">
        <f t="shared" si="97"/>
        <v>28333.621380625642</v>
      </c>
      <c r="AP34" s="458">
        <f t="shared" si="97"/>
        <v>28333.621380625642</v>
      </c>
      <c r="AQ34" s="440">
        <f t="shared" si="97"/>
        <v>29054.782714494122</v>
      </c>
      <c r="AR34" s="440">
        <f t="shared" si="97"/>
        <v>30134.024236230161</v>
      </c>
      <c r="AS34" s="440">
        <f t="shared" si="97"/>
        <v>31263.844244711894</v>
      </c>
      <c r="AT34" s="440">
        <f t="shared" si="97"/>
        <v>32441.38874402512</v>
      </c>
      <c r="AU34" s="440">
        <f t="shared" si="97"/>
        <v>33663.794950437572</v>
      </c>
      <c r="AV34" s="440">
        <f t="shared" si="97"/>
        <v>34928.197284419068</v>
      </c>
      <c r="AW34" s="440">
        <f t="shared" si="97"/>
        <v>36231.733236422857</v>
      </c>
      <c r="AX34" s="440">
        <f t="shared" si="97"/>
        <v>37571.549091423229</v>
      </c>
      <c r="AY34" s="440">
        <f t="shared" si="97"/>
        <v>38944.805498037895</v>
      </c>
      <c r="AZ34" s="440">
        <f t="shared" si="97"/>
        <v>40348.682868935197</v>
      </c>
      <c r="BA34" s="440">
        <f t="shared" si="97"/>
        <v>41780.386600132755</v>
      </c>
      <c r="BB34" s="440">
        <f t="shared" si="97"/>
        <v>43131.951972373688</v>
      </c>
      <c r="BC34" s="458">
        <f t="shared" si="97"/>
        <v>43131.951972373696</v>
      </c>
      <c r="BD34" s="440">
        <f t="shared" si="97"/>
        <v>43255.938591350321</v>
      </c>
      <c r="BE34" s="440">
        <f t="shared" si="97"/>
        <v>43908.76795900322</v>
      </c>
      <c r="BF34" s="440">
        <f t="shared" si="97"/>
        <v>44618.621672235829</v>
      </c>
      <c r="BG34" s="440">
        <f t="shared" si="97"/>
        <v>45382.503731655008</v>
      </c>
      <c r="BH34" s="440">
        <f t="shared" si="97"/>
        <v>46197.421133019292</v>
      </c>
      <c r="BI34" s="440">
        <f t="shared" si="97"/>
        <v>47060.389844751808</v>
      </c>
      <c r="BJ34" s="440">
        <f t="shared" si="97"/>
        <v>47968.44059341478</v>
      </c>
      <c r="BK34" s="440">
        <f t="shared" si="97"/>
        <v>48918.624445006433</v>
      </c>
      <c r="BL34" s="440">
        <f t="shared" si="97"/>
        <v>49908.018171006843</v>
      </c>
      <c r="BM34" s="440">
        <f t="shared" si="97"/>
        <v>50933.729389181164</v>
      </c>
      <c r="BN34" s="440">
        <f t="shared" si="97"/>
        <v>51992.901470238685</v>
      </c>
      <c r="BO34" s="440">
        <f t="shared" si="97"/>
        <v>52968.19807697412</v>
      </c>
      <c r="BP34" s="458">
        <f t="shared" si="97"/>
        <v>52968.19807697412</v>
      </c>
      <c r="CF34" s="442" t="s">
        <v>1005</v>
      </c>
      <c r="CG34" s="13" t="s">
        <v>394</v>
      </c>
    </row>
    <row r="35" spans="1:85" s="65" customFormat="1">
      <c r="A35" s="76" t="s">
        <v>721</v>
      </c>
      <c r="B35" s="285" t="s">
        <v>231</v>
      </c>
      <c r="C35" s="40"/>
      <c r="D35" s="65">
        <f>P35</f>
        <v>0.5</v>
      </c>
      <c r="E35" s="65">
        <f t="shared" ref="E35:O35" si="98">D35</f>
        <v>0.5</v>
      </c>
      <c r="F35" s="65">
        <f t="shared" si="98"/>
        <v>0.5</v>
      </c>
      <c r="G35" s="65">
        <f t="shared" si="98"/>
        <v>0.5</v>
      </c>
      <c r="H35" s="65">
        <f t="shared" si="98"/>
        <v>0.5</v>
      </c>
      <c r="I35" s="65">
        <f t="shared" si="98"/>
        <v>0.5</v>
      </c>
      <c r="J35" s="65">
        <f t="shared" si="98"/>
        <v>0.5</v>
      </c>
      <c r="K35" s="65">
        <f t="shared" si="98"/>
        <v>0.5</v>
      </c>
      <c r="L35" s="65">
        <f t="shared" si="98"/>
        <v>0.5</v>
      </c>
      <c r="M35" s="65">
        <f t="shared" si="98"/>
        <v>0.5</v>
      </c>
      <c r="N35" s="65">
        <f t="shared" si="98"/>
        <v>0.5</v>
      </c>
      <c r="O35" s="65">
        <f t="shared" si="98"/>
        <v>0.5</v>
      </c>
      <c r="P35" s="426">
        <f>Funnel!E94</f>
        <v>0.5</v>
      </c>
      <c r="Q35" s="65">
        <f>AC35</f>
        <v>0.5</v>
      </c>
      <c r="R35" s="65">
        <f t="shared" ref="R35:AB35" si="99">Q35</f>
        <v>0.5</v>
      </c>
      <c r="S35" s="65">
        <f t="shared" si="99"/>
        <v>0.5</v>
      </c>
      <c r="T35" s="65">
        <f t="shared" si="99"/>
        <v>0.5</v>
      </c>
      <c r="U35" s="65">
        <f t="shared" si="99"/>
        <v>0.5</v>
      </c>
      <c r="V35" s="65">
        <f t="shared" si="99"/>
        <v>0.5</v>
      </c>
      <c r="W35" s="65">
        <f t="shared" si="99"/>
        <v>0.5</v>
      </c>
      <c r="X35" s="65">
        <f t="shared" si="99"/>
        <v>0.5</v>
      </c>
      <c r="Y35" s="65">
        <f t="shared" si="99"/>
        <v>0.5</v>
      </c>
      <c r="Z35" s="65">
        <f t="shared" si="99"/>
        <v>0.5</v>
      </c>
      <c r="AA35" s="65">
        <f t="shared" si="99"/>
        <v>0.5</v>
      </c>
      <c r="AB35" s="65">
        <f t="shared" si="99"/>
        <v>0.5</v>
      </c>
      <c r="AC35" s="426">
        <f>Funnel!F94</f>
        <v>0.5</v>
      </c>
      <c r="AD35" s="65">
        <f>AP35</f>
        <v>0.5</v>
      </c>
      <c r="AE35" s="65">
        <f t="shared" ref="AE35:AO35" si="100">AD35</f>
        <v>0.5</v>
      </c>
      <c r="AF35" s="65">
        <f t="shared" si="100"/>
        <v>0.5</v>
      </c>
      <c r="AG35" s="65">
        <f t="shared" si="100"/>
        <v>0.5</v>
      </c>
      <c r="AH35" s="65">
        <f t="shared" si="100"/>
        <v>0.5</v>
      </c>
      <c r="AI35" s="65">
        <f t="shared" si="100"/>
        <v>0.5</v>
      </c>
      <c r="AJ35" s="65">
        <f t="shared" si="100"/>
        <v>0.5</v>
      </c>
      <c r="AK35" s="65">
        <f t="shared" si="100"/>
        <v>0.5</v>
      </c>
      <c r="AL35" s="65">
        <f t="shared" si="100"/>
        <v>0.5</v>
      </c>
      <c r="AM35" s="65">
        <f t="shared" si="100"/>
        <v>0.5</v>
      </c>
      <c r="AN35" s="65">
        <f t="shared" si="100"/>
        <v>0.5</v>
      </c>
      <c r="AO35" s="65">
        <f t="shared" si="100"/>
        <v>0.5</v>
      </c>
      <c r="AP35" s="426">
        <f>Funnel!G94</f>
        <v>0.5</v>
      </c>
      <c r="AQ35" s="65">
        <f>BC35</f>
        <v>0.5</v>
      </c>
      <c r="AR35" s="65">
        <f t="shared" ref="AR35:BB35" si="101">AQ35</f>
        <v>0.5</v>
      </c>
      <c r="AS35" s="65">
        <f t="shared" si="101"/>
        <v>0.5</v>
      </c>
      <c r="AT35" s="65">
        <f t="shared" si="101"/>
        <v>0.5</v>
      </c>
      <c r="AU35" s="65">
        <f t="shared" si="101"/>
        <v>0.5</v>
      </c>
      <c r="AV35" s="65">
        <f t="shared" si="101"/>
        <v>0.5</v>
      </c>
      <c r="AW35" s="65">
        <f t="shared" si="101"/>
        <v>0.5</v>
      </c>
      <c r="AX35" s="65">
        <f t="shared" si="101"/>
        <v>0.5</v>
      </c>
      <c r="AY35" s="65">
        <f t="shared" si="101"/>
        <v>0.5</v>
      </c>
      <c r="AZ35" s="65">
        <f t="shared" si="101"/>
        <v>0.5</v>
      </c>
      <c r="BA35" s="65">
        <f t="shared" si="101"/>
        <v>0.5</v>
      </c>
      <c r="BB35" s="65">
        <f t="shared" si="101"/>
        <v>0.5</v>
      </c>
      <c r="BC35" s="426">
        <f>Funnel!H94</f>
        <v>0.5</v>
      </c>
      <c r="BD35" s="65">
        <f>BP35</f>
        <v>0.5</v>
      </c>
      <c r="BE35" s="65">
        <f t="shared" ref="BE35:BO35" si="102">BD35</f>
        <v>0.5</v>
      </c>
      <c r="BF35" s="65">
        <f t="shared" si="102"/>
        <v>0.5</v>
      </c>
      <c r="BG35" s="65">
        <f t="shared" si="102"/>
        <v>0.5</v>
      </c>
      <c r="BH35" s="65">
        <f t="shared" si="102"/>
        <v>0.5</v>
      </c>
      <c r="BI35" s="65">
        <f t="shared" si="102"/>
        <v>0.5</v>
      </c>
      <c r="BJ35" s="65">
        <f t="shared" si="102"/>
        <v>0.5</v>
      </c>
      <c r="BK35" s="65">
        <f t="shared" si="102"/>
        <v>0.5</v>
      </c>
      <c r="BL35" s="65">
        <f t="shared" si="102"/>
        <v>0.5</v>
      </c>
      <c r="BM35" s="65">
        <f t="shared" si="102"/>
        <v>0.5</v>
      </c>
      <c r="BN35" s="65">
        <f t="shared" si="102"/>
        <v>0.5</v>
      </c>
      <c r="BO35" s="65">
        <f t="shared" si="102"/>
        <v>0.5</v>
      </c>
      <c r="BP35" s="426">
        <f>Funnel!I94</f>
        <v>0.5</v>
      </c>
      <c r="CF35" s="76" t="s">
        <v>1054</v>
      </c>
      <c r="CG35" s="285" t="s">
        <v>231</v>
      </c>
    </row>
    <row r="36" spans="1:85" s="60" customFormat="1" ht="15.6">
      <c r="A36" s="60" t="s">
        <v>720</v>
      </c>
      <c r="B36" s="12" t="s">
        <v>502</v>
      </c>
      <c r="C36" s="374">
        <v>0</v>
      </c>
      <c r="D36" s="60">
        <f t="shared" ref="D36:AI36" si="103">D20*D35</f>
        <v>0</v>
      </c>
      <c r="E36" s="60">
        <f t="shared" si="103"/>
        <v>0</v>
      </c>
      <c r="F36" s="60">
        <f t="shared" si="103"/>
        <v>0</v>
      </c>
      <c r="G36" s="60">
        <f t="shared" si="103"/>
        <v>0</v>
      </c>
      <c r="H36" s="60">
        <f t="shared" si="103"/>
        <v>0</v>
      </c>
      <c r="I36" s="60">
        <f t="shared" si="103"/>
        <v>0</v>
      </c>
      <c r="J36" s="60">
        <f t="shared" si="103"/>
        <v>0</v>
      </c>
      <c r="K36" s="60">
        <f t="shared" si="103"/>
        <v>0</v>
      </c>
      <c r="L36" s="60">
        <f t="shared" si="103"/>
        <v>0</v>
      </c>
      <c r="M36" s="60">
        <f t="shared" si="103"/>
        <v>0</v>
      </c>
      <c r="N36" s="60">
        <f t="shared" si="103"/>
        <v>0</v>
      </c>
      <c r="O36" s="60">
        <f t="shared" si="103"/>
        <v>0</v>
      </c>
      <c r="P36" s="372">
        <f t="shared" si="103"/>
        <v>0</v>
      </c>
      <c r="Q36" s="60">
        <f t="shared" si="103"/>
        <v>0</v>
      </c>
      <c r="R36" s="60">
        <f t="shared" si="103"/>
        <v>0</v>
      </c>
      <c r="S36" s="60">
        <f t="shared" si="103"/>
        <v>0</v>
      </c>
      <c r="T36" s="60">
        <f t="shared" si="103"/>
        <v>0</v>
      </c>
      <c r="U36" s="60">
        <f t="shared" si="103"/>
        <v>0</v>
      </c>
      <c r="V36" s="60">
        <f t="shared" si="103"/>
        <v>0</v>
      </c>
      <c r="W36" s="60">
        <f t="shared" si="103"/>
        <v>874.23641569795961</v>
      </c>
      <c r="X36" s="60">
        <f t="shared" si="103"/>
        <v>1777.1110583617506</v>
      </c>
      <c r="Y36" s="60">
        <f t="shared" si="103"/>
        <v>2707.4346710790505</v>
      </c>
      <c r="Z36" s="60">
        <f t="shared" si="103"/>
        <v>3663.9887160515814</v>
      </c>
      <c r="AA36" s="60">
        <f t="shared" si="103"/>
        <v>4645.5281044795629</v>
      </c>
      <c r="AB36" s="60">
        <f t="shared" si="103"/>
        <v>5607.8557549332718</v>
      </c>
      <c r="AC36" s="372">
        <f t="shared" si="103"/>
        <v>5607.8557549332718</v>
      </c>
      <c r="AD36" s="60">
        <f t="shared" si="103"/>
        <v>6853.3700698469356</v>
      </c>
      <c r="AE36" s="60">
        <f t="shared" si="103"/>
        <v>7863.3737174745911</v>
      </c>
      <c r="AF36" s="60">
        <f t="shared" si="103"/>
        <v>8916.6660143492845</v>
      </c>
      <c r="AG36" s="60">
        <f t="shared" si="103"/>
        <v>10011.60927140931</v>
      </c>
      <c r="AH36" s="60">
        <f t="shared" si="103"/>
        <v>11146.525431955008</v>
      </c>
      <c r="AI36" s="60">
        <f t="shared" si="103"/>
        <v>12319.69997272529</v>
      </c>
      <c r="AJ36" s="60">
        <f t="shared" ref="AJ36:BO36" si="104">AJ20*AJ35</f>
        <v>13529.385843476022</v>
      </c>
      <c r="AK36" s="60">
        <f t="shared" si="104"/>
        <v>14773.807432721756</v>
      </c>
      <c r="AL36" s="60">
        <f t="shared" si="104"/>
        <v>16051.164547377321</v>
      </c>
      <c r="AM36" s="60">
        <f t="shared" si="104"/>
        <v>17359.636394158806</v>
      </c>
      <c r="AN36" s="60">
        <f t="shared" si="104"/>
        <v>18697.385550773281</v>
      </c>
      <c r="AO36" s="60">
        <f t="shared" si="104"/>
        <v>19993.482829070515</v>
      </c>
      <c r="AP36" s="372">
        <f t="shared" si="104"/>
        <v>19993.482829070515</v>
      </c>
      <c r="AQ36" s="60">
        <f t="shared" si="104"/>
        <v>21826.439221198092</v>
      </c>
      <c r="AR36" s="60">
        <f t="shared" si="104"/>
        <v>22704.959519959611</v>
      </c>
      <c r="AS36" s="60">
        <f t="shared" si="104"/>
        <v>23626.979823596164</v>
      </c>
      <c r="AT36" s="60">
        <f t="shared" si="104"/>
        <v>24590.729861709064</v>
      </c>
      <c r="AU36" s="60">
        <f t="shared" si="104"/>
        <v>25594.411289570668</v>
      </c>
      <c r="AV36" s="60">
        <f t="shared" si="104"/>
        <v>26636.201832263261</v>
      </c>
      <c r="AW36" s="60">
        <f t="shared" si="104"/>
        <v>27714.259407832702</v>
      </c>
      <c r="AX36" s="60">
        <f t="shared" si="104"/>
        <v>28826.726217496565</v>
      </c>
      <c r="AY36" s="60">
        <f t="shared" si="104"/>
        <v>29971.732791295119</v>
      </c>
      <c r="AZ36" s="60">
        <f t="shared" si="104"/>
        <v>31147.401977961534</v>
      </c>
      <c r="BA36" s="60">
        <f t="shared" si="104"/>
        <v>32351.852868213169</v>
      </c>
      <c r="BB36" s="60">
        <f t="shared" si="104"/>
        <v>33501.493493034817</v>
      </c>
      <c r="BC36" s="372">
        <f t="shared" si="104"/>
        <v>33501.493493034817</v>
      </c>
      <c r="BD36" s="60">
        <f t="shared" si="104"/>
        <v>35775.772263737985</v>
      </c>
      <c r="BE36" s="60">
        <f t="shared" si="104"/>
        <v>36428.490808796792</v>
      </c>
      <c r="BF36" s="60">
        <f t="shared" si="104"/>
        <v>37132.73322309275</v>
      </c>
      <c r="BG36" s="60">
        <f t="shared" si="104"/>
        <v>37886.481405546016</v>
      </c>
      <c r="BH36" s="60">
        <f t="shared" si="104"/>
        <v>38687.694458002028</v>
      </c>
      <c r="BI36" s="60">
        <f t="shared" si="104"/>
        <v>39534.313348353287</v>
      </c>
      <c r="BJ36" s="60">
        <f t="shared" si="104"/>
        <v>40424.265500086251</v>
      </c>
      <c r="BK36" s="60">
        <f t="shared" si="104"/>
        <v>41355.469296361189</v>
      </c>
      <c r="BL36" s="60">
        <f t="shared" si="104"/>
        <v>42325.838487334666</v>
      </c>
      <c r="BM36" s="60">
        <f t="shared" si="104"/>
        <v>43333.286490066785</v>
      </c>
      <c r="BN36" s="60">
        <f t="shared" si="104"/>
        <v>44375.730571013824</v>
      </c>
      <c r="BO36" s="60">
        <f t="shared" si="104"/>
        <v>45353.040161876612</v>
      </c>
      <c r="BP36" s="372">
        <f t="shared" ref="BP36" si="105">BP20*BP35</f>
        <v>45353.040161876612</v>
      </c>
      <c r="CF36" s="60" t="s">
        <v>1055</v>
      </c>
      <c r="CG36" s="13" t="s">
        <v>965</v>
      </c>
    </row>
    <row r="37" spans="1:85" s="6" customFormat="1">
      <c r="A37" s="6" t="s">
        <v>719</v>
      </c>
      <c r="B37" s="13" t="s">
        <v>130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383"/>
      <c r="Q37" s="5"/>
      <c r="R37" s="5"/>
      <c r="S37" s="5"/>
      <c r="T37" s="5"/>
      <c r="U37" s="5"/>
      <c r="V37" s="5"/>
      <c r="W37" s="5">
        <f t="shared" ref="W37:AI37" si="106">W36/W22*1000000</f>
        <v>279255.31914893613</v>
      </c>
      <c r="X37" s="5">
        <f t="shared" si="106"/>
        <v>279255.31914893613</v>
      </c>
      <c r="Y37" s="5">
        <f t="shared" si="106"/>
        <v>279255.31914893619</v>
      </c>
      <c r="Z37" s="5">
        <f t="shared" si="106"/>
        <v>279255.31914893619</v>
      </c>
      <c r="AA37" s="5">
        <f t="shared" si="106"/>
        <v>279255.31914893619</v>
      </c>
      <c r="AB37" s="5">
        <f t="shared" si="106"/>
        <v>279255.31914893619</v>
      </c>
      <c r="AC37" s="383">
        <f t="shared" si="106"/>
        <v>279255.31914893619</v>
      </c>
      <c r="AD37" s="5">
        <f t="shared" si="106"/>
        <v>296370.96774193557</v>
      </c>
      <c r="AE37" s="5">
        <f t="shared" si="106"/>
        <v>296370.96774193551</v>
      </c>
      <c r="AF37" s="5">
        <f t="shared" si="106"/>
        <v>296370.96774193546</v>
      </c>
      <c r="AG37" s="5">
        <f t="shared" si="106"/>
        <v>296370.96774193551</v>
      </c>
      <c r="AH37" s="5">
        <f t="shared" si="106"/>
        <v>296370.96774193551</v>
      </c>
      <c r="AI37" s="5">
        <f t="shared" si="106"/>
        <v>296370.96774193551</v>
      </c>
      <c r="AJ37" s="5">
        <f t="shared" ref="AJ37:BO37" si="107">AJ36/AJ22*1000000</f>
        <v>296370.96774193551</v>
      </c>
      <c r="AK37" s="5">
        <f t="shared" si="107"/>
        <v>296370.96774193551</v>
      </c>
      <c r="AL37" s="5">
        <f t="shared" si="107"/>
        <v>296370.96774193546</v>
      </c>
      <c r="AM37" s="5">
        <f t="shared" si="107"/>
        <v>296370.96774193551</v>
      </c>
      <c r="AN37" s="5">
        <f t="shared" si="107"/>
        <v>296370.96774193551</v>
      </c>
      <c r="AO37" s="5">
        <f t="shared" si="107"/>
        <v>296370.96774193551</v>
      </c>
      <c r="AP37" s="383">
        <f t="shared" si="107"/>
        <v>296370.96774193551</v>
      </c>
      <c r="AQ37" s="5">
        <f t="shared" si="107"/>
        <v>314572.01086956525</v>
      </c>
      <c r="AR37" s="5">
        <f t="shared" si="107"/>
        <v>314572.01086956525</v>
      </c>
      <c r="AS37" s="5">
        <f t="shared" si="107"/>
        <v>314572.01086956519</v>
      </c>
      <c r="AT37" s="5">
        <f t="shared" si="107"/>
        <v>314572.01086956519</v>
      </c>
      <c r="AU37" s="5">
        <f t="shared" si="107"/>
        <v>314572.01086956525</v>
      </c>
      <c r="AV37" s="5">
        <f t="shared" si="107"/>
        <v>314572.01086956525</v>
      </c>
      <c r="AW37" s="5">
        <f t="shared" si="107"/>
        <v>314572.01086956519</v>
      </c>
      <c r="AX37" s="5">
        <f t="shared" si="107"/>
        <v>314572.01086956519</v>
      </c>
      <c r="AY37" s="5">
        <f t="shared" si="107"/>
        <v>314572.01086956525</v>
      </c>
      <c r="AZ37" s="5">
        <f t="shared" si="107"/>
        <v>314572.01086956525</v>
      </c>
      <c r="BA37" s="5">
        <f t="shared" si="107"/>
        <v>314572.01086956525</v>
      </c>
      <c r="BB37" s="5">
        <f t="shared" si="107"/>
        <v>314572.01086956519</v>
      </c>
      <c r="BC37" s="383">
        <f t="shared" si="107"/>
        <v>314572.01086956519</v>
      </c>
      <c r="BD37" s="5">
        <f t="shared" si="107"/>
        <v>333930.28846153856</v>
      </c>
      <c r="BE37" s="5">
        <f t="shared" si="107"/>
        <v>333930.28846153856</v>
      </c>
      <c r="BF37" s="5">
        <f t="shared" si="107"/>
        <v>333930.28846153856</v>
      </c>
      <c r="BG37" s="5">
        <f t="shared" si="107"/>
        <v>333930.28846153861</v>
      </c>
      <c r="BH37" s="5">
        <f t="shared" si="107"/>
        <v>333930.28846153856</v>
      </c>
      <c r="BI37" s="5">
        <f t="shared" si="107"/>
        <v>333930.28846153856</v>
      </c>
      <c r="BJ37" s="5">
        <f t="shared" si="107"/>
        <v>333930.28846153861</v>
      </c>
      <c r="BK37" s="5">
        <f t="shared" si="107"/>
        <v>333930.28846153856</v>
      </c>
      <c r="BL37" s="5">
        <f t="shared" si="107"/>
        <v>333930.28846153856</v>
      </c>
      <c r="BM37" s="5">
        <f t="shared" si="107"/>
        <v>333930.28846153856</v>
      </c>
      <c r="BN37" s="5">
        <f t="shared" si="107"/>
        <v>333930.28846153856</v>
      </c>
      <c r="BO37" s="5">
        <f t="shared" si="107"/>
        <v>333930.28846153856</v>
      </c>
      <c r="BP37" s="383">
        <f t="shared" ref="BP37" si="108">BP36/BP22*1000000</f>
        <v>333930.28846153856</v>
      </c>
      <c r="CF37" s="6" t="s">
        <v>1056</v>
      </c>
      <c r="CG37" s="13" t="s">
        <v>966</v>
      </c>
    </row>
    <row r="38" spans="1:85" s="40" customFormat="1">
      <c r="A38" s="40" t="s">
        <v>718</v>
      </c>
      <c r="B38" s="285" t="s">
        <v>231</v>
      </c>
      <c r="P38" s="460"/>
      <c r="W38" s="40">
        <f t="shared" ref="W38:AI38" si="109">W37/W19</f>
        <v>0.53191489361702116</v>
      </c>
      <c r="X38" s="40">
        <f t="shared" si="109"/>
        <v>0.53191489361702116</v>
      </c>
      <c r="Y38" s="40">
        <f t="shared" si="109"/>
        <v>0.53191489361702127</v>
      </c>
      <c r="Z38" s="40">
        <f t="shared" si="109"/>
        <v>0.53191489361702127</v>
      </c>
      <c r="AA38" s="40">
        <f t="shared" si="109"/>
        <v>0.53191489361702127</v>
      </c>
      <c r="AB38" s="40">
        <f t="shared" si="109"/>
        <v>0.53191489361702127</v>
      </c>
      <c r="AC38" s="460">
        <f t="shared" si="109"/>
        <v>0.53191489361702127</v>
      </c>
      <c r="AD38" s="40">
        <f t="shared" si="109"/>
        <v>0.53763440860215073</v>
      </c>
      <c r="AE38" s="40">
        <f t="shared" si="109"/>
        <v>0.53763440860215062</v>
      </c>
      <c r="AF38" s="40">
        <f t="shared" si="109"/>
        <v>0.5376344086021505</v>
      </c>
      <c r="AG38" s="40">
        <f t="shared" si="109"/>
        <v>0.53763440860215062</v>
      </c>
      <c r="AH38" s="40">
        <f t="shared" si="109"/>
        <v>0.53763440860215062</v>
      </c>
      <c r="AI38" s="40">
        <f t="shared" si="109"/>
        <v>0.53763440860215062</v>
      </c>
      <c r="AJ38" s="40">
        <f t="shared" ref="AJ38:BO38" si="110">AJ37/AJ19</f>
        <v>0.53763440860215062</v>
      </c>
      <c r="AK38" s="40">
        <f t="shared" si="110"/>
        <v>0.53763440860215062</v>
      </c>
      <c r="AL38" s="40">
        <f t="shared" si="110"/>
        <v>0.5376344086021505</v>
      </c>
      <c r="AM38" s="40">
        <f t="shared" si="110"/>
        <v>0.53763440860215062</v>
      </c>
      <c r="AN38" s="40">
        <f t="shared" si="110"/>
        <v>0.53763440860215062</v>
      </c>
      <c r="AO38" s="40">
        <f t="shared" si="110"/>
        <v>0.53763440860215062</v>
      </c>
      <c r="AP38" s="460">
        <f t="shared" si="110"/>
        <v>0.53763440860215062</v>
      </c>
      <c r="AQ38" s="40">
        <f t="shared" si="110"/>
        <v>0.5434782608695653</v>
      </c>
      <c r="AR38" s="40">
        <f t="shared" si="110"/>
        <v>0.5434782608695653</v>
      </c>
      <c r="AS38" s="40">
        <f t="shared" si="110"/>
        <v>0.54347826086956519</v>
      </c>
      <c r="AT38" s="40">
        <f t="shared" si="110"/>
        <v>0.54347826086956519</v>
      </c>
      <c r="AU38" s="40">
        <f t="shared" si="110"/>
        <v>0.5434782608695653</v>
      </c>
      <c r="AV38" s="40">
        <f t="shared" si="110"/>
        <v>0.5434782608695653</v>
      </c>
      <c r="AW38" s="40">
        <f t="shared" si="110"/>
        <v>0.54347826086956519</v>
      </c>
      <c r="AX38" s="40">
        <f t="shared" si="110"/>
        <v>0.54347826086956519</v>
      </c>
      <c r="AY38" s="40">
        <f t="shared" si="110"/>
        <v>0.5434782608695653</v>
      </c>
      <c r="AZ38" s="40">
        <f t="shared" si="110"/>
        <v>0.5434782608695653</v>
      </c>
      <c r="BA38" s="40">
        <f t="shared" si="110"/>
        <v>0.5434782608695653</v>
      </c>
      <c r="BB38" s="40">
        <f t="shared" si="110"/>
        <v>0.54347826086956519</v>
      </c>
      <c r="BC38" s="460">
        <f t="shared" si="110"/>
        <v>0.54347826086956519</v>
      </c>
      <c r="BD38" s="40">
        <f t="shared" si="110"/>
        <v>0.5494505494505495</v>
      </c>
      <c r="BE38" s="40">
        <f t="shared" si="110"/>
        <v>0.5494505494505495</v>
      </c>
      <c r="BF38" s="40">
        <f t="shared" si="110"/>
        <v>0.5494505494505495</v>
      </c>
      <c r="BG38" s="40">
        <f t="shared" si="110"/>
        <v>0.54945054945054961</v>
      </c>
      <c r="BH38" s="40">
        <f t="shared" si="110"/>
        <v>0.5494505494505495</v>
      </c>
      <c r="BI38" s="40">
        <f t="shared" si="110"/>
        <v>0.5494505494505495</v>
      </c>
      <c r="BJ38" s="40">
        <f t="shared" si="110"/>
        <v>0.54945054945054961</v>
      </c>
      <c r="BK38" s="40">
        <f t="shared" si="110"/>
        <v>0.5494505494505495</v>
      </c>
      <c r="BL38" s="40">
        <f t="shared" si="110"/>
        <v>0.5494505494505495</v>
      </c>
      <c r="BM38" s="40">
        <f t="shared" si="110"/>
        <v>0.5494505494505495</v>
      </c>
      <c r="BN38" s="40">
        <f t="shared" si="110"/>
        <v>0.5494505494505495</v>
      </c>
      <c r="BO38" s="40">
        <f t="shared" si="110"/>
        <v>0.5494505494505495</v>
      </c>
      <c r="BP38" s="460">
        <f t="shared" ref="BP38" si="111">BP37/BP19</f>
        <v>0.5494505494505495</v>
      </c>
      <c r="CF38" s="40" t="s">
        <v>1059</v>
      </c>
      <c r="CG38" s="285" t="s">
        <v>231</v>
      </c>
    </row>
    <row r="39" spans="1:85" s="365" customFormat="1" outlineLevel="1">
      <c r="A39" s="370" t="s">
        <v>717</v>
      </c>
      <c r="B39" s="454" t="s">
        <v>231</v>
      </c>
      <c r="C39" s="369">
        <f t="shared" ref="C39:AH39" si="112">C23</f>
        <v>0</v>
      </c>
      <c r="D39" s="369">
        <f t="shared" si="112"/>
        <v>8.3333333333333332E-3</v>
      </c>
      <c r="E39" s="369">
        <f t="shared" si="112"/>
        <v>1.6666666666666666E-2</v>
      </c>
      <c r="F39" s="369">
        <f t="shared" si="112"/>
        <v>2.5000000000000001E-2</v>
      </c>
      <c r="G39" s="369">
        <f t="shared" si="112"/>
        <v>3.3333333333333333E-2</v>
      </c>
      <c r="H39" s="369">
        <f t="shared" si="112"/>
        <v>4.1666666666666664E-2</v>
      </c>
      <c r="I39" s="369">
        <f t="shared" si="112"/>
        <v>4.9999999999999996E-2</v>
      </c>
      <c r="J39" s="369">
        <f t="shared" si="112"/>
        <v>5.8333333333333327E-2</v>
      </c>
      <c r="K39" s="369">
        <f t="shared" si="112"/>
        <v>6.6666666666666666E-2</v>
      </c>
      <c r="L39" s="369">
        <f t="shared" si="112"/>
        <v>7.4999999999999997E-2</v>
      </c>
      <c r="M39" s="369">
        <f t="shared" si="112"/>
        <v>8.3333333333333329E-2</v>
      </c>
      <c r="N39" s="369">
        <f t="shared" si="112"/>
        <v>9.166666666666666E-2</v>
      </c>
      <c r="O39" s="369">
        <f t="shared" si="112"/>
        <v>9.9999999999999992E-2</v>
      </c>
      <c r="P39" s="368">
        <f t="shared" si="112"/>
        <v>0.1</v>
      </c>
      <c r="Q39" s="369">
        <f t="shared" si="112"/>
        <v>0.10250000000000001</v>
      </c>
      <c r="R39" s="369">
        <f t="shared" si="112"/>
        <v>0.10500000000000001</v>
      </c>
      <c r="S39" s="369">
        <f t="shared" si="112"/>
        <v>0.10750000000000001</v>
      </c>
      <c r="T39" s="369">
        <f t="shared" si="112"/>
        <v>0.11000000000000001</v>
      </c>
      <c r="U39" s="369">
        <f t="shared" si="112"/>
        <v>0.11250000000000002</v>
      </c>
      <c r="V39" s="369">
        <f t="shared" si="112"/>
        <v>0.11500000000000002</v>
      </c>
      <c r="W39" s="369">
        <f t="shared" si="112"/>
        <v>0.11750000000000002</v>
      </c>
      <c r="X39" s="369">
        <f t="shared" si="112"/>
        <v>0.12000000000000002</v>
      </c>
      <c r="Y39" s="369">
        <f t="shared" si="112"/>
        <v>0.12250000000000003</v>
      </c>
      <c r="Z39" s="369">
        <f t="shared" si="112"/>
        <v>0.12500000000000003</v>
      </c>
      <c r="AA39" s="369">
        <f t="shared" si="112"/>
        <v>0.12750000000000003</v>
      </c>
      <c r="AB39" s="369">
        <f t="shared" si="112"/>
        <v>0.13000000000000003</v>
      </c>
      <c r="AC39" s="368">
        <f t="shared" si="112"/>
        <v>0.13</v>
      </c>
      <c r="AD39" s="369">
        <f t="shared" si="112"/>
        <v>0.13250000000000001</v>
      </c>
      <c r="AE39" s="369">
        <f t="shared" si="112"/>
        <v>0.13500000000000001</v>
      </c>
      <c r="AF39" s="369">
        <f t="shared" si="112"/>
        <v>0.13750000000000001</v>
      </c>
      <c r="AG39" s="369">
        <f t="shared" si="112"/>
        <v>0.14000000000000001</v>
      </c>
      <c r="AH39" s="369">
        <f t="shared" si="112"/>
        <v>0.14250000000000002</v>
      </c>
      <c r="AI39" s="369">
        <f t="shared" ref="AI39:BP39" si="113">AI23</f>
        <v>0.14500000000000002</v>
      </c>
      <c r="AJ39" s="369">
        <f t="shared" si="113"/>
        <v>0.14750000000000002</v>
      </c>
      <c r="AK39" s="369">
        <f t="shared" si="113"/>
        <v>0.15000000000000002</v>
      </c>
      <c r="AL39" s="369">
        <f t="shared" si="113"/>
        <v>0.15250000000000002</v>
      </c>
      <c r="AM39" s="369">
        <f t="shared" si="113"/>
        <v>0.15500000000000003</v>
      </c>
      <c r="AN39" s="369">
        <f t="shared" si="113"/>
        <v>0.15750000000000003</v>
      </c>
      <c r="AO39" s="369">
        <f t="shared" si="113"/>
        <v>0.16000000000000003</v>
      </c>
      <c r="AP39" s="368">
        <f t="shared" si="113"/>
        <v>0.16</v>
      </c>
      <c r="AQ39" s="369">
        <f t="shared" si="113"/>
        <v>0.16250000000000001</v>
      </c>
      <c r="AR39" s="369">
        <f t="shared" si="113"/>
        <v>0.16500000000000001</v>
      </c>
      <c r="AS39" s="369">
        <f t="shared" si="113"/>
        <v>0.16750000000000001</v>
      </c>
      <c r="AT39" s="369">
        <f t="shared" si="113"/>
        <v>0.17</v>
      </c>
      <c r="AU39" s="369">
        <f t="shared" si="113"/>
        <v>0.17250000000000001</v>
      </c>
      <c r="AV39" s="369">
        <f t="shared" si="113"/>
        <v>0.17500000000000002</v>
      </c>
      <c r="AW39" s="369">
        <f t="shared" si="113"/>
        <v>0.17750000000000002</v>
      </c>
      <c r="AX39" s="369">
        <f t="shared" si="113"/>
        <v>0.18000000000000002</v>
      </c>
      <c r="AY39" s="369">
        <f t="shared" si="113"/>
        <v>0.18250000000000002</v>
      </c>
      <c r="AZ39" s="369">
        <f t="shared" si="113"/>
        <v>0.18500000000000003</v>
      </c>
      <c r="BA39" s="369">
        <f t="shared" si="113"/>
        <v>0.18750000000000003</v>
      </c>
      <c r="BB39" s="369">
        <f t="shared" si="113"/>
        <v>0.19000000000000003</v>
      </c>
      <c r="BC39" s="368">
        <f t="shared" si="113"/>
        <v>0.19</v>
      </c>
      <c r="BD39" s="369">
        <f t="shared" si="113"/>
        <v>0.1925</v>
      </c>
      <c r="BE39" s="369">
        <f t="shared" si="113"/>
        <v>0.19500000000000001</v>
      </c>
      <c r="BF39" s="369">
        <f t="shared" si="113"/>
        <v>0.19750000000000001</v>
      </c>
      <c r="BG39" s="369">
        <f t="shared" si="113"/>
        <v>0.2</v>
      </c>
      <c r="BH39" s="369">
        <f t="shared" si="113"/>
        <v>0.20250000000000001</v>
      </c>
      <c r="BI39" s="369">
        <f t="shared" si="113"/>
        <v>0.20500000000000002</v>
      </c>
      <c r="BJ39" s="369">
        <f t="shared" si="113"/>
        <v>0.20750000000000002</v>
      </c>
      <c r="BK39" s="369">
        <f t="shared" si="113"/>
        <v>0.21000000000000002</v>
      </c>
      <c r="BL39" s="369">
        <f t="shared" si="113"/>
        <v>0.21250000000000002</v>
      </c>
      <c r="BM39" s="369">
        <f t="shared" si="113"/>
        <v>0.21500000000000002</v>
      </c>
      <c r="BN39" s="369">
        <f t="shared" si="113"/>
        <v>0.21750000000000003</v>
      </c>
      <c r="BO39" s="369">
        <f t="shared" si="113"/>
        <v>0.22000000000000003</v>
      </c>
      <c r="BP39" s="368">
        <f t="shared" si="113"/>
        <v>0.22</v>
      </c>
      <c r="CF39" s="370" t="s">
        <v>1057</v>
      </c>
      <c r="CG39" s="454" t="s">
        <v>231</v>
      </c>
    </row>
    <row r="40" spans="1:85" s="365" customFormat="1" outlineLevel="1">
      <c r="A40" s="370" t="s">
        <v>716</v>
      </c>
      <c r="B40" s="454" t="s">
        <v>231</v>
      </c>
      <c r="C40" s="369">
        <f t="shared" ref="C40:AH40" si="114">C24</f>
        <v>1</v>
      </c>
      <c r="D40" s="369">
        <f t="shared" si="114"/>
        <v>0.9916666666666667</v>
      </c>
      <c r="E40" s="369">
        <f t="shared" si="114"/>
        <v>0.98333333333333328</v>
      </c>
      <c r="F40" s="369">
        <f t="shared" si="114"/>
        <v>0.97499999999999998</v>
      </c>
      <c r="G40" s="369">
        <f t="shared" si="114"/>
        <v>0.96666666666666667</v>
      </c>
      <c r="H40" s="369">
        <f t="shared" si="114"/>
        <v>0.95833333333333337</v>
      </c>
      <c r="I40" s="369">
        <f t="shared" si="114"/>
        <v>0.95</v>
      </c>
      <c r="J40" s="369">
        <f t="shared" si="114"/>
        <v>0.94166666666666665</v>
      </c>
      <c r="K40" s="369">
        <f t="shared" si="114"/>
        <v>0.93333333333333335</v>
      </c>
      <c r="L40" s="369">
        <f t="shared" si="114"/>
        <v>0.92500000000000004</v>
      </c>
      <c r="M40" s="369">
        <f t="shared" si="114"/>
        <v>0.91666666666666663</v>
      </c>
      <c r="N40" s="369">
        <f t="shared" si="114"/>
        <v>0.90833333333333333</v>
      </c>
      <c r="O40" s="369">
        <f t="shared" si="114"/>
        <v>0.9</v>
      </c>
      <c r="P40" s="368">
        <f t="shared" si="114"/>
        <v>0.9</v>
      </c>
      <c r="Q40" s="369">
        <f t="shared" si="114"/>
        <v>0.89749999999999996</v>
      </c>
      <c r="R40" s="369">
        <f t="shared" si="114"/>
        <v>0.89500000000000002</v>
      </c>
      <c r="S40" s="369">
        <f t="shared" si="114"/>
        <v>0.89249999999999996</v>
      </c>
      <c r="T40" s="369">
        <f t="shared" si="114"/>
        <v>0.89</v>
      </c>
      <c r="U40" s="369">
        <f t="shared" si="114"/>
        <v>0.88749999999999996</v>
      </c>
      <c r="V40" s="369">
        <f t="shared" si="114"/>
        <v>0.88500000000000001</v>
      </c>
      <c r="W40" s="369">
        <f t="shared" si="114"/>
        <v>0.88249999999999995</v>
      </c>
      <c r="X40" s="369">
        <f t="shared" si="114"/>
        <v>0.88</v>
      </c>
      <c r="Y40" s="369">
        <f t="shared" si="114"/>
        <v>0.87749999999999995</v>
      </c>
      <c r="Z40" s="369">
        <f t="shared" si="114"/>
        <v>0.875</v>
      </c>
      <c r="AA40" s="369">
        <f t="shared" si="114"/>
        <v>0.87249999999999994</v>
      </c>
      <c r="AB40" s="369">
        <f t="shared" si="114"/>
        <v>0.87</v>
      </c>
      <c r="AC40" s="368">
        <f t="shared" si="114"/>
        <v>0.87</v>
      </c>
      <c r="AD40" s="369">
        <f t="shared" si="114"/>
        <v>0.86749999999999994</v>
      </c>
      <c r="AE40" s="369">
        <f t="shared" si="114"/>
        <v>0.86499999999999999</v>
      </c>
      <c r="AF40" s="369">
        <f t="shared" si="114"/>
        <v>0.86250000000000004</v>
      </c>
      <c r="AG40" s="369">
        <f t="shared" si="114"/>
        <v>0.86</v>
      </c>
      <c r="AH40" s="369">
        <f t="shared" si="114"/>
        <v>0.85749999999999993</v>
      </c>
      <c r="AI40" s="369">
        <f t="shared" ref="AI40:BP40" si="115">AI24</f>
        <v>0.85499999999999998</v>
      </c>
      <c r="AJ40" s="369">
        <f t="shared" si="115"/>
        <v>0.85250000000000004</v>
      </c>
      <c r="AK40" s="369">
        <f t="shared" si="115"/>
        <v>0.85</v>
      </c>
      <c r="AL40" s="369">
        <f t="shared" si="115"/>
        <v>0.84749999999999992</v>
      </c>
      <c r="AM40" s="369">
        <f t="shared" si="115"/>
        <v>0.84499999999999997</v>
      </c>
      <c r="AN40" s="369">
        <f t="shared" si="115"/>
        <v>0.84250000000000003</v>
      </c>
      <c r="AO40" s="369">
        <f t="shared" si="115"/>
        <v>0.84</v>
      </c>
      <c r="AP40" s="368">
        <f t="shared" si="115"/>
        <v>0.84</v>
      </c>
      <c r="AQ40" s="369">
        <f t="shared" si="115"/>
        <v>0.83750000000000002</v>
      </c>
      <c r="AR40" s="369">
        <f t="shared" si="115"/>
        <v>0.83499999999999996</v>
      </c>
      <c r="AS40" s="369">
        <f t="shared" si="115"/>
        <v>0.83250000000000002</v>
      </c>
      <c r="AT40" s="369">
        <f t="shared" si="115"/>
        <v>0.83</v>
      </c>
      <c r="AU40" s="369">
        <f t="shared" si="115"/>
        <v>0.82750000000000001</v>
      </c>
      <c r="AV40" s="369">
        <f t="shared" si="115"/>
        <v>0.82499999999999996</v>
      </c>
      <c r="AW40" s="369">
        <f t="shared" si="115"/>
        <v>0.82250000000000001</v>
      </c>
      <c r="AX40" s="369">
        <f t="shared" si="115"/>
        <v>0.82</v>
      </c>
      <c r="AY40" s="369">
        <f t="shared" si="115"/>
        <v>0.8175</v>
      </c>
      <c r="AZ40" s="369">
        <f t="shared" si="115"/>
        <v>0.81499999999999995</v>
      </c>
      <c r="BA40" s="369">
        <f t="shared" si="115"/>
        <v>0.8125</v>
      </c>
      <c r="BB40" s="369">
        <f t="shared" si="115"/>
        <v>0.80999999999999994</v>
      </c>
      <c r="BC40" s="368">
        <f t="shared" si="115"/>
        <v>0.81</v>
      </c>
      <c r="BD40" s="369">
        <f t="shared" si="115"/>
        <v>0.8075</v>
      </c>
      <c r="BE40" s="369">
        <f t="shared" si="115"/>
        <v>0.80499999999999994</v>
      </c>
      <c r="BF40" s="369">
        <f t="shared" si="115"/>
        <v>0.80249999999999999</v>
      </c>
      <c r="BG40" s="369">
        <f t="shared" si="115"/>
        <v>0.8</v>
      </c>
      <c r="BH40" s="369">
        <f t="shared" si="115"/>
        <v>0.79749999999999999</v>
      </c>
      <c r="BI40" s="369">
        <f t="shared" si="115"/>
        <v>0.79499999999999993</v>
      </c>
      <c r="BJ40" s="369">
        <f t="shared" si="115"/>
        <v>0.79249999999999998</v>
      </c>
      <c r="BK40" s="369">
        <f t="shared" si="115"/>
        <v>0.79</v>
      </c>
      <c r="BL40" s="369">
        <f t="shared" si="115"/>
        <v>0.78749999999999998</v>
      </c>
      <c r="BM40" s="369">
        <f t="shared" si="115"/>
        <v>0.78499999999999992</v>
      </c>
      <c r="BN40" s="369">
        <f t="shared" si="115"/>
        <v>0.78249999999999997</v>
      </c>
      <c r="BO40" s="369">
        <f t="shared" si="115"/>
        <v>0.78</v>
      </c>
      <c r="BP40" s="368">
        <f t="shared" si="115"/>
        <v>0.78</v>
      </c>
      <c r="CF40" s="370" t="s">
        <v>1058</v>
      </c>
      <c r="CG40" s="454" t="s">
        <v>231</v>
      </c>
    </row>
    <row r="41" spans="1:85" s="365" customFormat="1" outlineLevel="1">
      <c r="A41" s="367" t="s">
        <v>138</v>
      </c>
      <c r="B41" s="454" t="s">
        <v>231</v>
      </c>
      <c r="C41" s="369">
        <f t="shared" ref="C41:AH41" si="116">C25</f>
        <v>0.10000000000000009</v>
      </c>
      <c r="D41" s="369">
        <f t="shared" si="116"/>
        <v>0.10000000000000009</v>
      </c>
      <c r="E41" s="369">
        <f t="shared" si="116"/>
        <v>0.10000000000000009</v>
      </c>
      <c r="F41" s="369">
        <f t="shared" si="116"/>
        <v>0.10000000000000009</v>
      </c>
      <c r="G41" s="369">
        <f t="shared" si="116"/>
        <v>0.10000000000000009</v>
      </c>
      <c r="H41" s="369">
        <f t="shared" si="116"/>
        <v>0.10000000000000009</v>
      </c>
      <c r="I41" s="369">
        <f t="shared" si="116"/>
        <v>0.10000000000000009</v>
      </c>
      <c r="J41" s="369">
        <f t="shared" si="116"/>
        <v>0.10000000000000009</v>
      </c>
      <c r="K41" s="369">
        <f t="shared" si="116"/>
        <v>0.10000000000000009</v>
      </c>
      <c r="L41" s="369">
        <f t="shared" si="116"/>
        <v>0.10000000000000009</v>
      </c>
      <c r="M41" s="369">
        <f t="shared" si="116"/>
        <v>0.10000000000000009</v>
      </c>
      <c r="N41" s="369">
        <f t="shared" si="116"/>
        <v>0.10000000000000009</v>
      </c>
      <c r="O41" s="369">
        <f t="shared" si="116"/>
        <v>0.10000000000000009</v>
      </c>
      <c r="P41" s="368">
        <f t="shared" si="116"/>
        <v>0.10000000000000009</v>
      </c>
      <c r="Q41" s="369">
        <f t="shared" si="116"/>
        <v>0.10000000000000009</v>
      </c>
      <c r="R41" s="369">
        <f t="shared" si="116"/>
        <v>0.10000000000000009</v>
      </c>
      <c r="S41" s="369">
        <f t="shared" si="116"/>
        <v>0.10000000000000009</v>
      </c>
      <c r="T41" s="369">
        <f t="shared" si="116"/>
        <v>0.10000000000000009</v>
      </c>
      <c r="U41" s="369">
        <f t="shared" si="116"/>
        <v>0.10000000000000009</v>
      </c>
      <c r="V41" s="369">
        <f t="shared" si="116"/>
        <v>0.10000000000000009</v>
      </c>
      <c r="W41" s="369">
        <f t="shared" si="116"/>
        <v>0.10000000000000009</v>
      </c>
      <c r="X41" s="369">
        <f t="shared" si="116"/>
        <v>0.10000000000000009</v>
      </c>
      <c r="Y41" s="369">
        <f t="shared" si="116"/>
        <v>0.10000000000000009</v>
      </c>
      <c r="Z41" s="369">
        <f t="shared" si="116"/>
        <v>0.10000000000000009</v>
      </c>
      <c r="AA41" s="369">
        <f t="shared" si="116"/>
        <v>0.10000000000000009</v>
      </c>
      <c r="AB41" s="369">
        <f t="shared" si="116"/>
        <v>0.10000000000000009</v>
      </c>
      <c r="AC41" s="368">
        <f t="shared" si="116"/>
        <v>0.10000000000000009</v>
      </c>
      <c r="AD41" s="369">
        <f t="shared" si="116"/>
        <v>0.10000000000000009</v>
      </c>
      <c r="AE41" s="369">
        <f t="shared" si="116"/>
        <v>0.10000000000000009</v>
      </c>
      <c r="AF41" s="369">
        <f t="shared" si="116"/>
        <v>0.10000000000000009</v>
      </c>
      <c r="AG41" s="369">
        <f t="shared" si="116"/>
        <v>0.10000000000000009</v>
      </c>
      <c r="AH41" s="369">
        <f t="shared" si="116"/>
        <v>0.10000000000000009</v>
      </c>
      <c r="AI41" s="369">
        <f t="shared" ref="AI41:BP41" si="117">AI25</f>
        <v>0.10000000000000009</v>
      </c>
      <c r="AJ41" s="369">
        <f t="shared" si="117"/>
        <v>0.10000000000000009</v>
      </c>
      <c r="AK41" s="369">
        <f t="shared" si="117"/>
        <v>0.10000000000000009</v>
      </c>
      <c r="AL41" s="369">
        <f t="shared" si="117"/>
        <v>0.10000000000000009</v>
      </c>
      <c r="AM41" s="369">
        <f t="shared" si="117"/>
        <v>0.10000000000000009</v>
      </c>
      <c r="AN41" s="369">
        <f t="shared" si="117"/>
        <v>0.10000000000000009</v>
      </c>
      <c r="AO41" s="369">
        <f t="shared" si="117"/>
        <v>0.10000000000000009</v>
      </c>
      <c r="AP41" s="368">
        <f t="shared" si="117"/>
        <v>0.10000000000000009</v>
      </c>
      <c r="AQ41" s="369">
        <f t="shared" si="117"/>
        <v>0.10000000000000009</v>
      </c>
      <c r="AR41" s="369">
        <f t="shared" si="117"/>
        <v>0.10000000000000009</v>
      </c>
      <c r="AS41" s="369">
        <f t="shared" si="117"/>
        <v>0.10000000000000009</v>
      </c>
      <c r="AT41" s="369">
        <f t="shared" si="117"/>
        <v>0.10000000000000009</v>
      </c>
      <c r="AU41" s="369">
        <f t="shared" si="117"/>
        <v>0.10000000000000009</v>
      </c>
      <c r="AV41" s="369">
        <f t="shared" si="117"/>
        <v>0.10000000000000009</v>
      </c>
      <c r="AW41" s="369">
        <f t="shared" si="117"/>
        <v>0.10000000000000009</v>
      </c>
      <c r="AX41" s="369">
        <f t="shared" si="117"/>
        <v>0.10000000000000009</v>
      </c>
      <c r="AY41" s="369">
        <f t="shared" si="117"/>
        <v>0.10000000000000009</v>
      </c>
      <c r="AZ41" s="369">
        <f t="shared" si="117"/>
        <v>0.10000000000000009</v>
      </c>
      <c r="BA41" s="369">
        <f t="shared" si="117"/>
        <v>0.10000000000000009</v>
      </c>
      <c r="BB41" s="369">
        <f t="shared" si="117"/>
        <v>0.10000000000000009</v>
      </c>
      <c r="BC41" s="368">
        <f t="shared" si="117"/>
        <v>0.10000000000000009</v>
      </c>
      <c r="BD41" s="369">
        <f t="shared" si="117"/>
        <v>0.10000000000000009</v>
      </c>
      <c r="BE41" s="369">
        <f t="shared" si="117"/>
        <v>0.10000000000000009</v>
      </c>
      <c r="BF41" s="369">
        <f t="shared" si="117"/>
        <v>0.10000000000000009</v>
      </c>
      <c r="BG41" s="369">
        <f t="shared" si="117"/>
        <v>0.10000000000000009</v>
      </c>
      <c r="BH41" s="369">
        <f t="shared" si="117"/>
        <v>0.10000000000000009</v>
      </c>
      <c r="BI41" s="369">
        <f t="shared" si="117"/>
        <v>0.10000000000000009</v>
      </c>
      <c r="BJ41" s="369">
        <f t="shared" si="117"/>
        <v>0.10000000000000009</v>
      </c>
      <c r="BK41" s="369">
        <f t="shared" si="117"/>
        <v>0.10000000000000009</v>
      </c>
      <c r="BL41" s="369">
        <f t="shared" si="117"/>
        <v>0.10000000000000009</v>
      </c>
      <c r="BM41" s="369">
        <f t="shared" si="117"/>
        <v>0.10000000000000009</v>
      </c>
      <c r="BN41" s="369">
        <f t="shared" si="117"/>
        <v>0.10000000000000009</v>
      </c>
      <c r="BO41" s="369">
        <f t="shared" si="117"/>
        <v>0.10000000000000009</v>
      </c>
      <c r="BP41" s="368">
        <f t="shared" si="117"/>
        <v>0.10000000000000009</v>
      </c>
      <c r="CF41" s="367" t="s">
        <v>1002</v>
      </c>
      <c r="CG41" s="454" t="s">
        <v>231</v>
      </c>
    </row>
    <row r="42" spans="1:85" s="365" customFormat="1" outlineLevel="1">
      <c r="A42" s="367" t="s">
        <v>142</v>
      </c>
      <c r="B42" s="454" t="s">
        <v>231</v>
      </c>
      <c r="C42" s="369">
        <f t="shared" ref="C42:AH42" si="118">C26</f>
        <v>0.2</v>
      </c>
      <c r="D42" s="369">
        <f t="shared" si="118"/>
        <v>0.2</v>
      </c>
      <c r="E42" s="369">
        <f t="shared" si="118"/>
        <v>0.2</v>
      </c>
      <c r="F42" s="369">
        <f t="shared" si="118"/>
        <v>0.2</v>
      </c>
      <c r="G42" s="369">
        <f t="shared" si="118"/>
        <v>0.2</v>
      </c>
      <c r="H42" s="369">
        <f t="shared" si="118"/>
        <v>0.2</v>
      </c>
      <c r="I42" s="369">
        <f t="shared" si="118"/>
        <v>0.2</v>
      </c>
      <c r="J42" s="369">
        <f t="shared" si="118"/>
        <v>0.2</v>
      </c>
      <c r="K42" s="369">
        <f t="shared" si="118"/>
        <v>0.2</v>
      </c>
      <c r="L42" s="369">
        <f t="shared" si="118"/>
        <v>0.2</v>
      </c>
      <c r="M42" s="369">
        <f t="shared" si="118"/>
        <v>0.2</v>
      </c>
      <c r="N42" s="369">
        <f t="shared" si="118"/>
        <v>0.2</v>
      </c>
      <c r="O42" s="369">
        <f t="shared" si="118"/>
        <v>0.2</v>
      </c>
      <c r="P42" s="368">
        <f t="shared" si="118"/>
        <v>0.2</v>
      </c>
      <c r="Q42" s="369">
        <f t="shared" si="118"/>
        <v>0.2</v>
      </c>
      <c r="R42" s="369">
        <f t="shared" si="118"/>
        <v>0.2</v>
      </c>
      <c r="S42" s="369">
        <f t="shared" si="118"/>
        <v>0.2</v>
      </c>
      <c r="T42" s="369">
        <f t="shared" si="118"/>
        <v>0.2</v>
      </c>
      <c r="U42" s="369">
        <f t="shared" si="118"/>
        <v>0.2</v>
      </c>
      <c r="V42" s="369">
        <f t="shared" si="118"/>
        <v>0.2</v>
      </c>
      <c r="W42" s="369">
        <f t="shared" si="118"/>
        <v>0.2</v>
      </c>
      <c r="X42" s="369">
        <f t="shared" si="118"/>
        <v>0.2</v>
      </c>
      <c r="Y42" s="369">
        <f t="shared" si="118"/>
        <v>0.2</v>
      </c>
      <c r="Z42" s="369">
        <f t="shared" si="118"/>
        <v>0.2</v>
      </c>
      <c r="AA42" s="369">
        <f t="shared" si="118"/>
        <v>0.2</v>
      </c>
      <c r="AB42" s="369">
        <f t="shared" si="118"/>
        <v>0.2</v>
      </c>
      <c r="AC42" s="368">
        <f t="shared" si="118"/>
        <v>0.2</v>
      </c>
      <c r="AD42" s="369">
        <f t="shared" si="118"/>
        <v>0.2</v>
      </c>
      <c r="AE42" s="369">
        <f t="shared" si="118"/>
        <v>0.2</v>
      </c>
      <c r="AF42" s="369">
        <f t="shared" si="118"/>
        <v>0.2</v>
      </c>
      <c r="AG42" s="369">
        <f t="shared" si="118"/>
        <v>0.2</v>
      </c>
      <c r="AH42" s="369">
        <f t="shared" si="118"/>
        <v>0.2</v>
      </c>
      <c r="AI42" s="369">
        <f t="shared" ref="AI42:BP42" si="119">AI26</f>
        <v>0.2</v>
      </c>
      <c r="AJ42" s="369">
        <f t="shared" si="119"/>
        <v>0.2</v>
      </c>
      <c r="AK42" s="369">
        <f t="shared" si="119"/>
        <v>0.2</v>
      </c>
      <c r="AL42" s="369">
        <f t="shared" si="119"/>
        <v>0.2</v>
      </c>
      <c r="AM42" s="369">
        <f t="shared" si="119"/>
        <v>0.2</v>
      </c>
      <c r="AN42" s="369">
        <f t="shared" si="119"/>
        <v>0.2</v>
      </c>
      <c r="AO42" s="369">
        <f t="shared" si="119"/>
        <v>0.2</v>
      </c>
      <c r="AP42" s="368">
        <f t="shared" si="119"/>
        <v>0.2</v>
      </c>
      <c r="AQ42" s="369">
        <f t="shared" si="119"/>
        <v>0.2</v>
      </c>
      <c r="AR42" s="369">
        <f t="shared" si="119"/>
        <v>0.2</v>
      </c>
      <c r="AS42" s="369">
        <f t="shared" si="119"/>
        <v>0.2</v>
      </c>
      <c r="AT42" s="369">
        <f t="shared" si="119"/>
        <v>0.2</v>
      </c>
      <c r="AU42" s="369">
        <f t="shared" si="119"/>
        <v>0.2</v>
      </c>
      <c r="AV42" s="369">
        <f t="shared" si="119"/>
        <v>0.2</v>
      </c>
      <c r="AW42" s="369">
        <f t="shared" si="119"/>
        <v>0.2</v>
      </c>
      <c r="AX42" s="369">
        <f t="shared" si="119"/>
        <v>0.2</v>
      </c>
      <c r="AY42" s="369">
        <f t="shared" si="119"/>
        <v>0.2</v>
      </c>
      <c r="AZ42" s="369">
        <f t="shared" si="119"/>
        <v>0.2</v>
      </c>
      <c r="BA42" s="369">
        <f t="shared" si="119"/>
        <v>0.2</v>
      </c>
      <c r="BB42" s="369">
        <f t="shared" si="119"/>
        <v>0.2</v>
      </c>
      <c r="BC42" s="368">
        <f t="shared" si="119"/>
        <v>0.2</v>
      </c>
      <c r="BD42" s="369">
        <f t="shared" si="119"/>
        <v>0.2</v>
      </c>
      <c r="BE42" s="369">
        <f t="shared" si="119"/>
        <v>0.2</v>
      </c>
      <c r="BF42" s="369">
        <f t="shared" si="119"/>
        <v>0.2</v>
      </c>
      <c r="BG42" s="369">
        <f t="shared" si="119"/>
        <v>0.2</v>
      </c>
      <c r="BH42" s="369">
        <f t="shared" si="119"/>
        <v>0.2</v>
      </c>
      <c r="BI42" s="369">
        <f t="shared" si="119"/>
        <v>0.2</v>
      </c>
      <c r="BJ42" s="369">
        <f t="shared" si="119"/>
        <v>0.2</v>
      </c>
      <c r="BK42" s="369">
        <f t="shared" si="119"/>
        <v>0.2</v>
      </c>
      <c r="BL42" s="369">
        <f t="shared" si="119"/>
        <v>0.2</v>
      </c>
      <c r="BM42" s="369">
        <f t="shared" si="119"/>
        <v>0.2</v>
      </c>
      <c r="BN42" s="369">
        <f t="shared" si="119"/>
        <v>0.2</v>
      </c>
      <c r="BO42" s="369">
        <f t="shared" si="119"/>
        <v>0.2</v>
      </c>
      <c r="BP42" s="368">
        <f t="shared" si="119"/>
        <v>0.2</v>
      </c>
      <c r="CF42" s="367" t="s">
        <v>1003</v>
      </c>
      <c r="CG42" s="454" t="s">
        <v>231</v>
      </c>
    </row>
    <row r="43" spans="1:85" s="365" customFormat="1" outlineLevel="1">
      <c r="A43" s="367" t="s">
        <v>145</v>
      </c>
      <c r="B43" s="454" t="s">
        <v>231</v>
      </c>
      <c r="C43" s="369">
        <f t="shared" ref="C43:AH43" si="120">C27</f>
        <v>0.2</v>
      </c>
      <c r="D43" s="369">
        <f t="shared" si="120"/>
        <v>0.2</v>
      </c>
      <c r="E43" s="369">
        <f t="shared" si="120"/>
        <v>0.2</v>
      </c>
      <c r="F43" s="369">
        <f t="shared" si="120"/>
        <v>0.2</v>
      </c>
      <c r="G43" s="369">
        <f t="shared" si="120"/>
        <v>0.2</v>
      </c>
      <c r="H43" s="369">
        <f t="shared" si="120"/>
        <v>0.2</v>
      </c>
      <c r="I43" s="369">
        <f t="shared" si="120"/>
        <v>0.2</v>
      </c>
      <c r="J43" s="369">
        <f t="shared" si="120"/>
        <v>0.2</v>
      </c>
      <c r="K43" s="369">
        <f t="shared" si="120"/>
        <v>0.2</v>
      </c>
      <c r="L43" s="369">
        <f t="shared" si="120"/>
        <v>0.2</v>
      </c>
      <c r="M43" s="369">
        <f t="shared" si="120"/>
        <v>0.2</v>
      </c>
      <c r="N43" s="369">
        <f t="shared" si="120"/>
        <v>0.2</v>
      </c>
      <c r="O43" s="369">
        <f t="shared" si="120"/>
        <v>0.2</v>
      </c>
      <c r="P43" s="368">
        <f t="shared" si="120"/>
        <v>0.2</v>
      </c>
      <c r="Q43" s="369">
        <f t="shared" si="120"/>
        <v>0.2</v>
      </c>
      <c r="R43" s="369">
        <f t="shared" si="120"/>
        <v>0.2</v>
      </c>
      <c r="S43" s="369">
        <f t="shared" si="120"/>
        <v>0.2</v>
      </c>
      <c r="T43" s="369">
        <f t="shared" si="120"/>
        <v>0.2</v>
      </c>
      <c r="U43" s="369">
        <f t="shared" si="120"/>
        <v>0.2</v>
      </c>
      <c r="V43" s="369">
        <f t="shared" si="120"/>
        <v>0.2</v>
      </c>
      <c r="W43" s="369">
        <f t="shared" si="120"/>
        <v>0.2</v>
      </c>
      <c r="X43" s="369">
        <f t="shared" si="120"/>
        <v>0.2</v>
      </c>
      <c r="Y43" s="369">
        <f t="shared" si="120"/>
        <v>0.2</v>
      </c>
      <c r="Z43" s="369">
        <f t="shared" si="120"/>
        <v>0.2</v>
      </c>
      <c r="AA43" s="369">
        <f t="shared" si="120"/>
        <v>0.2</v>
      </c>
      <c r="AB43" s="369">
        <f t="shared" si="120"/>
        <v>0.2</v>
      </c>
      <c r="AC43" s="368">
        <f t="shared" si="120"/>
        <v>0.2</v>
      </c>
      <c r="AD43" s="369">
        <f t="shared" si="120"/>
        <v>0.2</v>
      </c>
      <c r="AE43" s="369">
        <f t="shared" si="120"/>
        <v>0.2</v>
      </c>
      <c r="AF43" s="369">
        <f t="shared" si="120"/>
        <v>0.2</v>
      </c>
      <c r="AG43" s="369">
        <f t="shared" si="120"/>
        <v>0.2</v>
      </c>
      <c r="AH43" s="369">
        <f t="shared" si="120"/>
        <v>0.2</v>
      </c>
      <c r="AI43" s="369">
        <f t="shared" ref="AI43:BP43" si="121">AI27</f>
        <v>0.2</v>
      </c>
      <c r="AJ43" s="369">
        <f t="shared" si="121"/>
        <v>0.2</v>
      </c>
      <c r="AK43" s="369">
        <f t="shared" si="121"/>
        <v>0.2</v>
      </c>
      <c r="AL43" s="369">
        <f t="shared" si="121"/>
        <v>0.2</v>
      </c>
      <c r="AM43" s="369">
        <f t="shared" si="121"/>
        <v>0.2</v>
      </c>
      <c r="AN43" s="369">
        <f t="shared" si="121"/>
        <v>0.2</v>
      </c>
      <c r="AO43" s="369">
        <f t="shared" si="121"/>
        <v>0.2</v>
      </c>
      <c r="AP43" s="368">
        <f t="shared" si="121"/>
        <v>0.2</v>
      </c>
      <c r="AQ43" s="369">
        <f t="shared" si="121"/>
        <v>0.2</v>
      </c>
      <c r="AR43" s="369">
        <f t="shared" si="121"/>
        <v>0.2</v>
      </c>
      <c r="AS43" s="369">
        <f t="shared" si="121"/>
        <v>0.2</v>
      </c>
      <c r="AT43" s="369">
        <f t="shared" si="121"/>
        <v>0.2</v>
      </c>
      <c r="AU43" s="369">
        <f t="shared" si="121"/>
        <v>0.2</v>
      </c>
      <c r="AV43" s="369">
        <f t="shared" si="121"/>
        <v>0.2</v>
      </c>
      <c r="AW43" s="369">
        <f t="shared" si="121"/>
        <v>0.2</v>
      </c>
      <c r="AX43" s="369">
        <f t="shared" si="121"/>
        <v>0.2</v>
      </c>
      <c r="AY43" s="369">
        <f t="shared" si="121"/>
        <v>0.2</v>
      </c>
      <c r="AZ43" s="369">
        <f t="shared" si="121"/>
        <v>0.2</v>
      </c>
      <c r="BA43" s="369">
        <f t="shared" si="121"/>
        <v>0.2</v>
      </c>
      <c r="BB43" s="369">
        <f t="shared" si="121"/>
        <v>0.2</v>
      </c>
      <c r="BC43" s="368">
        <f t="shared" si="121"/>
        <v>0.2</v>
      </c>
      <c r="BD43" s="369">
        <f t="shared" si="121"/>
        <v>0.2</v>
      </c>
      <c r="BE43" s="369">
        <f t="shared" si="121"/>
        <v>0.2</v>
      </c>
      <c r="BF43" s="369">
        <f t="shared" si="121"/>
        <v>0.2</v>
      </c>
      <c r="BG43" s="369">
        <f t="shared" si="121"/>
        <v>0.2</v>
      </c>
      <c r="BH43" s="369">
        <f t="shared" si="121"/>
        <v>0.2</v>
      </c>
      <c r="BI43" s="369">
        <f t="shared" si="121"/>
        <v>0.2</v>
      </c>
      <c r="BJ43" s="369">
        <f t="shared" si="121"/>
        <v>0.2</v>
      </c>
      <c r="BK43" s="369">
        <f t="shared" si="121"/>
        <v>0.2</v>
      </c>
      <c r="BL43" s="369">
        <f t="shared" si="121"/>
        <v>0.2</v>
      </c>
      <c r="BM43" s="369">
        <f t="shared" si="121"/>
        <v>0.2</v>
      </c>
      <c r="BN43" s="369">
        <f t="shared" si="121"/>
        <v>0.2</v>
      </c>
      <c r="BO43" s="369">
        <f t="shared" si="121"/>
        <v>0.2</v>
      </c>
      <c r="BP43" s="368">
        <f t="shared" si="121"/>
        <v>0.2</v>
      </c>
      <c r="CF43" s="367" t="s">
        <v>1004</v>
      </c>
      <c r="CG43" s="454" t="s">
        <v>231</v>
      </c>
    </row>
    <row r="44" spans="1:85" s="365" customFormat="1" outlineLevel="1">
      <c r="A44" s="367" t="s">
        <v>620</v>
      </c>
      <c r="B44" s="454" t="s">
        <v>231</v>
      </c>
      <c r="C44" s="369">
        <f t="shared" ref="C44:AH44" si="122">C28</f>
        <v>0.5</v>
      </c>
      <c r="D44" s="369">
        <f t="shared" si="122"/>
        <v>0.5</v>
      </c>
      <c r="E44" s="369">
        <f t="shared" si="122"/>
        <v>0.5</v>
      </c>
      <c r="F44" s="369">
        <f t="shared" si="122"/>
        <v>0.5</v>
      </c>
      <c r="G44" s="369">
        <f t="shared" si="122"/>
        <v>0.5</v>
      </c>
      <c r="H44" s="369">
        <f t="shared" si="122"/>
        <v>0.5</v>
      </c>
      <c r="I44" s="369">
        <f t="shared" si="122"/>
        <v>0.5</v>
      </c>
      <c r="J44" s="369">
        <f t="shared" si="122"/>
        <v>0.5</v>
      </c>
      <c r="K44" s="369">
        <f t="shared" si="122"/>
        <v>0.5</v>
      </c>
      <c r="L44" s="369">
        <f t="shared" si="122"/>
        <v>0.5</v>
      </c>
      <c r="M44" s="369">
        <f t="shared" si="122"/>
        <v>0.5</v>
      </c>
      <c r="N44" s="369">
        <f t="shared" si="122"/>
        <v>0.5</v>
      </c>
      <c r="O44" s="369">
        <f t="shared" si="122"/>
        <v>0.5</v>
      </c>
      <c r="P44" s="368">
        <f t="shared" si="122"/>
        <v>0.5</v>
      </c>
      <c r="Q44" s="369">
        <f t="shared" si="122"/>
        <v>0.5</v>
      </c>
      <c r="R44" s="369">
        <f t="shared" si="122"/>
        <v>0.5</v>
      </c>
      <c r="S44" s="369">
        <f t="shared" si="122"/>
        <v>0.5</v>
      </c>
      <c r="T44" s="369">
        <f t="shared" si="122"/>
        <v>0.5</v>
      </c>
      <c r="U44" s="369">
        <f t="shared" si="122"/>
        <v>0.5</v>
      </c>
      <c r="V44" s="369">
        <f t="shared" si="122"/>
        <v>0.5</v>
      </c>
      <c r="W44" s="369">
        <f t="shared" si="122"/>
        <v>0.5</v>
      </c>
      <c r="X44" s="369">
        <f t="shared" si="122"/>
        <v>0.5</v>
      </c>
      <c r="Y44" s="369">
        <f t="shared" si="122"/>
        <v>0.5</v>
      </c>
      <c r="Z44" s="369">
        <f t="shared" si="122"/>
        <v>0.5</v>
      </c>
      <c r="AA44" s="369">
        <f t="shared" si="122"/>
        <v>0.5</v>
      </c>
      <c r="AB44" s="369">
        <f t="shared" si="122"/>
        <v>0.5</v>
      </c>
      <c r="AC44" s="368">
        <f t="shared" si="122"/>
        <v>0.5</v>
      </c>
      <c r="AD44" s="369">
        <f t="shared" si="122"/>
        <v>0.5</v>
      </c>
      <c r="AE44" s="369">
        <f t="shared" si="122"/>
        <v>0.5</v>
      </c>
      <c r="AF44" s="369">
        <f t="shared" si="122"/>
        <v>0.5</v>
      </c>
      <c r="AG44" s="369">
        <f t="shared" si="122"/>
        <v>0.5</v>
      </c>
      <c r="AH44" s="369">
        <f t="shared" si="122"/>
        <v>0.5</v>
      </c>
      <c r="AI44" s="369">
        <f t="shared" ref="AI44:BP44" si="123">AI28</f>
        <v>0.5</v>
      </c>
      <c r="AJ44" s="369">
        <f t="shared" si="123"/>
        <v>0.5</v>
      </c>
      <c r="AK44" s="369">
        <f t="shared" si="123"/>
        <v>0.5</v>
      </c>
      <c r="AL44" s="369">
        <f t="shared" si="123"/>
        <v>0.5</v>
      </c>
      <c r="AM44" s="369">
        <f t="shared" si="123"/>
        <v>0.5</v>
      </c>
      <c r="AN44" s="369">
        <f t="shared" si="123"/>
        <v>0.5</v>
      </c>
      <c r="AO44" s="369">
        <f t="shared" si="123"/>
        <v>0.5</v>
      </c>
      <c r="AP44" s="368">
        <f t="shared" si="123"/>
        <v>0.5</v>
      </c>
      <c r="AQ44" s="369">
        <f t="shared" si="123"/>
        <v>0.5</v>
      </c>
      <c r="AR44" s="369">
        <f t="shared" si="123"/>
        <v>0.5</v>
      </c>
      <c r="AS44" s="369">
        <f t="shared" si="123"/>
        <v>0.5</v>
      </c>
      <c r="AT44" s="369">
        <f t="shared" si="123"/>
        <v>0.5</v>
      </c>
      <c r="AU44" s="369">
        <f t="shared" si="123"/>
        <v>0.5</v>
      </c>
      <c r="AV44" s="369">
        <f t="shared" si="123"/>
        <v>0.5</v>
      </c>
      <c r="AW44" s="369">
        <f t="shared" si="123"/>
        <v>0.5</v>
      </c>
      <c r="AX44" s="369">
        <f t="shared" si="123"/>
        <v>0.5</v>
      </c>
      <c r="AY44" s="369">
        <f t="shared" si="123"/>
        <v>0.5</v>
      </c>
      <c r="AZ44" s="369">
        <f t="shared" si="123"/>
        <v>0.5</v>
      </c>
      <c r="BA44" s="369">
        <f t="shared" si="123"/>
        <v>0.5</v>
      </c>
      <c r="BB44" s="369">
        <f t="shared" si="123"/>
        <v>0.5</v>
      </c>
      <c r="BC44" s="368">
        <f t="shared" si="123"/>
        <v>0.5</v>
      </c>
      <c r="BD44" s="369">
        <f t="shared" si="123"/>
        <v>0.5</v>
      </c>
      <c r="BE44" s="369">
        <f t="shared" si="123"/>
        <v>0.5</v>
      </c>
      <c r="BF44" s="369">
        <f t="shared" si="123"/>
        <v>0.5</v>
      </c>
      <c r="BG44" s="369">
        <f t="shared" si="123"/>
        <v>0.5</v>
      </c>
      <c r="BH44" s="369">
        <f t="shared" si="123"/>
        <v>0.5</v>
      </c>
      <c r="BI44" s="369">
        <f t="shared" si="123"/>
        <v>0.5</v>
      </c>
      <c r="BJ44" s="369">
        <f t="shared" si="123"/>
        <v>0.5</v>
      </c>
      <c r="BK44" s="369">
        <f t="shared" si="123"/>
        <v>0.5</v>
      </c>
      <c r="BL44" s="369">
        <f t="shared" si="123"/>
        <v>0.5</v>
      </c>
      <c r="BM44" s="369">
        <f t="shared" si="123"/>
        <v>0.5</v>
      </c>
      <c r="BN44" s="369">
        <f t="shared" si="123"/>
        <v>0.5</v>
      </c>
      <c r="BO44" s="369">
        <f t="shared" si="123"/>
        <v>0.5</v>
      </c>
      <c r="BP44" s="368">
        <f t="shared" si="123"/>
        <v>0.5</v>
      </c>
      <c r="CF44" s="367" t="s">
        <v>1005</v>
      </c>
      <c r="CG44" s="454" t="s">
        <v>231</v>
      </c>
    </row>
    <row r="45" spans="1:85" s="3" customFormat="1" outlineLevel="1">
      <c r="A45" s="398" t="s">
        <v>715</v>
      </c>
      <c r="B45" s="12" t="s">
        <v>502</v>
      </c>
      <c r="C45" s="5">
        <v>0</v>
      </c>
      <c r="D45" s="3">
        <f t="shared" ref="D45:O45" si="124">C45+D53+D60</f>
        <v>0</v>
      </c>
      <c r="E45" s="3">
        <f t="shared" si="124"/>
        <v>0</v>
      </c>
      <c r="F45" s="3">
        <f t="shared" si="124"/>
        <v>0</v>
      </c>
      <c r="G45" s="3">
        <f t="shared" si="124"/>
        <v>0</v>
      </c>
      <c r="H45" s="3">
        <f t="shared" si="124"/>
        <v>0</v>
      </c>
      <c r="I45" s="3">
        <f t="shared" si="124"/>
        <v>0</v>
      </c>
      <c r="J45" s="3">
        <f t="shared" si="124"/>
        <v>0</v>
      </c>
      <c r="K45" s="3">
        <f t="shared" si="124"/>
        <v>0</v>
      </c>
      <c r="L45" s="3">
        <f t="shared" si="124"/>
        <v>0</v>
      </c>
      <c r="M45" s="3">
        <f t="shared" si="124"/>
        <v>0</v>
      </c>
      <c r="N45" s="3">
        <f t="shared" si="124"/>
        <v>0</v>
      </c>
      <c r="O45" s="3">
        <f t="shared" si="124"/>
        <v>0</v>
      </c>
      <c r="P45" s="397">
        <f>O45</f>
        <v>0</v>
      </c>
      <c r="Q45" s="3">
        <f t="shared" ref="Q45:AB45" si="125">P45+Q53+Q60</f>
        <v>0</v>
      </c>
      <c r="R45" s="3">
        <f t="shared" si="125"/>
        <v>0</v>
      </c>
      <c r="S45" s="3">
        <f t="shared" si="125"/>
        <v>0</v>
      </c>
      <c r="T45" s="3">
        <f t="shared" si="125"/>
        <v>0</v>
      </c>
      <c r="U45" s="3">
        <f t="shared" si="125"/>
        <v>0</v>
      </c>
      <c r="V45" s="3">
        <f t="shared" si="125"/>
        <v>0</v>
      </c>
      <c r="W45" s="3">
        <f t="shared" si="125"/>
        <v>102.72277884451027</v>
      </c>
      <c r="X45" s="3">
        <f t="shared" si="125"/>
        <v>213.25332700341008</v>
      </c>
      <c r="Y45" s="3">
        <f t="shared" si="125"/>
        <v>331.66074720718376</v>
      </c>
      <c r="Z45" s="3">
        <f t="shared" si="125"/>
        <v>457.99858950644779</v>
      </c>
      <c r="AA45" s="3">
        <f t="shared" si="125"/>
        <v>592.30483332114432</v>
      </c>
      <c r="AB45" s="3">
        <f t="shared" si="125"/>
        <v>729.02124814132549</v>
      </c>
      <c r="AC45" s="397">
        <f>AB45</f>
        <v>729.02124814132549</v>
      </c>
      <c r="AD45" s="3">
        <f t="shared" ref="AD45:AO45" si="126">AC45+AD53+AD60</f>
        <v>908.07153425471904</v>
      </c>
      <c r="AE45" s="3">
        <f t="shared" si="126"/>
        <v>1061.5554518590698</v>
      </c>
      <c r="AF45" s="3">
        <f t="shared" si="126"/>
        <v>1226.0415769730266</v>
      </c>
      <c r="AG45" s="3">
        <f t="shared" si="126"/>
        <v>1401.6252979973035</v>
      </c>
      <c r="AH45" s="3">
        <f t="shared" si="126"/>
        <v>1588.3798740535888</v>
      </c>
      <c r="AI45" s="3">
        <f t="shared" si="126"/>
        <v>1786.3564960451672</v>
      </c>
      <c r="AJ45" s="3">
        <f t="shared" si="126"/>
        <v>1995.5844119127134</v>
      </c>
      <c r="AK45" s="3">
        <f t="shared" si="126"/>
        <v>2216.071114908264</v>
      </c>
      <c r="AL45" s="3">
        <f t="shared" si="126"/>
        <v>2447.8025934750417</v>
      </c>
      <c r="AM45" s="3">
        <f t="shared" si="126"/>
        <v>2690.7436410946152</v>
      </c>
      <c r="AN45" s="3">
        <f t="shared" si="126"/>
        <v>2944.8382242467924</v>
      </c>
      <c r="AO45" s="3">
        <f t="shared" si="126"/>
        <v>3198.9572526512829</v>
      </c>
      <c r="AP45" s="397">
        <f>AO45</f>
        <v>3198.9572526512829</v>
      </c>
      <c r="AQ45" s="3">
        <f t="shared" ref="AQ45:BB45" si="127">AP45+AQ53+AQ60</f>
        <v>3546.7963734446903</v>
      </c>
      <c r="AR45" s="3">
        <f t="shared" si="127"/>
        <v>3746.3183207933362</v>
      </c>
      <c r="AS45" s="3">
        <f t="shared" si="127"/>
        <v>3957.5191204523571</v>
      </c>
      <c r="AT45" s="3">
        <f t="shared" si="127"/>
        <v>4180.4240764905408</v>
      </c>
      <c r="AU45" s="3">
        <f t="shared" si="127"/>
        <v>4415.0359474509405</v>
      </c>
      <c r="AV45" s="3">
        <f t="shared" si="127"/>
        <v>4661.3353206460706</v>
      </c>
      <c r="AW45" s="3">
        <f t="shared" si="127"/>
        <v>4919.2810448903056</v>
      </c>
      <c r="AX45" s="3">
        <f t="shared" si="127"/>
        <v>5188.8107191493827</v>
      </c>
      <c r="AY45" s="3">
        <f t="shared" si="127"/>
        <v>5469.8412344113594</v>
      </c>
      <c r="AZ45" s="3">
        <f t="shared" si="127"/>
        <v>5762.2693659228844</v>
      </c>
      <c r="BA45" s="3">
        <f t="shared" si="127"/>
        <v>6065.9724127899699</v>
      </c>
      <c r="BB45" s="3">
        <f t="shared" si="127"/>
        <v>6365.2837636766162</v>
      </c>
      <c r="BC45" s="397">
        <f>BB45</f>
        <v>6365.2837636766162</v>
      </c>
      <c r="BD45" s="3">
        <f t="shared" ref="BD45:BO45" si="128">BC45+BD53+BD60</f>
        <v>6886.8361607695624</v>
      </c>
      <c r="BE45" s="3">
        <f t="shared" si="128"/>
        <v>7103.5557077153744</v>
      </c>
      <c r="BF45" s="3">
        <f t="shared" si="128"/>
        <v>7333.7148115608188</v>
      </c>
      <c r="BG45" s="3">
        <f t="shared" si="128"/>
        <v>7577.2962811092038</v>
      </c>
      <c r="BH45" s="3">
        <f t="shared" si="128"/>
        <v>7834.2581277454119</v>
      </c>
      <c r="BI45" s="3">
        <f t="shared" si="128"/>
        <v>8104.5342364124244</v>
      </c>
      <c r="BJ45" s="3">
        <f t="shared" si="128"/>
        <v>8388.0350912678969</v>
      </c>
      <c r="BK45" s="3">
        <f t="shared" si="128"/>
        <v>8684.6485522358507</v>
      </c>
      <c r="BL45" s="3">
        <f t="shared" si="128"/>
        <v>8994.2406785586172</v>
      </c>
      <c r="BM45" s="3">
        <f t="shared" si="128"/>
        <v>9316.6565953643603</v>
      </c>
      <c r="BN45" s="3">
        <f t="shared" si="128"/>
        <v>9651.7213991955086</v>
      </c>
      <c r="BO45" s="3">
        <f t="shared" si="128"/>
        <v>9977.6688356128561</v>
      </c>
      <c r="BP45" s="397">
        <f>BO45</f>
        <v>9977.6688356128561</v>
      </c>
      <c r="CF45" s="398" t="s">
        <v>1060</v>
      </c>
      <c r="CG45" s="13" t="s">
        <v>965</v>
      </c>
    </row>
    <row r="46" spans="1:85" s="3" customFormat="1" outlineLevel="1" collapsed="1">
      <c r="A46" s="398" t="s">
        <v>714</v>
      </c>
      <c r="B46" s="12" t="s">
        <v>502</v>
      </c>
      <c r="C46" s="5">
        <v>0</v>
      </c>
      <c r="D46" s="3">
        <f t="shared" ref="D46:AI46" si="129">SUM(D47:D50)</f>
        <v>0</v>
      </c>
      <c r="E46" s="3">
        <f t="shared" si="129"/>
        <v>0</v>
      </c>
      <c r="F46" s="3">
        <f t="shared" si="129"/>
        <v>0</v>
      </c>
      <c r="G46" s="3">
        <f t="shared" si="129"/>
        <v>0</v>
      </c>
      <c r="H46" s="3">
        <f t="shared" si="129"/>
        <v>0</v>
      </c>
      <c r="I46" s="3">
        <f t="shared" si="129"/>
        <v>0</v>
      </c>
      <c r="J46" s="3">
        <f t="shared" si="129"/>
        <v>0</v>
      </c>
      <c r="K46" s="3">
        <f t="shared" si="129"/>
        <v>0</v>
      </c>
      <c r="L46" s="3">
        <f t="shared" si="129"/>
        <v>0</v>
      </c>
      <c r="M46" s="3">
        <f t="shared" si="129"/>
        <v>0</v>
      </c>
      <c r="N46" s="3">
        <f t="shared" si="129"/>
        <v>0</v>
      </c>
      <c r="O46" s="3">
        <f t="shared" si="129"/>
        <v>0</v>
      </c>
      <c r="P46" s="397">
        <f t="shared" si="129"/>
        <v>0</v>
      </c>
      <c r="Q46" s="3">
        <f t="shared" si="129"/>
        <v>0</v>
      </c>
      <c r="R46" s="3">
        <f t="shared" si="129"/>
        <v>0</v>
      </c>
      <c r="S46" s="3">
        <f t="shared" si="129"/>
        <v>0</v>
      </c>
      <c r="T46" s="3">
        <f t="shared" si="129"/>
        <v>0</v>
      </c>
      <c r="U46" s="3">
        <f t="shared" si="129"/>
        <v>0</v>
      </c>
      <c r="V46" s="3">
        <f t="shared" si="129"/>
        <v>0</v>
      </c>
      <c r="W46" s="3">
        <f t="shared" si="129"/>
        <v>771.51363685344938</v>
      </c>
      <c r="X46" s="3">
        <f t="shared" si="129"/>
        <v>1563.8577313583407</v>
      </c>
      <c r="Y46" s="3">
        <f t="shared" si="129"/>
        <v>2375.7739238718668</v>
      </c>
      <c r="Z46" s="3">
        <f t="shared" si="129"/>
        <v>3205.990126545134</v>
      </c>
      <c r="AA46" s="3">
        <f t="shared" si="129"/>
        <v>4053.2232711584193</v>
      </c>
      <c r="AB46" s="3">
        <f t="shared" si="129"/>
        <v>4878.8345067919472</v>
      </c>
      <c r="AC46" s="397">
        <f t="shared" si="129"/>
        <v>4878.8345067919472</v>
      </c>
      <c r="AD46" s="3">
        <f t="shared" si="129"/>
        <v>5945.2985355922174</v>
      </c>
      <c r="AE46" s="3">
        <f t="shared" si="129"/>
        <v>6801.8182656155223</v>
      </c>
      <c r="AF46" s="3">
        <f t="shared" si="129"/>
        <v>7690.6244373762593</v>
      </c>
      <c r="AG46" s="3">
        <f t="shared" si="129"/>
        <v>8609.9839734120069</v>
      </c>
      <c r="AH46" s="3">
        <f t="shared" si="129"/>
        <v>9558.1455579014182</v>
      </c>
      <c r="AI46" s="3">
        <f t="shared" si="129"/>
        <v>10533.343476680124</v>
      </c>
      <c r="AJ46" s="3">
        <f t="shared" ref="AJ46:BO46" si="130">SUM(AJ47:AJ50)</f>
        <v>11533.801431563312</v>
      </c>
      <c r="AK46" s="3">
        <f t="shared" si="130"/>
        <v>12557.736317813495</v>
      </c>
      <c r="AL46" s="3">
        <f t="shared" si="130"/>
        <v>13603.361953902278</v>
      </c>
      <c r="AM46" s="3">
        <f t="shared" si="130"/>
        <v>14668.892753064192</v>
      </c>
      <c r="AN46" s="3">
        <f t="shared" si="130"/>
        <v>15752.547326526492</v>
      </c>
      <c r="AO46" s="3">
        <f t="shared" si="130"/>
        <v>16794.525576419233</v>
      </c>
      <c r="AP46" s="397">
        <f t="shared" si="130"/>
        <v>16794.525576419233</v>
      </c>
      <c r="AQ46" s="3">
        <f t="shared" si="130"/>
        <v>18279.642847753406</v>
      </c>
      <c r="AR46" s="3">
        <f t="shared" si="130"/>
        <v>18958.641199166275</v>
      </c>
      <c r="AS46" s="3">
        <f t="shared" si="130"/>
        <v>19669.460703143806</v>
      </c>
      <c r="AT46" s="3">
        <f t="shared" si="130"/>
        <v>20410.305785218527</v>
      </c>
      <c r="AU46" s="3">
        <f t="shared" si="130"/>
        <v>21179.375342119733</v>
      </c>
      <c r="AV46" s="3">
        <f t="shared" si="130"/>
        <v>21974.866511617194</v>
      </c>
      <c r="AW46" s="3">
        <f t="shared" si="130"/>
        <v>22794.978362942398</v>
      </c>
      <c r="AX46" s="3">
        <f t="shared" si="130"/>
        <v>23637.915498347185</v>
      </c>
      <c r="AY46" s="3">
        <f t="shared" si="130"/>
        <v>24501.891556883762</v>
      </c>
      <c r="AZ46" s="3">
        <f t="shared" si="130"/>
        <v>25385.132612038651</v>
      </c>
      <c r="BA46" s="3">
        <f t="shared" si="130"/>
        <v>26285.880455423205</v>
      </c>
      <c r="BB46" s="3">
        <f t="shared" si="130"/>
        <v>27136.209729358205</v>
      </c>
      <c r="BC46" s="397">
        <f t="shared" si="130"/>
        <v>27136.209729358205</v>
      </c>
      <c r="BD46" s="3">
        <f t="shared" si="130"/>
        <v>28888.936102968426</v>
      </c>
      <c r="BE46" s="3">
        <f t="shared" si="130"/>
        <v>29324.935101081421</v>
      </c>
      <c r="BF46" s="3">
        <f t="shared" si="130"/>
        <v>29799.018411531935</v>
      </c>
      <c r="BG46" s="3">
        <f t="shared" si="130"/>
        <v>30309.185124436819</v>
      </c>
      <c r="BH46" s="3">
        <f t="shared" si="130"/>
        <v>30853.43633025662</v>
      </c>
      <c r="BI46" s="3">
        <f t="shared" si="130"/>
        <v>31429.779111940865</v>
      </c>
      <c r="BJ46" s="3">
        <f t="shared" si="130"/>
        <v>32036.230408818355</v>
      </c>
      <c r="BK46" s="3">
        <f t="shared" si="130"/>
        <v>32670.82074412534</v>
      </c>
      <c r="BL46" s="3">
        <f t="shared" si="130"/>
        <v>33331.597808776045</v>
      </c>
      <c r="BM46" s="3">
        <f t="shared" si="130"/>
        <v>34016.629894702419</v>
      </c>
      <c r="BN46" s="3">
        <f t="shared" si="130"/>
        <v>34724.009171818325</v>
      </c>
      <c r="BO46" s="3">
        <f t="shared" si="130"/>
        <v>35375.371326263761</v>
      </c>
      <c r="BP46" s="397">
        <f t="shared" ref="BP46" si="131">SUM(BP47:BP50)</f>
        <v>35375.371326263761</v>
      </c>
      <c r="CF46" s="398" t="s">
        <v>1061</v>
      </c>
      <c r="CG46" s="13" t="s">
        <v>965</v>
      </c>
    </row>
    <row r="47" spans="1:85" s="440" customFormat="1" ht="10.199999999999999" outlineLevel="1">
      <c r="A47" s="442" t="s">
        <v>138</v>
      </c>
      <c r="B47" s="12" t="s">
        <v>502</v>
      </c>
      <c r="C47" s="440">
        <v>0</v>
      </c>
      <c r="D47" s="440">
        <f t="shared" ref="D47:O47" si="132">C47+D55+D62</f>
        <v>0</v>
      </c>
      <c r="E47" s="440">
        <f t="shared" si="132"/>
        <v>0</v>
      </c>
      <c r="F47" s="440">
        <f t="shared" si="132"/>
        <v>0</v>
      </c>
      <c r="G47" s="440">
        <f t="shared" si="132"/>
        <v>0</v>
      </c>
      <c r="H47" s="440">
        <f t="shared" si="132"/>
        <v>0</v>
      </c>
      <c r="I47" s="440">
        <f t="shared" si="132"/>
        <v>0</v>
      </c>
      <c r="J47" s="440">
        <f t="shared" si="132"/>
        <v>0</v>
      </c>
      <c r="K47" s="440">
        <f t="shared" si="132"/>
        <v>0</v>
      </c>
      <c r="L47" s="440">
        <f t="shared" si="132"/>
        <v>0</v>
      </c>
      <c r="M47" s="440">
        <f t="shared" si="132"/>
        <v>0</v>
      </c>
      <c r="N47" s="440">
        <f t="shared" si="132"/>
        <v>0</v>
      </c>
      <c r="O47" s="440">
        <f t="shared" si="132"/>
        <v>0</v>
      </c>
      <c r="P47" s="458">
        <f>O47</f>
        <v>0</v>
      </c>
      <c r="Q47" s="440">
        <f t="shared" ref="Q47:AB47" si="133">P47+Q55+Q62</f>
        <v>0</v>
      </c>
      <c r="R47" s="440">
        <f t="shared" si="133"/>
        <v>0</v>
      </c>
      <c r="S47" s="440">
        <f t="shared" si="133"/>
        <v>0</v>
      </c>
      <c r="T47" s="440">
        <f t="shared" si="133"/>
        <v>0</v>
      </c>
      <c r="U47" s="440">
        <f t="shared" si="133"/>
        <v>0</v>
      </c>
      <c r="V47" s="440">
        <f t="shared" si="133"/>
        <v>0</v>
      </c>
      <c r="W47" s="440">
        <f t="shared" si="133"/>
        <v>77.15136368534499</v>
      </c>
      <c r="X47" s="440">
        <f t="shared" si="133"/>
        <v>156.3857731358342</v>
      </c>
      <c r="Y47" s="440">
        <f t="shared" si="133"/>
        <v>237.57739238718688</v>
      </c>
      <c r="Z47" s="440">
        <f t="shared" si="133"/>
        <v>320.59901265451361</v>
      </c>
      <c r="AA47" s="440">
        <f t="shared" si="133"/>
        <v>405.3223271158422</v>
      </c>
      <c r="AB47" s="440">
        <f t="shared" si="133"/>
        <v>487.88345067919505</v>
      </c>
      <c r="AC47" s="458">
        <f>AB47</f>
        <v>487.88345067919505</v>
      </c>
      <c r="AD47" s="440">
        <f t="shared" ref="AD47:AO47" si="134">AC47+AD55+AD62</f>
        <v>594.52985355922215</v>
      </c>
      <c r="AE47" s="440">
        <f t="shared" si="134"/>
        <v>680.18182656155273</v>
      </c>
      <c r="AF47" s="440">
        <f t="shared" si="134"/>
        <v>769.0624437376265</v>
      </c>
      <c r="AG47" s="440">
        <f t="shared" si="134"/>
        <v>860.99839734120144</v>
      </c>
      <c r="AH47" s="440">
        <f t="shared" si="134"/>
        <v>955.81455579014266</v>
      </c>
      <c r="AI47" s="440">
        <f t="shared" si="134"/>
        <v>1053.3343476680132</v>
      </c>
      <c r="AJ47" s="440">
        <f t="shared" si="134"/>
        <v>1153.3801431563318</v>
      </c>
      <c r="AK47" s="440">
        <f t="shared" si="134"/>
        <v>1255.7736317813501</v>
      </c>
      <c r="AL47" s="440">
        <f t="shared" si="134"/>
        <v>1360.336195390229</v>
      </c>
      <c r="AM47" s="440">
        <f t="shared" si="134"/>
        <v>1466.8892753064204</v>
      </c>
      <c r="AN47" s="440">
        <f t="shared" si="134"/>
        <v>1575.2547326526501</v>
      </c>
      <c r="AO47" s="440">
        <f t="shared" si="134"/>
        <v>1679.4525576419251</v>
      </c>
      <c r="AP47" s="458">
        <f>AO47</f>
        <v>1679.4525576419251</v>
      </c>
      <c r="AQ47" s="440">
        <f t="shared" ref="AQ47:BB47" si="135">AP47+AQ55+AQ62</f>
        <v>1827.9642847753416</v>
      </c>
      <c r="AR47" s="440">
        <f t="shared" si="135"/>
        <v>1895.8641199166291</v>
      </c>
      <c r="AS47" s="440">
        <f t="shared" si="135"/>
        <v>1966.9460703143825</v>
      </c>
      <c r="AT47" s="440">
        <f t="shared" si="135"/>
        <v>2041.0305785218541</v>
      </c>
      <c r="AU47" s="440">
        <f t="shared" si="135"/>
        <v>2117.9375342119747</v>
      </c>
      <c r="AV47" s="440">
        <f t="shared" si="135"/>
        <v>2197.4866511617211</v>
      </c>
      <c r="AW47" s="440">
        <f t="shared" si="135"/>
        <v>2279.497836294242</v>
      </c>
      <c r="AX47" s="440">
        <f t="shared" si="135"/>
        <v>2363.7915498347202</v>
      </c>
      <c r="AY47" s="440">
        <f t="shared" si="135"/>
        <v>2450.1891556883779</v>
      </c>
      <c r="AZ47" s="440">
        <f t="shared" si="135"/>
        <v>2538.5132612038665</v>
      </c>
      <c r="BA47" s="440">
        <f t="shared" si="135"/>
        <v>2628.5880455423226</v>
      </c>
      <c r="BB47" s="440">
        <f t="shared" si="135"/>
        <v>2713.6209729358225</v>
      </c>
      <c r="BC47" s="458">
        <f>BB47</f>
        <v>2713.6209729358225</v>
      </c>
      <c r="BD47" s="440">
        <f t="shared" ref="BD47:BO47" si="136">BC47+BD55+BD62</f>
        <v>2888.8936102968446</v>
      </c>
      <c r="BE47" s="440">
        <f t="shared" si="136"/>
        <v>2932.4935101081442</v>
      </c>
      <c r="BF47" s="440">
        <f t="shared" si="136"/>
        <v>2979.9018411531956</v>
      </c>
      <c r="BG47" s="440">
        <f t="shared" si="136"/>
        <v>3030.9185124436844</v>
      </c>
      <c r="BH47" s="440">
        <f t="shared" si="136"/>
        <v>3085.3436330256645</v>
      </c>
      <c r="BI47" s="440">
        <f t="shared" si="136"/>
        <v>3142.9779111940888</v>
      </c>
      <c r="BJ47" s="440">
        <f t="shared" si="136"/>
        <v>3203.6230408818378</v>
      </c>
      <c r="BK47" s="440">
        <f t="shared" si="136"/>
        <v>3267.0820744125367</v>
      </c>
      <c r="BL47" s="440">
        <f t="shared" si="136"/>
        <v>3333.1597808776073</v>
      </c>
      <c r="BM47" s="440">
        <f t="shared" si="136"/>
        <v>3401.6629894702446</v>
      </c>
      <c r="BN47" s="440">
        <f t="shared" si="136"/>
        <v>3472.4009171818348</v>
      </c>
      <c r="BO47" s="440">
        <f t="shared" si="136"/>
        <v>3537.5371326263794</v>
      </c>
      <c r="BP47" s="458">
        <f>BO47</f>
        <v>3537.5371326263794</v>
      </c>
      <c r="CF47" s="442" t="s">
        <v>1002</v>
      </c>
      <c r="CG47" s="13" t="s">
        <v>965</v>
      </c>
    </row>
    <row r="48" spans="1:85" s="440" customFormat="1" ht="10.199999999999999" outlineLevel="1">
      <c r="A48" s="442" t="s">
        <v>142</v>
      </c>
      <c r="B48" s="12" t="s">
        <v>502</v>
      </c>
      <c r="C48" s="440">
        <v>0</v>
      </c>
      <c r="D48" s="440">
        <f t="shared" ref="D48:O48" si="137">C48+D56+D63</f>
        <v>0</v>
      </c>
      <c r="E48" s="440">
        <f t="shared" si="137"/>
        <v>0</v>
      </c>
      <c r="F48" s="440">
        <f t="shared" si="137"/>
        <v>0</v>
      </c>
      <c r="G48" s="440">
        <f t="shared" si="137"/>
        <v>0</v>
      </c>
      <c r="H48" s="440">
        <f t="shared" si="137"/>
        <v>0</v>
      </c>
      <c r="I48" s="440">
        <f t="shared" si="137"/>
        <v>0</v>
      </c>
      <c r="J48" s="440">
        <f t="shared" si="137"/>
        <v>0</v>
      </c>
      <c r="K48" s="440">
        <f t="shared" si="137"/>
        <v>0</v>
      </c>
      <c r="L48" s="440">
        <f t="shared" si="137"/>
        <v>0</v>
      </c>
      <c r="M48" s="440">
        <f t="shared" si="137"/>
        <v>0</v>
      </c>
      <c r="N48" s="440">
        <f t="shared" si="137"/>
        <v>0</v>
      </c>
      <c r="O48" s="440">
        <f t="shared" si="137"/>
        <v>0</v>
      </c>
      <c r="P48" s="458">
        <f>O48</f>
        <v>0</v>
      </c>
      <c r="Q48" s="440">
        <f t="shared" ref="Q48:AB48" si="138">P48+Q56+Q63</f>
        <v>0</v>
      </c>
      <c r="R48" s="440">
        <f t="shared" si="138"/>
        <v>0</v>
      </c>
      <c r="S48" s="440">
        <f t="shared" si="138"/>
        <v>0</v>
      </c>
      <c r="T48" s="440">
        <f t="shared" si="138"/>
        <v>0</v>
      </c>
      <c r="U48" s="440">
        <f t="shared" si="138"/>
        <v>0</v>
      </c>
      <c r="V48" s="440">
        <f t="shared" si="138"/>
        <v>0</v>
      </c>
      <c r="W48" s="440">
        <f t="shared" si="138"/>
        <v>154.30272737068987</v>
      </c>
      <c r="X48" s="440">
        <f t="shared" si="138"/>
        <v>312.77154627166811</v>
      </c>
      <c r="Y48" s="440">
        <f t="shared" si="138"/>
        <v>475.15478477437341</v>
      </c>
      <c r="Z48" s="440">
        <f t="shared" si="138"/>
        <v>641.19802530902678</v>
      </c>
      <c r="AA48" s="440">
        <f t="shared" si="138"/>
        <v>810.64465423168372</v>
      </c>
      <c r="AB48" s="440">
        <f t="shared" si="138"/>
        <v>975.76690135838919</v>
      </c>
      <c r="AC48" s="458">
        <f>AB48</f>
        <v>975.76690135838919</v>
      </c>
      <c r="AD48" s="440">
        <f t="shared" ref="AD48:AO48" si="139">AC48+AD56+AD63</f>
        <v>1189.0597071184436</v>
      </c>
      <c r="AE48" s="440">
        <f t="shared" si="139"/>
        <v>1360.3636531231041</v>
      </c>
      <c r="AF48" s="440">
        <f t="shared" si="139"/>
        <v>1538.1248874752519</v>
      </c>
      <c r="AG48" s="440">
        <f t="shared" si="139"/>
        <v>1721.9967946824015</v>
      </c>
      <c r="AH48" s="440">
        <f t="shared" si="139"/>
        <v>1911.6291115802837</v>
      </c>
      <c r="AI48" s="440">
        <f t="shared" si="139"/>
        <v>2106.6686953360245</v>
      </c>
      <c r="AJ48" s="440">
        <f t="shared" si="139"/>
        <v>2306.7602863126622</v>
      </c>
      <c r="AK48" s="440">
        <f t="shared" si="139"/>
        <v>2511.5472635626984</v>
      </c>
      <c r="AL48" s="440">
        <f t="shared" si="139"/>
        <v>2720.6723907804558</v>
      </c>
      <c r="AM48" s="440">
        <f t="shared" si="139"/>
        <v>2933.7785506128384</v>
      </c>
      <c r="AN48" s="440">
        <f t="shared" si="139"/>
        <v>3150.5094653052984</v>
      </c>
      <c r="AO48" s="440">
        <f t="shared" si="139"/>
        <v>3358.905115283847</v>
      </c>
      <c r="AP48" s="458">
        <f>AO48</f>
        <v>3358.905115283847</v>
      </c>
      <c r="AQ48" s="440">
        <f t="shared" ref="AQ48:BB48" si="140">AP48+AQ56+AQ63</f>
        <v>3655.9285695506805</v>
      </c>
      <c r="AR48" s="440">
        <f t="shared" si="140"/>
        <v>3791.728239833255</v>
      </c>
      <c r="AS48" s="440">
        <f t="shared" si="140"/>
        <v>3933.8921406287609</v>
      </c>
      <c r="AT48" s="440">
        <f t="shared" si="140"/>
        <v>4082.061157043705</v>
      </c>
      <c r="AU48" s="440">
        <f t="shared" si="140"/>
        <v>4235.8750684239458</v>
      </c>
      <c r="AV48" s="440">
        <f t="shared" si="140"/>
        <v>4394.9733023234385</v>
      </c>
      <c r="AW48" s="440">
        <f t="shared" si="140"/>
        <v>4558.9956725884795</v>
      </c>
      <c r="AX48" s="440">
        <f t="shared" si="140"/>
        <v>4727.5830996694367</v>
      </c>
      <c r="AY48" s="440">
        <f t="shared" si="140"/>
        <v>4900.3783113767522</v>
      </c>
      <c r="AZ48" s="440">
        <f t="shared" si="140"/>
        <v>5077.0265224077302</v>
      </c>
      <c r="BA48" s="440">
        <f t="shared" si="140"/>
        <v>5257.1760910846406</v>
      </c>
      <c r="BB48" s="440">
        <f t="shared" si="140"/>
        <v>5427.2419458716404</v>
      </c>
      <c r="BC48" s="458">
        <f>BB48</f>
        <v>5427.2419458716404</v>
      </c>
      <c r="BD48" s="440">
        <f t="shared" ref="BD48:BO48" si="141">BC48+BD56+BD63</f>
        <v>5777.7872205936847</v>
      </c>
      <c r="BE48" s="440">
        <f t="shared" si="141"/>
        <v>5864.9870202162838</v>
      </c>
      <c r="BF48" s="440">
        <f t="shared" si="141"/>
        <v>5959.8036823063867</v>
      </c>
      <c r="BG48" s="440">
        <f t="shared" si="141"/>
        <v>6061.8370248873634</v>
      </c>
      <c r="BH48" s="440">
        <f t="shared" si="141"/>
        <v>6170.6872660513236</v>
      </c>
      <c r="BI48" s="440">
        <f t="shared" si="141"/>
        <v>6285.9558223881722</v>
      </c>
      <c r="BJ48" s="440">
        <f t="shared" si="141"/>
        <v>6407.2460817636711</v>
      </c>
      <c r="BK48" s="440">
        <f t="shared" si="141"/>
        <v>6534.164148825068</v>
      </c>
      <c r="BL48" s="440">
        <f t="shared" si="141"/>
        <v>6666.3195617552092</v>
      </c>
      <c r="BM48" s="440">
        <f t="shared" si="141"/>
        <v>6803.3259789404838</v>
      </c>
      <c r="BN48" s="440">
        <f t="shared" si="141"/>
        <v>6944.8018343636641</v>
      </c>
      <c r="BO48" s="440">
        <f t="shared" si="141"/>
        <v>7075.0742652527533</v>
      </c>
      <c r="BP48" s="458">
        <f>BO48</f>
        <v>7075.0742652527533</v>
      </c>
      <c r="CF48" s="442" t="s">
        <v>1003</v>
      </c>
      <c r="CG48" s="13" t="s">
        <v>965</v>
      </c>
    </row>
    <row r="49" spans="1:85" s="440" customFormat="1" ht="10.199999999999999" outlineLevel="1">
      <c r="A49" s="442" t="s">
        <v>145</v>
      </c>
      <c r="B49" s="12" t="s">
        <v>502</v>
      </c>
      <c r="C49" s="440">
        <v>0</v>
      </c>
      <c r="D49" s="440">
        <f t="shared" ref="D49:O49" si="142">C49+D57+D64</f>
        <v>0</v>
      </c>
      <c r="E49" s="440">
        <f t="shared" si="142"/>
        <v>0</v>
      </c>
      <c r="F49" s="440">
        <f t="shared" si="142"/>
        <v>0</v>
      </c>
      <c r="G49" s="440">
        <f t="shared" si="142"/>
        <v>0</v>
      </c>
      <c r="H49" s="440">
        <f t="shared" si="142"/>
        <v>0</v>
      </c>
      <c r="I49" s="440">
        <f t="shared" si="142"/>
        <v>0</v>
      </c>
      <c r="J49" s="440">
        <f t="shared" si="142"/>
        <v>0</v>
      </c>
      <c r="K49" s="440">
        <f t="shared" si="142"/>
        <v>0</v>
      </c>
      <c r="L49" s="440">
        <f t="shared" si="142"/>
        <v>0</v>
      </c>
      <c r="M49" s="440">
        <f t="shared" si="142"/>
        <v>0</v>
      </c>
      <c r="N49" s="440">
        <f t="shared" si="142"/>
        <v>0</v>
      </c>
      <c r="O49" s="440">
        <f t="shared" si="142"/>
        <v>0</v>
      </c>
      <c r="P49" s="458">
        <f>O49</f>
        <v>0</v>
      </c>
      <c r="Q49" s="440">
        <f t="shared" ref="Q49:AB49" si="143">P49+Q57+Q64</f>
        <v>0</v>
      </c>
      <c r="R49" s="440">
        <f t="shared" si="143"/>
        <v>0</v>
      </c>
      <c r="S49" s="440">
        <f t="shared" si="143"/>
        <v>0</v>
      </c>
      <c r="T49" s="440">
        <f t="shared" si="143"/>
        <v>0</v>
      </c>
      <c r="U49" s="440">
        <f t="shared" si="143"/>
        <v>0</v>
      </c>
      <c r="V49" s="440">
        <f t="shared" si="143"/>
        <v>0</v>
      </c>
      <c r="W49" s="440">
        <f t="shared" si="143"/>
        <v>154.30272737068987</v>
      </c>
      <c r="X49" s="440">
        <f t="shared" si="143"/>
        <v>312.77154627166811</v>
      </c>
      <c r="Y49" s="440">
        <f t="shared" si="143"/>
        <v>475.15478477437341</v>
      </c>
      <c r="Z49" s="440">
        <f t="shared" si="143"/>
        <v>641.19802530902678</v>
      </c>
      <c r="AA49" s="440">
        <f t="shared" si="143"/>
        <v>810.6446542316836</v>
      </c>
      <c r="AB49" s="440">
        <f t="shared" si="143"/>
        <v>975.76690135838942</v>
      </c>
      <c r="AC49" s="458">
        <f>AB49</f>
        <v>975.76690135838942</v>
      </c>
      <c r="AD49" s="440">
        <f t="shared" ref="AD49:AO49" si="144">AC49+AD57+AD64</f>
        <v>1189.0597071184434</v>
      </c>
      <c r="AE49" s="440">
        <f t="shared" si="144"/>
        <v>1360.3636531231043</v>
      </c>
      <c r="AF49" s="440">
        <f t="shared" si="144"/>
        <v>1538.1248874752521</v>
      </c>
      <c r="AG49" s="440">
        <f t="shared" si="144"/>
        <v>1721.9967946824015</v>
      </c>
      <c r="AH49" s="440">
        <f t="shared" si="144"/>
        <v>1911.6291115802837</v>
      </c>
      <c r="AI49" s="440">
        <f t="shared" si="144"/>
        <v>2106.6686953360245</v>
      </c>
      <c r="AJ49" s="440">
        <f t="shared" si="144"/>
        <v>2306.7602863126622</v>
      </c>
      <c r="AK49" s="440">
        <f t="shared" si="144"/>
        <v>2511.5472635626988</v>
      </c>
      <c r="AL49" s="440">
        <f t="shared" si="144"/>
        <v>2720.6723907804558</v>
      </c>
      <c r="AM49" s="440">
        <f t="shared" si="144"/>
        <v>2933.7785506128384</v>
      </c>
      <c r="AN49" s="440">
        <f t="shared" si="144"/>
        <v>3150.5094653052984</v>
      </c>
      <c r="AO49" s="440">
        <f t="shared" si="144"/>
        <v>3358.905115283847</v>
      </c>
      <c r="AP49" s="458">
        <f>AO49</f>
        <v>3358.905115283847</v>
      </c>
      <c r="AQ49" s="440">
        <f t="shared" ref="AQ49:BB49" si="145">AP49+AQ57+AQ64</f>
        <v>3655.9285695506805</v>
      </c>
      <c r="AR49" s="440">
        <f t="shared" si="145"/>
        <v>3791.7282398332554</v>
      </c>
      <c r="AS49" s="440">
        <f t="shared" si="145"/>
        <v>3933.8921406287614</v>
      </c>
      <c r="AT49" s="440">
        <f t="shared" si="145"/>
        <v>4082.061157043705</v>
      </c>
      <c r="AU49" s="440">
        <f t="shared" si="145"/>
        <v>4235.8750684239458</v>
      </c>
      <c r="AV49" s="440">
        <f t="shared" si="145"/>
        <v>4394.9733023234385</v>
      </c>
      <c r="AW49" s="440">
        <f t="shared" si="145"/>
        <v>4558.9956725884786</v>
      </c>
      <c r="AX49" s="440">
        <f t="shared" si="145"/>
        <v>4727.5830996694367</v>
      </c>
      <c r="AY49" s="440">
        <f t="shared" si="145"/>
        <v>4900.3783113767513</v>
      </c>
      <c r="AZ49" s="440">
        <f t="shared" si="145"/>
        <v>5077.0265224077302</v>
      </c>
      <c r="BA49" s="440">
        <f t="shared" si="145"/>
        <v>5257.1760910846406</v>
      </c>
      <c r="BB49" s="440">
        <f t="shared" si="145"/>
        <v>5427.2419458716413</v>
      </c>
      <c r="BC49" s="458">
        <f>BB49</f>
        <v>5427.2419458716413</v>
      </c>
      <c r="BD49" s="440">
        <f t="shared" ref="BD49:BO49" si="146">BC49+BD57+BD64</f>
        <v>5777.7872205936847</v>
      </c>
      <c r="BE49" s="440">
        <f t="shared" si="146"/>
        <v>5864.9870202162838</v>
      </c>
      <c r="BF49" s="440">
        <f t="shared" si="146"/>
        <v>5959.8036823063867</v>
      </c>
      <c r="BG49" s="440">
        <f t="shared" si="146"/>
        <v>6061.8370248873634</v>
      </c>
      <c r="BH49" s="440">
        <f t="shared" si="146"/>
        <v>6170.6872660513236</v>
      </c>
      <c r="BI49" s="440">
        <f t="shared" si="146"/>
        <v>6285.9558223881722</v>
      </c>
      <c r="BJ49" s="440">
        <f t="shared" si="146"/>
        <v>6407.2460817636711</v>
      </c>
      <c r="BK49" s="440">
        <f t="shared" si="146"/>
        <v>6534.164148825068</v>
      </c>
      <c r="BL49" s="440">
        <f t="shared" si="146"/>
        <v>6666.3195617552092</v>
      </c>
      <c r="BM49" s="440">
        <f t="shared" si="146"/>
        <v>6803.3259789404838</v>
      </c>
      <c r="BN49" s="440">
        <f t="shared" si="146"/>
        <v>6944.8018343636641</v>
      </c>
      <c r="BO49" s="440">
        <f t="shared" si="146"/>
        <v>7075.0742652527524</v>
      </c>
      <c r="BP49" s="458">
        <f>BO49</f>
        <v>7075.0742652527524</v>
      </c>
      <c r="CF49" s="442" t="s">
        <v>1004</v>
      </c>
      <c r="CG49" s="13" t="s">
        <v>965</v>
      </c>
    </row>
    <row r="50" spans="1:85" s="440" customFormat="1" ht="10.199999999999999" outlineLevel="1">
      <c r="A50" s="442" t="s">
        <v>620</v>
      </c>
      <c r="B50" s="12" t="s">
        <v>502</v>
      </c>
      <c r="C50" s="440">
        <v>0</v>
      </c>
      <c r="D50" s="440">
        <f t="shared" ref="D50:O50" si="147">C50+D58+D65</f>
        <v>0</v>
      </c>
      <c r="E50" s="440">
        <f t="shared" si="147"/>
        <v>0</v>
      </c>
      <c r="F50" s="440">
        <f t="shared" si="147"/>
        <v>0</v>
      </c>
      <c r="G50" s="440">
        <f t="shared" si="147"/>
        <v>0</v>
      </c>
      <c r="H50" s="440">
        <f t="shared" si="147"/>
        <v>0</v>
      </c>
      <c r="I50" s="440">
        <f t="shared" si="147"/>
        <v>0</v>
      </c>
      <c r="J50" s="440">
        <f t="shared" si="147"/>
        <v>0</v>
      </c>
      <c r="K50" s="440">
        <f t="shared" si="147"/>
        <v>0</v>
      </c>
      <c r="L50" s="440">
        <f t="shared" si="147"/>
        <v>0</v>
      </c>
      <c r="M50" s="440">
        <f t="shared" si="147"/>
        <v>0</v>
      </c>
      <c r="N50" s="440">
        <f t="shared" si="147"/>
        <v>0</v>
      </c>
      <c r="O50" s="440">
        <f t="shared" si="147"/>
        <v>0</v>
      </c>
      <c r="P50" s="458">
        <f>O50</f>
        <v>0</v>
      </c>
      <c r="Q50" s="440">
        <f t="shared" ref="Q50:AB50" si="148">P50+Q58+Q65</f>
        <v>0</v>
      </c>
      <c r="R50" s="440">
        <f t="shared" si="148"/>
        <v>0</v>
      </c>
      <c r="S50" s="440">
        <f t="shared" si="148"/>
        <v>0</v>
      </c>
      <c r="T50" s="440">
        <f t="shared" si="148"/>
        <v>0</v>
      </c>
      <c r="U50" s="440">
        <f t="shared" si="148"/>
        <v>0</v>
      </c>
      <c r="V50" s="440">
        <f t="shared" si="148"/>
        <v>0</v>
      </c>
      <c r="W50" s="440">
        <f t="shared" si="148"/>
        <v>385.75681842672464</v>
      </c>
      <c r="X50" s="440">
        <f t="shared" si="148"/>
        <v>781.92886567917026</v>
      </c>
      <c r="Y50" s="440">
        <f t="shared" si="148"/>
        <v>1187.8869619359334</v>
      </c>
      <c r="Z50" s="440">
        <f t="shared" si="148"/>
        <v>1602.9950632725668</v>
      </c>
      <c r="AA50" s="440">
        <f t="shared" si="148"/>
        <v>2026.6116355792094</v>
      </c>
      <c r="AB50" s="440">
        <f t="shared" si="148"/>
        <v>2439.4172533959731</v>
      </c>
      <c r="AC50" s="458">
        <f>AB50</f>
        <v>2439.4172533959731</v>
      </c>
      <c r="AD50" s="440">
        <f t="shared" ref="AD50:AO50" si="149">AC50+AD58+AD65</f>
        <v>2972.6492677961082</v>
      </c>
      <c r="AE50" s="440">
        <f t="shared" si="149"/>
        <v>3400.9091328077607</v>
      </c>
      <c r="AF50" s="440">
        <f t="shared" si="149"/>
        <v>3845.3122186881292</v>
      </c>
      <c r="AG50" s="440">
        <f t="shared" si="149"/>
        <v>4304.9919867060034</v>
      </c>
      <c r="AH50" s="440">
        <f t="shared" si="149"/>
        <v>4779.0727789507091</v>
      </c>
      <c r="AI50" s="440">
        <f t="shared" si="149"/>
        <v>5266.671738340061</v>
      </c>
      <c r="AJ50" s="440">
        <f t="shared" si="149"/>
        <v>5766.900715781655</v>
      </c>
      <c r="AK50" s="440">
        <f t="shared" si="149"/>
        <v>6278.8681589067464</v>
      </c>
      <c r="AL50" s="440">
        <f t="shared" si="149"/>
        <v>6801.6809769511383</v>
      </c>
      <c r="AM50" s="440">
        <f t="shared" si="149"/>
        <v>7334.4463765320952</v>
      </c>
      <c r="AN50" s="440">
        <f t="shared" si="149"/>
        <v>7876.273663263245</v>
      </c>
      <c r="AO50" s="440">
        <f t="shared" si="149"/>
        <v>8397.2627882096167</v>
      </c>
      <c r="AP50" s="458">
        <f>AO50</f>
        <v>8397.2627882096167</v>
      </c>
      <c r="AQ50" s="440">
        <f t="shared" ref="AQ50:BB50" si="150">AP50+AQ58+AQ65</f>
        <v>9139.8214238767014</v>
      </c>
      <c r="AR50" s="440">
        <f t="shared" si="150"/>
        <v>9479.3205995831377</v>
      </c>
      <c r="AS50" s="440">
        <f t="shared" si="150"/>
        <v>9834.7303515719032</v>
      </c>
      <c r="AT50" s="440">
        <f t="shared" si="150"/>
        <v>10205.152892609261</v>
      </c>
      <c r="AU50" s="440">
        <f t="shared" si="150"/>
        <v>10589.687671059864</v>
      </c>
      <c r="AV50" s="440">
        <f t="shared" si="150"/>
        <v>10987.433255808595</v>
      </c>
      <c r="AW50" s="440">
        <f t="shared" si="150"/>
        <v>11397.489181471199</v>
      </c>
      <c r="AX50" s="440">
        <f t="shared" si="150"/>
        <v>11818.957749173591</v>
      </c>
      <c r="AY50" s="440">
        <f t="shared" si="150"/>
        <v>12250.945778441879</v>
      </c>
      <c r="AZ50" s="440">
        <f t="shared" si="150"/>
        <v>12692.566306019324</v>
      </c>
      <c r="BA50" s="440">
        <f t="shared" si="150"/>
        <v>13142.940227711601</v>
      </c>
      <c r="BB50" s="440">
        <f t="shared" si="150"/>
        <v>13568.104864679101</v>
      </c>
      <c r="BC50" s="458">
        <f>BB50</f>
        <v>13568.104864679101</v>
      </c>
      <c r="BD50" s="440">
        <f t="shared" ref="BD50:BO50" si="151">BC50+BD58+BD65</f>
        <v>14444.468051484211</v>
      </c>
      <c r="BE50" s="440">
        <f t="shared" si="151"/>
        <v>14662.467550540709</v>
      </c>
      <c r="BF50" s="440">
        <f t="shared" si="151"/>
        <v>14899.509205765966</v>
      </c>
      <c r="BG50" s="440">
        <f t="shared" si="151"/>
        <v>15154.592562218408</v>
      </c>
      <c r="BH50" s="440">
        <f t="shared" si="151"/>
        <v>15426.718165128308</v>
      </c>
      <c r="BI50" s="440">
        <f t="shared" si="151"/>
        <v>15714.889555970431</v>
      </c>
      <c r="BJ50" s="440">
        <f t="shared" si="151"/>
        <v>16018.115204409176</v>
      </c>
      <c r="BK50" s="440">
        <f t="shared" si="151"/>
        <v>16335.410372062668</v>
      </c>
      <c r="BL50" s="440">
        <f t="shared" si="151"/>
        <v>16665.798904388022</v>
      </c>
      <c r="BM50" s="440">
        <f t="shared" si="151"/>
        <v>17008.314947351209</v>
      </c>
      <c r="BN50" s="440">
        <f t="shared" si="151"/>
        <v>17362.004585909159</v>
      </c>
      <c r="BO50" s="440">
        <f t="shared" si="151"/>
        <v>17687.685663131881</v>
      </c>
      <c r="BP50" s="458">
        <f>BO50</f>
        <v>17687.685663131881</v>
      </c>
      <c r="CF50" s="442" t="s">
        <v>1005</v>
      </c>
      <c r="CG50" s="13" t="s">
        <v>965</v>
      </c>
    </row>
    <row r="51" spans="1:85" s="388" customFormat="1" ht="10.199999999999999" outlineLevel="1">
      <c r="A51" s="459" t="s">
        <v>508</v>
      </c>
      <c r="D51" s="388">
        <f t="shared" ref="D51:AI51" si="152">D36-D45-D46</f>
        <v>0</v>
      </c>
      <c r="E51" s="388">
        <f t="shared" si="152"/>
        <v>0</v>
      </c>
      <c r="F51" s="388">
        <f t="shared" si="152"/>
        <v>0</v>
      </c>
      <c r="G51" s="388">
        <f t="shared" si="152"/>
        <v>0</v>
      </c>
      <c r="H51" s="388">
        <f t="shared" si="152"/>
        <v>0</v>
      </c>
      <c r="I51" s="388">
        <f t="shared" si="152"/>
        <v>0</v>
      </c>
      <c r="J51" s="388">
        <f t="shared" si="152"/>
        <v>0</v>
      </c>
      <c r="K51" s="388">
        <f t="shared" si="152"/>
        <v>0</v>
      </c>
      <c r="L51" s="388">
        <f t="shared" si="152"/>
        <v>0</v>
      </c>
      <c r="M51" s="388">
        <f t="shared" si="152"/>
        <v>0</v>
      </c>
      <c r="N51" s="388">
        <f t="shared" si="152"/>
        <v>0</v>
      </c>
      <c r="O51" s="388">
        <f t="shared" si="152"/>
        <v>0</v>
      </c>
      <c r="P51" s="387">
        <f t="shared" si="152"/>
        <v>0</v>
      </c>
      <c r="Q51" s="388">
        <f t="shared" si="152"/>
        <v>0</v>
      </c>
      <c r="R51" s="388">
        <f t="shared" si="152"/>
        <v>0</v>
      </c>
      <c r="S51" s="388">
        <f t="shared" si="152"/>
        <v>0</v>
      </c>
      <c r="T51" s="388">
        <f t="shared" si="152"/>
        <v>0</v>
      </c>
      <c r="U51" s="388">
        <f t="shared" si="152"/>
        <v>0</v>
      </c>
      <c r="V51" s="388">
        <f t="shared" si="152"/>
        <v>0</v>
      </c>
      <c r="W51" s="388">
        <f t="shared" si="152"/>
        <v>0</v>
      </c>
      <c r="X51" s="388">
        <f t="shared" si="152"/>
        <v>0</v>
      </c>
      <c r="Y51" s="388">
        <f t="shared" si="152"/>
        <v>0</v>
      </c>
      <c r="Z51" s="388">
        <f t="shared" si="152"/>
        <v>0</v>
      </c>
      <c r="AA51" s="388">
        <f t="shared" si="152"/>
        <v>0</v>
      </c>
      <c r="AB51" s="388">
        <f t="shared" si="152"/>
        <v>0</v>
      </c>
      <c r="AC51" s="387">
        <f t="shared" si="152"/>
        <v>0</v>
      </c>
      <c r="AD51" s="388">
        <f t="shared" si="152"/>
        <v>0</v>
      </c>
      <c r="AE51" s="388">
        <f t="shared" si="152"/>
        <v>0</v>
      </c>
      <c r="AF51" s="388">
        <f t="shared" si="152"/>
        <v>0</v>
      </c>
      <c r="AG51" s="388">
        <f t="shared" si="152"/>
        <v>0</v>
      </c>
      <c r="AH51" s="388">
        <f t="shared" si="152"/>
        <v>0</v>
      </c>
      <c r="AI51" s="388">
        <f t="shared" si="152"/>
        <v>0</v>
      </c>
      <c r="AJ51" s="388">
        <f t="shared" ref="AJ51:BP51" si="153">AJ36-AJ45-AJ46</f>
        <v>0</v>
      </c>
      <c r="AK51" s="388">
        <f t="shared" si="153"/>
        <v>0</v>
      </c>
      <c r="AL51" s="388">
        <f t="shared" si="153"/>
        <v>0</v>
      </c>
      <c r="AM51" s="388">
        <f t="shared" si="153"/>
        <v>0</v>
      </c>
      <c r="AN51" s="388">
        <f t="shared" si="153"/>
        <v>0</v>
      </c>
      <c r="AO51" s="388">
        <f t="shared" si="153"/>
        <v>0</v>
      </c>
      <c r="AP51" s="387">
        <f t="shared" si="153"/>
        <v>0</v>
      </c>
      <c r="AQ51" s="388">
        <f t="shared" si="153"/>
        <v>0</v>
      </c>
      <c r="AR51" s="388">
        <f t="shared" si="153"/>
        <v>0</v>
      </c>
      <c r="AS51" s="388">
        <f t="shared" si="153"/>
        <v>0</v>
      </c>
      <c r="AT51" s="388">
        <f t="shared" si="153"/>
        <v>0</v>
      </c>
      <c r="AU51" s="388">
        <f t="shared" si="153"/>
        <v>0</v>
      </c>
      <c r="AV51" s="388">
        <f t="shared" si="153"/>
        <v>0</v>
      </c>
      <c r="AW51" s="388">
        <f t="shared" si="153"/>
        <v>0</v>
      </c>
      <c r="AX51" s="388">
        <f t="shared" si="153"/>
        <v>0</v>
      </c>
      <c r="AY51" s="388">
        <f t="shared" si="153"/>
        <v>0</v>
      </c>
      <c r="AZ51" s="388">
        <f t="shared" si="153"/>
        <v>0</v>
      </c>
      <c r="BA51" s="388">
        <f t="shared" si="153"/>
        <v>0</v>
      </c>
      <c r="BB51" s="388">
        <f t="shared" si="153"/>
        <v>0</v>
      </c>
      <c r="BC51" s="387">
        <f t="shared" si="153"/>
        <v>0</v>
      </c>
      <c r="BD51" s="388">
        <f t="shared" si="153"/>
        <v>0</v>
      </c>
      <c r="BE51" s="388">
        <f t="shared" si="153"/>
        <v>0</v>
      </c>
      <c r="BF51" s="388">
        <f t="shared" si="153"/>
        <v>0</v>
      </c>
      <c r="BG51" s="388">
        <f t="shared" si="153"/>
        <v>0</v>
      </c>
      <c r="BH51" s="388">
        <f t="shared" si="153"/>
        <v>0</v>
      </c>
      <c r="BI51" s="388">
        <f t="shared" si="153"/>
        <v>0</v>
      </c>
      <c r="BJ51" s="388">
        <f t="shared" si="153"/>
        <v>0</v>
      </c>
      <c r="BK51" s="388">
        <f t="shared" si="153"/>
        <v>0</v>
      </c>
      <c r="BL51" s="388">
        <f t="shared" si="153"/>
        <v>0</v>
      </c>
      <c r="BM51" s="388">
        <f t="shared" si="153"/>
        <v>0</v>
      </c>
      <c r="BN51" s="388">
        <f t="shared" si="153"/>
        <v>0</v>
      </c>
      <c r="BO51" s="388">
        <f t="shared" si="153"/>
        <v>0</v>
      </c>
      <c r="BP51" s="387">
        <f t="shared" si="153"/>
        <v>0</v>
      </c>
      <c r="CF51" s="459" t="s">
        <v>913</v>
      </c>
    </row>
    <row r="52" spans="1:85" s="60" customFormat="1" ht="15.6">
      <c r="A52" s="60" t="s">
        <v>713</v>
      </c>
      <c r="B52" s="12" t="s">
        <v>502</v>
      </c>
      <c r="C52" s="374"/>
      <c r="D52" s="60">
        <f t="shared" ref="D52:O52" si="154">D53+D54</f>
        <v>0</v>
      </c>
      <c r="E52" s="60">
        <f t="shared" si="154"/>
        <v>0</v>
      </c>
      <c r="F52" s="60">
        <f t="shared" si="154"/>
        <v>0</v>
      </c>
      <c r="G52" s="60">
        <f t="shared" si="154"/>
        <v>0</v>
      </c>
      <c r="H52" s="60">
        <f t="shared" si="154"/>
        <v>0</v>
      </c>
      <c r="I52" s="60">
        <f t="shared" si="154"/>
        <v>0</v>
      </c>
      <c r="J52" s="60">
        <f t="shared" si="154"/>
        <v>0</v>
      </c>
      <c r="K52" s="60">
        <f t="shared" si="154"/>
        <v>0</v>
      </c>
      <c r="L52" s="60">
        <f t="shared" si="154"/>
        <v>0</v>
      </c>
      <c r="M52" s="60">
        <f t="shared" si="154"/>
        <v>0</v>
      </c>
      <c r="N52" s="60">
        <f t="shared" si="154"/>
        <v>0</v>
      </c>
      <c r="O52" s="60">
        <f t="shared" si="154"/>
        <v>0</v>
      </c>
      <c r="P52" s="372">
        <f t="shared" ref="P52:P65" si="155">SUM(D52:O52)</f>
        <v>0</v>
      </c>
      <c r="Q52" s="60">
        <f t="shared" ref="Q52:AB52" si="156">Q53+Q54</f>
        <v>0</v>
      </c>
      <c r="R52" s="60">
        <f t="shared" si="156"/>
        <v>0</v>
      </c>
      <c r="S52" s="60">
        <f t="shared" si="156"/>
        <v>0</v>
      </c>
      <c r="T52" s="60">
        <f t="shared" si="156"/>
        <v>0</v>
      </c>
      <c r="U52" s="60">
        <f t="shared" si="156"/>
        <v>0</v>
      </c>
      <c r="V52" s="60">
        <f t="shared" si="156"/>
        <v>0</v>
      </c>
      <c r="W52" s="60">
        <f t="shared" si="156"/>
        <v>874.23641569795961</v>
      </c>
      <c r="X52" s="60">
        <f t="shared" si="156"/>
        <v>972.94165583887252</v>
      </c>
      <c r="Y52" s="60">
        <f t="shared" si="156"/>
        <v>1072.7689368842075</v>
      </c>
      <c r="Z52" s="60">
        <f t="shared" si="156"/>
        <v>1173.5944172818035</v>
      </c>
      <c r="AA52" s="60">
        <f t="shared" si="156"/>
        <v>1275.2945948642005</v>
      </c>
      <c r="AB52" s="60">
        <f t="shared" si="156"/>
        <v>1334.8183529033784</v>
      </c>
      <c r="AC52" s="372">
        <f t="shared" ref="AC52:AC65" si="157">SUM(Q52:AB52)</f>
        <v>6703.6543734704219</v>
      </c>
      <c r="AD52" s="60">
        <f t="shared" ref="AD52:AO52" si="158">AD53+AD54</f>
        <v>1695.2176143280212</v>
      </c>
      <c r="AE52" s="60">
        <f t="shared" si="158"/>
        <v>1559.6486865141503</v>
      </c>
      <c r="AF52" s="60">
        <f t="shared" si="158"/>
        <v>1684.0113184828544</v>
      </c>
      <c r="AG52" s="60">
        <f t="shared" si="158"/>
        <v>1810.2270588986069</v>
      </c>
      <c r="AH52" s="60">
        <f t="shared" si="158"/>
        <v>1938.1253243702627</v>
      </c>
      <c r="AI52" s="60">
        <f t="shared" si="158"/>
        <v>2067.5361344741113</v>
      </c>
      <c r="AJ52" s="60">
        <f t="shared" si="158"/>
        <v>2198.2904614787194</v>
      </c>
      <c r="AK52" s="60">
        <f t="shared" si="158"/>
        <v>2330.2205710325352</v>
      </c>
      <c r="AL52" s="60">
        <f t="shared" si="158"/>
        <v>2463.1603529013837</v>
      </c>
      <c r="AM52" s="60">
        <f t="shared" si="158"/>
        <v>2596.9456408960614</v>
      </c>
      <c r="AN52" s="60">
        <f t="shared" si="158"/>
        <v>2731.41452118609</v>
      </c>
      <c r="AO52" s="60">
        <f t="shared" si="158"/>
        <v>2797.3285421825512</v>
      </c>
      <c r="AP52" s="372">
        <f t="shared" ref="AP52:AP65" si="159">SUM(AD52:AO52)</f>
        <v>25872.126226745349</v>
      </c>
      <c r="AQ52" s="60">
        <f t="shared" ref="AQ52:BB52" si="160">AQ53+AQ54</f>
        <v>3438.433063301939</v>
      </c>
      <c r="AR52" s="60">
        <f t="shared" si="160"/>
        <v>2631.3804124666958</v>
      </c>
      <c r="AS52" s="60">
        <f t="shared" si="160"/>
        <v>2745.6385037473087</v>
      </c>
      <c r="AT52" s="60">
        <f t="shared" si="160"/>
        <v>2861.6364153178956</v>
      </c>
      <c r="AU52" s="60">
        <f t="shared" si="160"/>
        <v>2979.2050343351821</v>
      </c>
      <c r="AV52" s="60">
        <f t="shared" si="160"/>
        <v>3098.177072532495</v>
      </c>
      <c r="AW52" s="60">
        <f t="shared" si="160"/>
        <v>3218.3873769660959</v>
      </c>
      <c r="AX52" s="60">
        <f t="shared" si="160"/>
        <v>3339.6732273392959</v>
      </c>
      <c r="AY52" s="60">
        <f t="shared" si="160"/>
        <v>3461.8746192903473</v>
      </c>
      <c r="AZ52" s="60">
        <f t="shared" si="160"/>
        <v>3584.8345330967059</v>
      </c>
      <c r="BA52" s="60">
        <f t="shared" si="160"/>
        <v>3708.3991873160717</v>
      </c>
      <c r="BB52" s="60">
        <f t="shared" si="160"/>
        <v>3750.7071288614934</v>
      </c>
      <c r="BC52" s="372">
        <f t="shared" ref="BC52:BC65" si="161">SUM(AQ52:BB52)</f>
        <v>38818.346574571522</v>
      </c>
      <c r="BD52" s="60">
        <f t="shared" ref="BD52:BO52" si="162">BD53+BD54</f>
        <v>4968.0780266556085</v>
      </c>
      <c r="BE52" s="60">
        <f t="shared" si="162"/>
        <v>3529.7117422206979</v>
      </c>
      <c r="BF52" s="60">
        <f t="shared" si="162"/>
        <v>3634.0543827195643</v>
      </c>
      <c r="BG52" s="60">
        <f t="shared" si="162"/>
        <v>3740.5350512249115</v>
      </c>
      <c r="BH52" s="60">
        <f t="shared" si="162"/>
        <v>3848.9700010799324</v>
      </c>
      <c r="BI52" s="60">
        <f t="shared" si="162"/>
        <v>3959.1782417699437</v>
      </c>
      <c r="BJ52" s="60">
        <f t="shared" si="162"/>
        <v>4070.9818395248412</v>
      </c>
      <c r="BK52" s="60">
        <f t="shared" si="162"/>
        <v>4184.2062003613955</v>
      </c>
      <c r="BL52" s="60">
        <f t="shared" si="162"/>
        <v>4298.680335205343</v>
      </c>
      <c r="BM52" s="60">
        <f t="shared" si="162"/>
        <v>4414.2371068116481</v>
      </c>
      <c r="BN52" s="60">
        <f t="shared" si="162"/>
        <v>4530.7134582772997</v>
      </c>
      <c r="BO52" s="60">
        <f t="shared" si="162"/>
        <v>4549.8948831046</v>
      </c>
      <c r="BP52" s="372">
        <f t="shared" ref="BP52:BP65" si="163">SUM(BD52:BO52)</f>
        <v>49729.241268955782</v>
      </c>
      <c r="CF52" s="60" t="s">
        <v>1062</v>
      </c>
      <c r="CG52" s="13" t="s">
        <v>965</v>
      </c>
    </row>
    <row r="53" spans="1:85" s="3" customFormat="1" outlineLevel="1">
      <c r="A53" s="398" t="s">
        <v>712</v>
      </c>
      <c r="B53" s="12" t="s">
        <v>502</v>
      </c>
      <c r="C53" s="5"/>
      <c r="D53" s="3">
        <f t="shared" ref="D53:O53" si="164">D36*D39-C45-D60</f>
        <v>0</v>
      </c>
      <c r="E53" s="3">
        <f t="shared" si="164"/>
        <v>0</v>
      </c>
      <c r="F53" s="3">
        <f t="shared" si="164"/>
        <v>0</v>
      </c>
      <c r="G53" s="3">
        <f t="shared" si="164"/>
        <v>0</v>
      </c>
      <c r="H53" s="3">
        <f t="shared" si="164"/>
        <v>0</v>
      </c>
      <c r="I53" s="3">
        <f t="shared" si="164"/>
        <v>0</v>
      </c>
      <c r="J53" s="3">
        <f t="shared" si="164"/>
        <v>0</v>
      </c>
      <c r="K53" s="3">
        <f t="shared" si="164"/>
        <v>0</v>
      </c>
      <c r="L53" s="3">
        <f t="shared" si="164"/>
        <v>0</v>
      </c>
      <c r="M53" s="3">
        <f t="shared" si="164"/>
        <v>0</v>
      </c>
      <c r="N53" s="3">
        <f t="shared" si="164"/>
        <v>0</v>
      </c>
      <c r="O53" s="3">
        <f t="shared" si="164"/>
        <v>0</v>
      </c>
      <c r="P53" s="397">
        <f t="shared" si="155"/>
        <v>0</v>
      </c>
      <c r="Q53" s="3">
        <f t="shared" ref="Q53:AB53" si="165">Q36*Q39-P45-Q60</f>
        <v>0</v>
      </c>
      <c r="R53" s="3">
        <f t="shared" si="165"/>
        <v>0</v>
      </c>
      <c r="S53" s="3">
        <f t="shared" si="165"/>
        <v>0</v>
      </c>
      <c r="T53" s="3">
        <f t="shared" si="165"/>
        <v>0</v>
      </c>
      <c r="U53" s="3">
        <f t="shared" si="165"/>
        <v>0</v>
      </c>
      <c r="V53" s="3">
        <f t="shared" si="165"/>
        <v>0</v>
      </c>
      <c r="W53" s="3">
        <f t="shared" si="165"/>
        <v>102.72277884451027</v>
      </c>
      <c r="X53" s="3">
        <f t="shared" si="165"/>
        <v>119.09077972927568</v>
      </c>
      <c r="Y53" s="3">
        <f t="shared" si="165"/>
        <v>136.1785307873912</v>
      </c>
      <c r="Z53" s="3">
        <f t="shared" si="165"/>
        <v>153.97623789986267</v>
      </c>
      <c r="AA53" s="3">
        <f t="shared" si="165"/>
        <v>172.47279294023394</v>
      </c>
      <c r="AB53" s="3">
        <f t="shared" si="165"/>
        <v>186.07515093027652</v>
      </c>
      <c r="AC53" s="397">
        <f t="shared" si="157"/>
        <v>870.5162711315503</v>
      </c>
      <c r="AD53" s="3">
        <f t="shared" ref="AD53:AO53" si="166">AD36*AD39-AC45-AD60</f>
        <v>239.80205679183734</v>
      </c>
      <c r="AE53" s="3">
        <f t="shared" si="166"/>
        <v>229.15654545891064</v>
      </c>
      <c r="AF53" s="3">
        <f t="shared" si="166"/>
        <v>252.949079435546</v>
      </c>
      <c r="AG53" s="3">
        <f t="shared" si="166"/>
        <v>277.75385243869573</v>
      </c>
      <c r="AH53" s="3">
        <f t="shared" si="166"/>
        <v>303.5566842227272</v>
      </c>
      <c r="AI53" s="3">
        <f t="shared" si="166"/>
        <v>330.34161149604415</v>
      </c>
      <c r="AJ53" s="3">
        <f t="shared" si="166"/>
        <v>358.09095720464347</v>
      </c>
      <c r="AK53" s="3">
        <f t="shared" si="166"/>
        <v>386.7854039882767</v>
      </c>
      <c r="AL53" s="3">
        <f t="shared" si="166"/>
        <v>416.4040714757997</v>
      </c>
      <c r="AM53" s="3">
        <f t="shared" si="166"/>
        <v>446.92459707582697</v>
      </c>
      <c r="AN53" s="3">
        <f t="shared" si="166"/>
        <v>478.32321991006177</v>
      </c>
      <c r="AO53" s="3">
        <f t="shared" si="166"/>
        <v>499.52221375838991</v>
      </c>
      <c r="AP53" s="397">
        <f t="shared" si="159"/>
        <v>4219.6102932567592</v>
      </c>
      <c r="AQ53" s="3">
        <f t="shared" ref="AQ53:BB53" si="167">AQ36*AQ39-AP45-AQ60</f>
        <v>614.41889184768092</v>
      </c>
      <c r="AR53" s="3">
        <f t="shared" si="167"/>
        <v>495.08831180237007</v>
      </c>
      <c r="AS53" s="3">
        <f t="shared" si="167"/>
        <v>523.39399305846609</v>
      </c>
      <c r="AT53" s="3">
        <f t="shared" si="167"/>
        <v>552.69821607588005</v>
      </c>
      <c r="AU53" s="3">
        <f t="shared" si="167"/>
        <v>582.98054400127808</v>
      </c>
      <c r="AV53" s="3">
        <f t="shared" si="167"/>
        <v>614.21903548270939</v>
      </c>
      <c r="AW53" s="3">
        <f t="shared" si="167"/>
        <v>646.39033429807409</v>
      </c>
      <c r="AX53" s="3">
        <f t="shared" si="167"/>
        <v>679.46976133326928</v>
      </c>
      <c r="AY53" s="3">
        <f t="shared" si="167"/>
        <v>713.43140852442525</v>
      </c>
      <c r="AZ53" s="3">
        <f t="shared" si="167"/>
        <v>748.24823437913824</v>
      </c>
      <c r="BA53" s="3">
        <f t="shared" si="167"/>
        <v>783.89216069399254</v>
      </c>
      <c r="BB53" s="3">
        <f t="shared" si="167"/>
        <v>804.80905195247715</v>
      </c>
      <c r="BC53" s="397">
        <f t="shared" si="161"/>
        <v>7759.0399434497613</v>
      </c>
      <c r="BD53" s="3">
        <f t="shared" ref="BD53:BO53" si="168">BD36*BD39-BC45-BD60</f>
        <v>1051.9927107326641</v>
      </c>
      <c r="BE53" s="3">
        <f t="shared" si="168"/>
        <v>790.6225603432755</v>
      </c>
      <c r="BF53" s="3">
        <f t="shared" si="168"/>
        <v>822.12207948839227</v>
      </c>
      <c r="BG53" s="3">
        <f t="shared" si="168"/>
        <v>854.72437051178656</v>
      </c>
      <c r="BH53" s="3">
        <f t="shared" si="168"/>
        <v>888.4032033953074</v>
      </c>
      <c r="BI53" s="3">
        <f t="shared" si="168"/>
        <v>923.13095264579681</v>
      </c>
      <c r="BJ53" s="3">
        <f t="shared" si="168"/>
        <v>958.87870788984105</v>
      </c>
      <c r="BK53" s="3">
        <f t="shared" si="168"/>
        <v>995.61638524027853</v>
      </c>
      <c r="BL53" s="3">
        <f t="shared" si="168"/>
        <v>1033.3128390090874</v>
      </c>
      <c r="BM53" s="3">
        <f t="shared" si="168"/>
        <v>1071.9359733522945</v>
      </c>
      <c r="BN53" s="3">
        <f t="shared" si="168"/>
        <v>1111.452853444845</v>
      </c>
      <c r="BO53" s="3">
        <f t="shared" si="168"/>
        <v>1130.2575530169731</v>
      </c>
      <c r="BP53" s="397">
        <f t="shared" si="163"/>
        <v>11632.450189070543</v>
      </c>
      <c r="CF53" s="398" t="s">
        <v>1065</v>
      </c>
      <c r="CG53" s="13" t="s">
        <v>965</v>
      </c>
    </row>
    <row r="54" spans="1:85" s="3" customFormat="1" outlineLevel="1">
      <c r="A54" s="619" t="s">
        <v>908</v>
      </c>
      <c r="B54" s="12" t="s">
        <v>502</v>
      </c>
      <c r="C54" s="5"/>
      <c r="D54" s="3">
        <f t="shared" ref="D54:O54" si="169">SUM(D55:D58)</f>
        <v>0</v>
      </c>
      <c r="E54" s="3">
        <f t="shared" si="169"/>
        <v>0</v>
      </c>
      <c r="F54" s="3">
        <f t="shared" si="169"/>
        <v>0</v>
      </c>
      <c r="G54" s="3">
        <f t="shared" si="169"/>
        <v>0</v>
      </c>
      <c r="H54" s="3">
        <f t="shared" si="169"/>
        <v>0</v>
      </c>
      <c r="I54" s="3">
        <f t="shared" si="169"/>
        <v>0</v>
      </c>
      <c r="J54" s="3">
        <f t="shared" si="169"/>
        <v>0</v>
      </c>
      <c r="K54" s="3">
        <f t="shared" si="169"/>
        <v>0</v>
      </c>
      <c r="L54" s="3">
        <f t="shared" si="169"/>
        <v>0</v>
      </c>
      <c r="M54" s="3">
        <f t="shared" si="169"/>
        <v>0</v>
      </c>
      <c r="N54" s="3">
        <f t="shared" si="169"/>
        <v>0</v>
      </c>
      <c r="O54" s="3">
        <f t="shared" si="169"/>
        <v>0</v>
      </c>
      <c r="P54" s="397">
        <f t="shared" si="155"/>
        <v>0</v>
      </c>
      <c r="Q54" s="3">
        <f t="shared" ref="Q54:AB54" si="170">SUM(Q55:Q58)</f>
        <v>0</v>
      </c>
      <c r="R54" s="3">
        <f t="shared" si="170"/>
        <v>0</v>
      </c>
      <c r="S54" s="3">
        <f t="shared" si="170"/>
        <v>0</v>
      </c>
      <c r="T54" s="3">
        <f t="shared" si="170"/>
        <v>0</v>
      </c>
      <c r="U54" s="3">
        <f t="shared" si="170"/>
        <v>0</v>
      </c>
      <c r="V54" s="3">
        <f t="shared" si="170"/>
        <v>0</v>
      </c>
      <c r="W54" s="3">
        <f t="shared" si="170"/>
        <v>771.51363685344938</v>
      </c>
      <c r="X54" s="3">
        <f t="shared" si="170"/>
        <v>853.85087610959681</v>
      </c>
      <c r="Y54" s="3">
        <f t="shared" si="170"/>
        <v>936.59040609681642</v>
      </c>
      <c r="Z54" s="3">
        <f t="shared" si="170"/>
        <v>1019.6181793819408</v>
      </c>
      <c r="AA54" s="3">
        <f t="shared" si="170"/>
        <v>1102.8218019239664</v>
      </c>
      <c r="AB54" s="3">
        <f t="shared" si="170"/>
        <v>1148.7432019731018</v>
      </c>
      <c r="AC54" s="397">
        <f t="shared" si="157"/>
        <v>5833.1381023388712</v>
      </c>
      <c r="AD54" s="3">
        <f t="shared" ref="AD54:AO54" si="171">SUM(AD55:AD58)</f>
        <v>1455.4155575361838</v>
      </c>
      <c r="AE54" s="3">
        <f t="shared" si="171"/>
        <v>1330.4921410552397</v>
      </c>
      <c r="AF54" s="3">
        <f t="shared" si="171"/>
        <v>1431.0622390473084</v>
      </c>
      <c r="AG54" s="3">
        <f t="shared" si="171"/>
        <v>1532.4732064599111</v>
      </c>
      <c r="AH54" s="3">
        <f t="shared" si="171"/>
        <v>1634.5686401475355</v>
      </c>
      <c r="AI54" s="3">
        <f t="shared" si="171"/>
        <v>1737.1945229780672</v>
      </c>
      <c r="AJ54" s="3">
        <f t="shared" si="171"/>
        <v>1840.1995042740759</v>
      </c>
      <c r="AK54" s="3">
        <f t="shared" si="171"/>
        <v>1943.4351670442586</v>
      </c>
      <c r="AL54" s="3">
        <f t="shared" si="171"/>
        <v>2046.7562814255841</v>
      </c>
      <c r="AM54" s="3">
        <f t="shared" si="171"/>
        <v>2150.0210438202344</v>
      </c>
      <c r="AN54" s="3">
        <f t="shared" si="171"/>
        <v>2253.0913012760284</v>
      </c>
      <c r="AO54" s="3">
        <f t="shared" si="171"/>
        <v>2297.8063284241612</v>
      </c>
      <c r="AP54" s="397">
        <f t="shared" si="159"/>
        <v>21652.51593348859</v>
      </c>
      <c r="AQ54" s="3">
        <f t="shared" ref="AQ54:BB54" si="172">SUM(AQ55:AQ58)</f>
        <v>2824.0141714542578</v>
      </c>
      <c r="AR54" s="3">
        <f t="shared" si="172"/>
        <v>2136.2921006643255</v>
      </c>
      <c r="AS54" s="3">
        <f t="shared" si="172"/>
        <v>2222.2445106888426</v>
      </c>
      <c r="AT54" s="3">
        <f t="shared" si="172"/>
        <v>2308.9381992420158</v>
      </c>
      <c r="AU54" s="3">
        <f t="shared" si="172"/>
        <v>2396.2244903339042</v>
      </c>
      <c r="AV54" s="3">
        <f t="shared" si="172"/>
        <v>2483.9580370497856</v>
      </c>
      <c r="AW54" s="3">
        <f t="shared" si="172"/>
        <v>2571.997042668022</v>
      </c>
      <c r="AX54" s="3">
        <f t="shared" si="172"/>
        <v>2660.2034660060267</v>
      </c>
      <c r="AY54" s="3">
        <f t="shared" si="172"/>
        <v>2748.4432107659222</v>
      </c>
      <c r="AZ54" s="3">
        <f t="shared" si="172"/>
        <v>2836.5862987175678</v>
      </c>
      <c r="BA54" s="3">
        <f t="shared" si="172"/>
        <v>2924.5070266220791</v>
      </c>
      <c r="BB54" s="3">
        <f t="shared" si="172"/>
        <v>2945.8980769090163</v>
      </c>
      <c r="BC54" s="397">
        <f t="shared" si="161"/>
        <v>31059.30663112177</v>
      </c>
      <c r="BD54" s="3">
        <f t="shared" ref="BD54:BO54" si="173">SUM(BD55:BD58)</f>
        <v>3916.0853159229441</v>
      </c>
      <c r="BE54" s="3">
        <f t="shared" si="173"/>
        <v>2739.0891818774226</v>
      </c>
      <c r="BF54" s="3">
        <f t="shared" si="173"/>
        <v>2811.9323032311722</v>
      </c>
      <c r="BG54" s="3">
        <f t="shared" si="173"/>
        <v>2885.8106807131248</v>
      </c>
      <c r="BH54" s="3">
        <f t="shared" si="173"/>
        <v>2960.5667976846253</v>
      </c>
      <c r="BI54" s="3">
        <f t="shared" si="173"/>
        <v>3036.047289124147</v>
      </c>
      <c r="BJ54" s="3">
        <f t="shared" si="173"/>
        <v>3112.103131635</v>
      </c>
      <c r="BK54" s="3">
        <f t="shared" si="173"/>
        <v>3188.5898151211168</v>
      </c>
      <c r="BL54" s="3">
        <f t="shared" si="173"/>
        <v>3265.3674961962561</v>
      </c>
      <c r="BM54" s="3">
        <f t="shared" si="173"/>
        <v>3342.3011334593534</v>
      </c>
      <c r="BN54" s="3">
        <f t="shared" si="173"/>
        <v>3419.2606048324546</v>
      </c>
      <c r="BO54" s="3">
        <f t="shared" si="173"/>
        <v>3419.6373300876267</v>
      </c>
      <c r="BP54" s="397">
        <f t="shared" si="163"/>
        <v>38096.791079885246</v>
      </c>
      <c r="CF54" s="398" t="s">
        <v>1064</v>
      </c>
      <c r="CG54" s="13" t="s">
        <v>965</v>
      </c>
    </row>
    <row r="55" spans="1:85" s="440" customFormat="1" ht="10.199999999999999" outlineLevel="1">
      <c r="A55" s="442" t="s">
        <v>138</v>
      </c>
      <c r="B55" s="12" t="s">
        <v>502</v>
      </c>
      <c r="D55" s="373">
        <f t="shared" ref="D55:O55" si="174">D36*D40*D41-C47-D62</f>
        <v>0</v>
      </c>
      <c r="E55" s="373">
        <f t="shared" si="174"/>
        <v>0</v>
      </c>
      <c r="F55" s="373">
        <f t="shared" si="174"/>
        <v>0</v>
      </c>
      <c r="G55" s="373">
        <f t="shared" si="174"/>
        <v>0</v>
      </c>
      <c r="H55" s="373">
        <f t="shared" si="174"/>
        <v>0</v>
      </c>
      <c r="I55" s="373">
        <f t="shared" si="174"/>
        <v>0</v>
      </c>
      <c r="J55" s="373">
        <f t="shared" si="174"/>
        <v>0</v>
      </c>
      <c r="K55" s="373">
        <f t="shared" si="174"/>
        <v>0</v>
      </c>
      <c r="L55" s="373">
        <f t="shared" si="174"/>
        <v>0</v>
      </c>
      <c r="M55" s="373">
        <f t="shared" si="174"/>
        <v>0</v>
      </c>
      <c r="N55" s="373">
        <f t="shared" si="174"/>
        <v>0</v>
      </c>
      <c r="O55" s="373">
        <f t="shared" si="174"/>
        <v>0</v>
      </c>
      <c r="P55" s="458">
        <f t="shared" si="155"/>
        <v>0</v>
      </c>
      <c r="Q55" s="373">
        <f t="shared" ref="Q55:AB55" si="175">Q36*Q40*Q41-P47-Q62</f>
        <v>0</v>
      </c>
      <c r="R55" s="373">
        <f t="shared" si="175"/>
        <v>0</v>
      </c>
      <c r="S55" s="373">
        <f t="shared" si="175"/>
        <v>0</v>
      </c>
      <c r="T55" s="373">
        <f t="shared" si="175"/>
        <v>0</v>
      </c>
      <c r="U55" s="373">
        <f t="shared" si="175"/>
        <v>0</v>
      </c>
      <c r="V55" s="373">
        <f t="shared" si="175"/>
        <v>0</v>
      </c>
      <c r="W55" s="373">
        <f t="shared" si="175"/>
        <v>77.15136368534499</v>
      </c>
      <c r="X55" s="373">
        <f t="shared" si="175"/>
        <v>94.664682187558213</v>
      </c>
      <c r="Y55" s="373">
        <f t="shared" si="175"/>
        <v>112.46877387851954</v>
      </c>
      <c r="Z55" s="373">
        <f t="shared" si="175"/>
        <v>130.53709874476411</v>
      </c>
      <c r="AA55" s="373">
        <f t="shared" si="175"/>
        <v>148.84311699223133</v>
      </c>
      <c r="AB55" s="373">
        <f t="shared" si="175"/>
        <v>163.62558898652128</v>
      </c>
      <c r="AC55" s="458">
        <f t="shared" si="157"/>
        <v>727.29062447493948</v>
      </c>
      <c r="AD55" s="373">
        <f t="shared" ref="AD55:AO55" si="176">AD36*AD40*AD41-AC47-AD62</f>
        <v>204.22309301586611</v>
      </c>
      <c r="AE55" s="373">
        <f t="shared" si="176"/>
        <v>204.557943714175</v>
      </c>
      <c r="AF55" s="373">
        <f t="shared" si="176"/>
        <v>224.91698248838432</v>
      </c>
      <c r="AG55" s="373">
        <f t="shared" si="176"/>
        <v>245.74844235110027</v>
      </c>
      <c r="AH55" s="373">
        <f t="shared" si="176"/>
        <v>267.01583791718156</v>
      </c>
      <c r="AI55" s="373">
        <f t="shared" si="176"/>
        <v>288.68270303589907</v>
      </c>
      <c r="AJ55" s="373">
        <f t="shared" si="176"/>
        <v>310.71266502192145</v>
      </c>
      <c r="AK55" s="373">
        <f t="shared" si="176"/>
        <v>333.06951725628494</v>
      </c>
      <c r="AL55" s="373">
        <f t="shared" si="176"/>
        <v>355.71728996514895</v>
      </c>
      <c r="AM55" s="373">
        <f t="shared" si="176"/>
        <v>378.62031899423715</v>
      </c>
      <c r="AN55" s="373">
        <f t="shared" si="176"/>
        <v>401.74331240751405</v>
      </c>
      <c r="AO55" s="373">
        <f t="shared" si="176"/>
        <v>419.24877151980479</v>
      </c>
      <c r="AP55" s="458">
        <f t="shared" si="159"/>
        <v>3634.2568776875182</v>
      </c>
      <c r="AQ55" s="373">
        <f t="shared" ref="AQ55:BB55" si="177">AQ36*AQ40*AQ41-AP47-AQ62</f>
        <v>484.40223866180185</v>
      </c>
      <c r="AR55" s="373">
        <f t="shared" si="177"/>
        <v>433.492692096356</v>
      </c>
      <c r="AS55" s="373">
        <f t="shared" si="177"/>
        <v>450.25477438107902</v>
      </c>
      <c r="AT55" s="373">
        <f t="shared" si="177"/>
        <v>467.47372227034811</v>
      </c>
      <c r="AU55" s="373">
        <f t="shared" si="177"/>
        <v>485.1130713944915</v>
      </c>
      <c r="AV55" s="373">
        <f t="shared" si="177"/>
        <v>503.13662379214134</v>
      </c>
      <c r="AW55" s="373">
        <f t="shared" si="177"/>
        <v>521.50851536486516</v>
      </c>
      <c r="AX55" s="373">
        <f t="shared" si="177"/>
        <v>540.19328079932666</v>
      </c>
      <c r="AY55" s="373">
        <f t="shared" si="177"/>
        <v>559.15591582060188</v>
      </c>
      <c r="AZ55" s="373">
        <f t="shared" si="177"/>
        <v>578.36193665316455</v>
      </c>
      <c r="BA55" s="373">
        <f t="shared" si="177"/>
        <v>597.7774365792294</v>
      </c>
      <c r="BB55" s="373">
        <f t="shared" si="177"/>
        <v>610.75053650196446</v>
      </c>
      <c r="BC55" s="458">
        <f t="shared" si="161"/>
        <v>6231.6207443153689</v>
      </c>
      <c r="BD55" s="373">
        <f t="shared" ref="BD55:BO55" si="178">BD36*BD40*BD41-BC47-BD62</f>
        <v>717.9968319481867</v>
      </c>
      <c r="BE55" s="373">
        <f t="shared" si="178"/>
        <v>621.37862187066855</v>
      </c>
      <c r="BF55" s="373">
        <f t="shared" si="178"/>
        <v>633.90703306668036</v>
      </c>
      <c r="BG55" s="373">
        <f t="shared" si="178"/>
        <v>646.99703952112793</v>
      </c>
      <c r="BH55" s="373">
        <f t="shared" si="178"/>
        <v>660.60882307071699</v>
      </c>
      <c r="BI55" s="373">
        <f t="shared" si="178"/>
        <v>674.70300477355727</v>
      </c>
      <c r="BJ55" s="373">
        <f t="shared" si="178"/>
        <v>689.24071192656675</v>
      </c>
      <c r="BK55" s="373">
        <f t="shared" si="178"/>
        <v>704.1836417070665</v>
      </c>
      <c r="BL55" s="373">
        <f t="shared" si="178"/>
        <v>719.49412134757802</v>
      </c>
      <c r="BM55" s="373">
        <f t="shared" si="178"/>
        <v>735.13516476815926</v>
      </c>
      <c r="BN55" s="373">
        <f t="shared" si="178"/>
        <v>751.07052560563909</v>
      </c>
      <c r="BO55" s="373">
        <f t="shared" si="178"/>
        <v>759.61639888091167</v>
      </c>
      <c r="BP55" s="458">
        <f t="shared" si="163"/>
        <v>8314.3319184868596</v>
      </c>
      <c r="CF55" s="442" t="s">
        <v>1002</v>
      </c>
      <c r="CG55" s="13" t="s">
        <v>965</v>
      </c>
    </row>
    <row r="56" spans="1:85" s="440" customFormat="1" ht="10.199999999999999" outlineLevel="1">
      <c r="A56" s="442" t="s">
        <v>142</v>
      </c>
      <c r="B56" s="12" t="s">
        <v>502</v>
      </c>
      <c r="D56" s="373">
        <f t="shared" ref="D56:O56" si="179">D36*D40*D42-C48-D63</f>
        <v>0</v>
      </c>
      <c r="E56" s="373">
        <f t="shared" si="179"/>
        <v>0</v>
      </c>
      <c r="F56" s="373">
        <f t="shared" si="179"/>
        <v>0</v>
      </c>
      <c r="G56" s="373">
        <f t="shared" si="179"/>
        <v>0</v>
      </c>
      <c r="H56" s="373">
        <f t="shared" si="179"/>
        <v>0</v>
      </c>
      <c r="I56" s="373">
        <f t="shared" si="179"/>
        <v>0</v>
      </c>
      <c r="J56" s="373">
        <f t="shared" si="179"/>
        <v>0</v>
      </c>
      <c r="K56" s="373">
        <f t="shared" si="179"/>
        <v>0</v>
      </c>
      <c r="L56" s="373">
        <f t="shared" si="179"/>
        <v>0</v>
      </c>
      <c r="M56" s="373">
        <f t="shared" si="179"/>
        <v>0</v>
      </c>
      <c r="N56" s="373">
        <f t="shared" si="179"/>
        <v>0</v>
      </c>
      <c r="O56" s="373">
        <f t="shared" si="179"/>
        <v>0</v>
      </c>
      <c r="P56" s="458">
        <f t="shared" si="155"/>
        <v>0</v>
      </c>
      <c r="Q56" s="373">
        <f t="shared" ref="Q56:AB56" si="180">Q36*Q40*Q42-P48-Q63</f>
        <v>0</v>
      </c>
      <c r="R56" s="373">
        <f t="shared" si="180"/>
        <v>0</v>
      </c>
      <c r="S56" s="373">
        <f t="shared" si="180"/>
        <v>0</v>
      </c>
      <c r="T56" s="373">
        <f t="shared" si="180"/>
        <v>0</v>
      </c>
      <c r="U56" s="373">
        <f t="shared" si="180"/>
        <v>0</v>
      </c>
      <c r="V56" s="373">
        <f t="shared" si="180"/>
        <v>0</v>
      </c>
      <c r="W56" s="373">
        <f t="shared" si="180"/>
        <v>154.30272737068987</v>
      </c>
      <c r="X56" s="373">
        <f t="shared" si="180"/>
        <v>175.61356638661044</v>
      </c>
      <c r="Y56" s="373">
        <f t="shared" si="180"/>
        <v>197.13563253289064</v>
      </c>
      <c r="Z56" s="373">
        <f t="shared" si="180"/>
        <v>218.83821662069485</v>
      </c>
      <c r="AA56" s="373">
        <f t="shared" si="180"/>
        <v>240.69085395699324</v>
      </c>
      <c r="AB56" s="373">
        <f t="shared" si="180"/>
        <v>255.19387537467043</v>
      </c>
      <c r="AC56" s="458">
        <f t="shared" si="157"/>
        <v>1241.7748722425495</v>
      </c>
      <c r="AD56" s="373">
        <f t="shared" ref="AD56:AO56" si="181">AD36*AD40*AD42-AC48-AD63</f>
        <v>321.7113503554308</v>
      </c>
      <c r="AE56" s="373">
        <f t="shared" si="181"/>
        <v>303.42169124004329</v>
      </c>
      <c r="AF56" s="373">
        <f t="shared" si="181"/>
        <v>328.91275136582601</v>
      </c>
      <c r="AG56" s="373">
        <f t="shared" si="181"/>
        <v>354.77467248217761</v>
      </c>
      <c r="AH56" s="373">
        <f t="shared" si="181"/>
        <v>380.9652940848157</v>
      </c>
      <c r="AI56" s="373">
        <f t="shared" si="181"/>
        <v>407.44281837577228</v>
      </c>
      <c r="AJ56" s="373">
        <f t="shared" si="181"/>
        <v>434.16589045841818</v>
      </c>
      <c r="AK56" s="373">
        <f t="shared" si="181"/>
        <v>461.09367572922133</v>
      </c>
      <c r="AL56" s="373">
        <f t="shared" si="181"/>
        <v>488.18593428027941</v>
      </c>
      <c r="AM56" s="373">
        <f t="shared" si="181"/>
        <v>515.40309214132219</v>
      </c>
      <c r="AN56" s="373">
        <f t="shared" si="181"/>
        <v>542.70630920499752</v>
      </c>
      <c r="AO56" s="373">
        <f t="shared" si="181"/>
        <v>558.45225723469275</v>
      </c>
      <c r="AP56" s="458">
        <f t="shared" si="159"/>
        <v>5097.2357369529964</v>
      </c>
      <c r="AQ56" s="373">
        <f t="shared" ref="AQ56:BB56" si="182">AQ36*AQ40*AQ42-AP48-AQ63</f>
        <v>670.23513374281652</v>
      </c>
      <c r="AR56" s="373">
        <f t="shared" si="182"/>
        <v>542.01395578820598</v>
      </c>
      <c r="AS56" s="373">
        <f t="shared" si="182"/>
        <v>563.46703855475698</v>
      </c>
      <c r="AT56" s="373">
        <f t="shared" si="182"/>
        <v>585.26814315147294</v>
      </c>
      <c r="AU56" s="373">
        <f t="shared" si="182"/>
        <v>607.3762621628747</v>
      </c>
      <c r="AV56" s="373">
        <f t="shared" si="182"/>
        <v>629.75101927993114</v>
      </c>
      <c r="AW56" s="373">
        <f t="shared" si="182"/>
        <v>652.35273718986741</v>
      </c>
      <c r="AX56" s="373">
        <f t="shared" si="182"/>
        <v>675.14250181301054</v>
      </c>
      <c r="AY56" s="373">
        <f t="shared" si="182"/>
        <v>698.08222278169728</v>
      </c>
      <c r="AZ56" s="373">
        <f t="shared" si="182"/>
        <v>721.13469007283936</v>
      </c>
      <c r="BA56" s="373">
        <f t="shared" si="182"/>
        <v>744.26362672221364</v>
      </c>
      <c r="BB56" s="373">
        <f t="shared" si="182"/>
        <v>754.19653157418202</v>
      </c>
      <c r="BC56" s="458">
        <f t="shared" si="161"/>
        <v>7843.2838628338677</v>
      </c>
      <c r="BD56" s="373">
        <f t="shared" ref="BD56:BO56" si="183">BD36*BD40*BD42-BC48-BD63</f>
        <v>953.57215759667099</v>
      </c>
      <c r="BE56" s="373">
        <f t="shared" si="183"/>
        <v>729.17615746634181</v>
      </c>
      <c r="BF56" s="373">
        <f t="shared" si="183"/>
        <v>746.48188655857882</v>
      </c>
      <c r="BG56" s="373">
        <f t="shared" si="183"/>
        <v>764.23375172613078</v>
      </c>
      <c r="BH56" s="373">
        <f t="shared" si="183"/>
        <v>782.38768837366717</v>
      </c>
      <c r="BI56" s="373">
        <f t="shared" si="183"/>
        <v>800.90047478699569</v>
      </c>
      <c r="BJ56" s="373">
        <f t="shared" si="183"/>
        <v>819.72979519640683</v>
      </c>
      <c r="BK56" s="373">
        <f t="shared" si="183"/>
        <v>838.83429836847142</v>
      </c>
      <c r="BL56" s="373">
        <f t="shared" si="183"/>
        <v>858.1736516884821</v>
      </c>
      <c r="BM56" s="373">
        <f t="shared" si="183"/>
        <v>877.70859071363111</v>
      </c>
      <c r="BN56" s="373">
        <f t="shared" si="183"/>
        <v>897.40096419434508</v>
      </c>
      <c r="BO56" s="373">
        <f t="shared" si="183"/>
        <v>901.91707915171764</v>
      </c>
      <c r="BP56" s="458">
        <f t="shared" si="163"/>
        <v>9970.5164958214391</v>
      </c>
      <c r="CF56" s="442" t="s">
        <v>1003</v>
      </c>
      <c r="CG56" s="13" t="s">
        <v>965</v>
      </c>
    </row>
    <row r="57" spans="1:85" s="440" customFormat="1" ht="10.199999999999999" outlineLevel="1">
      <c r="A57" s="442" t="s">
        <v>145</v>
      </c>
      <c r="B57" s="12" t="s">
        <v>502</v>
      </c>
      <c r="D57" s="373">
        <f t="shared" ref="D57:O57" si="184">D36*D40*D43-C49-D64</f>
        <v>0</v>
      </c>
      <c r="E57" s="373">
        <f t="shared" si="184"/>
        <v>0</v>
      </c>
      <c r="F57" s="373">
        <f t="shared" si="184"/>
        <v>0</v>
      </c>
      <c r="G57" s="373">
        <f t="shared" si="184"/>
        <v>0</v>
      </c>
      <c r="H57" s="373">
        <f t="shared" si="184"/>
        <v>0</v>
      </c>
      <c r="I57" s="373">
        <f t="shared" si="184"/>
        <v>0</v>
      </c>
      <c r="J57" s="373">
        <f t="shared" si="184"/>
        <v>0</v>
      </c>
      <c r="K57" s="373">
        <f t="shared" si="184"/>
        <v>0</v>
      </c>
      <c r="L57" s="373">
        <f t="shared" si="184"/>
        <v>0</v>
      </c>
      <c r="M57" s="373">
        <f t="shared" si="184"/>
        <v>0</v>
      </c>
      <c r="N57" s="373">
        <f t="shared" si="184"/>
        <v>0</v>
      </c>
      <c r="O57" s="373">
        <f t="shared" si="184"/>
        <v>0</v>
      </c>
      <c r="P57" s="458">
        <f t="shared" si="155"/>
        <v>0</v>
      </c>
      <c r="Q57" s="373">
        <f t="shared" ref="Q57:AB57" si="185">Q36*Q40*Q43-P49-Q64</f>
        <v>0</v>
      </c>
      <c r="R57" s="373">
        <f t="shared" si="185"/>
        <v>0</v>
      </c>
      <c r="S57" s="373">
        <f t="shared" si="185"/>
        <v>0</v>
      </c>
      <c r="T57" s="373">
        <f t="shared" si="185"/>
        <v>0</v>
      </c>
      <c r="U57" s="373">
        <f t="shared" si="185"/>
        <v>0</v>
      </c>
      <c r="V57" s="373">
        <f t="shared" si="185"/>
        <v>0</v>
      </c>
      <c r="W57" s="373">
        <f t="shared" si="185"/>
        <v>154.30272737068987</v>
      </c>
      <c r="X57" s="373">
        <f t="shared" si="185"/>
        <v>171.32737951520241</v>
      </c>
      <c r="Y57" s="373">
        <f t="shared" si="185"/>
        <v>188.44753402534431</v>
      </c>
      <c r="Z57" s="373">
        <f t="shared" si="185"/>
        <v>205.63947259918447</v>
      </c>
      <c r="AA57" s="373">
        <f t="shared" si="185"/>
        <v>222.87979769840916</v>
      </c>
      <c r="AB57" s="373">
        <f t="shared" si="185"/>
        <v>232.67596831267934</v>
      </c>
      <c r="AC57" s="458">
        <f t="shared" si="157"/>
        <v>1175.2728795215096</v>
      </c>
      <c r="AD57" s="373">
        <f t="shared" ref="AD57:AO57" si="186">AD36*AD40*AD43-AC49-AD64</f>
        <v>294.60671420658639</v>
      </c>
      <c r="AE57" s="373">
        <f t="shared" si="186"/>
        <v>270.39225493119784</v>
      </c>
      <c r="AF57" s="373">
        <f t="shared" si="186"/>
        <v>291.12487211240625</v>
      </c>
      <c r="AG57" s="373">
        <f t="shared" si="186"/>
        <v>312.04898116342042</v>
      </c>
      <c r="AH57" s="373">
        <f t="shared" si="186"/>
        <v>333.13204978808233</v>
      </c>
      <c r="AI57" s="373">
        <f t="shared" si="186"/>
        <v>354.34200972076439</v>
      </c>
      <c r="AJ57" s="373">
        <f t="shared" si="186"/>
        <v>375.64731558797303</v>
      </c>
      <c r="AK57" s="373">
        <f t="shared" si="186"/>
        <v>397.01700110942517</v>
      </c>
      <c r="AL57" s="373">
        <f t="shared" si="186"/>
        <v>418.42073251464848</v>
      </c>
      <c r="AM57" s="373">
        <f t="shared" si="186"/>
        <v>439.82885906408728</v>
      </c>
      <c r="AN57" s="373">
        <f t="shared" si="186"/>
        <v>461.21246057686312</v>
      </c>
      <c r="AO57" s="373">
        <f t="shared" si="186"/>
        <v>470.93810542065677</v>
      </c>
      <c r="AP57" s="458">
        <f t="shared" si="159"/>
        <v>4418.7113561961114</v>
      </c>
      <c r="AQ57" s="373">
        <f t="shared" ref="AQ57:BB57" si="187">AQ36*AQ40*AQ43-AP49-AQ64</f>
        <v>576.93221387382084</v>
      </c>
      <c r="AR57" s="373">
        <f t="shared" si="187"/>
        <v>440.46038441179826</v>
      </c>
      <c r="AS57" s="373">
        <f t="shared" si="187"/>
        <v>458.14125411494388</v>
      </c>
      <c r="AT57" s="373">
        <f t="shared" si="187"/>
        <v>475.99336146734038</v>
      </c>
      <c r="AU57" s="373">
        <f t="shared" si="187"/>
        <v>493.9856744672162</v>
      </c>
      <c r="AV57" s="373">
        <f t="shared" si="187"/>
        <v>512.08782293482147</v>
      </c>
      <c r="AW57" s="373">
        <f t="shared" si="187"/>
        <v>530.27014545866086</v>
      </c>
      <c r="AX57" s="373">
        <f t="shared" si="187"/>
        <v>548.50373312999795</v>
      </c>
      <c r="AY57" s="373">
        <f t="shared" si="187"/>
        <v>566.76047001310189</v>
      </c>
      <c r="AZ57" s="373">
        <f t="shared" si="187"/>
        <v>585.01307031237479</v>
      </c>
      <c r="BA57" s="373">
        <f t="shared" si="187"/>
        <v>603.23511221088779</v>
      </c>
      <c r="BB57" s="373">
        <f t="shared" si="187"/>
        <v>608.16386237738652</v>
      </c>
      <c r="BC57" s="458">
        <f t="shared" si="161"/>
        <v>6399.5471047723513</v>
      </c>
      <c r="BD57" s="373">
        <f t="shared" ref="BD57:BO57" si="188">BD36*BD40*BD43-BC49-BD64</f>
        <v>802.81543687801343</v>
      </c>
      <c r="BE57" s="373">
        <f t="shared" si="188"/>
        <v>568.68206800540611</v>
      </c>
      <c r="BF57" s="373">
        <f t="shared" si="188"/>
        <v>583.56558044145982</v>
      </c>
      <c r="BG57" s="373">
        <f t="shared" si="188"/>
        <v>598.68364943984227</v>
      </c>
      <c r="BH57" s="373">
        <f t="shared" si="188"/>
        <v>614.00332657124045</v>
      </c>
      <c r="BI57" s="373">
        <f t="shared" si="188"/>
        <v>629.4924951744589</v>
      </c>
      <c r="BJ57" s="373">
        <f t="shared" si="188"/>
        <v>645.11991124117981</v>
      </c>
      <c r="BK57" s="373">
        <f t="shared" si="188"/>
        <v>660.85524054170276</v>
      </c>
      <c r="BL57" s="373">
        <f t="shared" si="188"/>
        <v>676.66909199889687</v>
      </c>
      <c r="BM57" s="373">
        <f t="shared" si="188"/>
        <v>692.53304733154198</v>
      </c>
      <c r="BN57" s="373">
        <f t="shared" si="188"/>
        <v>708.41968700155394</v>
      </c>
      <c r="BO57" s="373">
        <f t="shared" si="188"/>
        <v>709.00591708606032</v>
      </c>
      <c r="BP57" s="458">
        <f t="shared" si="163"/>
        <v>7889.8454517113569</v>
      </c>
      <c r="CF57" s="442" t="s">
        <v>1004</v>
      </c>
      <c r="CG57" s="13" t="s">
        <v>965</v>
      </c>
    </row>
    <row r="58" spans="1:85" s="440" customFormat="1" ht="10.199999999999999" outlineLevel="1">
      <c r="A58" s="442" t="s">
        <v>620</v>
      </c>
      <c r="B58" s="12" t="s">
        <v>502</v>
      </c>
      <c r="D58" s="373">
        <f t="shared" ref="D58:O58" si="189">D36*D40*D44-C50-D65</f>
        <v>0</v>
      </c>
      <c r="E58" s="373">
        <f t="shared" si="189"/>
        <v>0</v>
      </c>
      <c r="F58" s="373">
        <f t="shared" si="189"/>
        <v>0</v>
      </c>
      <c r="G58" s="373">
        <f t="shared" si="189"/>
        <v>0</v>
      </c>
      <c r="H58" s="373">
        <f t="shared" si="189"/>
        <v>0</v>
      </c>
      <c r="I58" s="373">
        <f t="shared" si="189"/>
        <v>0</v>
      </c>
      <c r="J58" s="373">
        <f t="shared" si="189"/>
        <v>0</v>
      </c>
      <c r="K58" s="373">
        <f t="shared" si="189"/>
        <v>0</v>
      </c>
      <c r="L58" s="373">
        <f t="shared" si="189"/>
        <v>0</v>
      </c>
      <c r="M58" s="373">
        <f t="shared" si="189"/>
        <v>0</v>
      </c>
      <c r="N58" s="373">
        <f t="shared" si="189"/>
        <v>0</v>
      </c>
      <c r="O58" s="373">
        <f t="shared" si="189"/>
        <v>0</v>
      </c>
      <c r="P58" s="458">
        <f t="shared" si="155"/>
        <v>0</v>
      </c>
      <c r="Q58" s="373">
        <f t="shared" ref="Q58:AB58" si="190">Q36*Q40*Q44-P50-Q65</f>
        <v>0</v>
      </c>
      <c r="R58" s="373">
        <f t="shared" si="190"/>
        <v>0</v>
      </c>
      <c r="S58" s="373">
        <f t="shared" si="190"/>
        <v>0</v>
      </c>
      <c r="T58" s="373">
        <f t="shared" si="190"/>
        <v>0</v>
      </c>
      <c r="U58" s="373">
        <f t="shared" si="190"/>
        <v>0</v>
      </c>
      <c r="V58" s="373">
        <f t="shared" si="190"/>
        <v>0</v>
      </c>
      <c r="W58" s="373">
        <f t="shared" si="190"/>
        <v>385.75681842672464</v>
      </c>
      <c r="X58" s="373">
        <f t="shared" si="190"/>
        <v>412.2452480202258</v>
      </c>
      <c r="Y58" s="373">
        <f t="shared" si="190"/>
        <v>438.53846566006189</v>
      </c>
      <c r="Z58" s="373">
        <f t="shared" si="190"/>
        <v>464.60339141729725</v>
      </c>
      <c r="AA58" s="373">
        <f t="shared" si="190"/>
        <v>490.40803327633267</v>
      </c>
      <c r="AB58" s="373">
        <f t="shared" si="190"/>
        <v>497.24776929923081</v>
      </c>
      <c r="AC58" s="458">
        <f t="shared" si="157"/>
        <v>2688.7997260998732</v>
      </c>
      <c r="AD58" s="373">
        <f t="shared" ref="AD58:AO58" si="191">AD36*AD40*AD44-AC50-AD65</f>
        <v>634.87439995830061</v>
      </c>
      <c r="AE58" s="373">
        <f t="shared" si="191"/>
        <v>552.12025116982363</v>
      </c>
      <c r="AF58" s="373">
        <f t="shared" si="191"/>
        <v>586.10763308069181</v>
      </c>
      <c r="AG58" s="373">
        <f t="shared" si="191"/>
        <v>619.90111046321294</v>
      </c>
      <c r="AH58" s="373">
        <f t="shared" si="191"/>
        <v>653.45545835745577</v>
      </c>
      <c r="AI58" s="373">
        <f t="shared" si="191"/>
        <v>686.72699184563135</v>
      </c>
      <c r="AJ58" s="373">
        <f t="shared" si="191"/>
        <v>719.67363320576317</v>
      </c>
      <c r="AK58" s="373">
        <f t="shared" si="191"/>
        <v>752.25497294932711</v>
      </c>
      <c r="AL58" s="373">
        <f t="shared" si="191"/>
        <v>784.43232466550717</v>
      </c>
      <c r="AM58" s="373">
        <f t="shared" si="191"/>
        <v>816.16877362058767</v>
      </c>
      <c r="AN58" s="373">
        <f t="shared" si="191"/>
        <v>847.4292190866538</v>
      </c>
      <c r="AO58" s="373">
        <f t="shared" si="191"/>
        <v>849.16719424900691</v>
      </c>
      <c r="AP58" s="458">
        <f t="shared" si="159"/>
        <v>8502.3119626519619</v>
      </c>
      <c r="AQ58" s="373">
        <f t="shared" ref="AQ58:BB58" si="192">AQ36*AQ40*AQ44-AP50-AQ65</f>
        <v>1092.4445851758187</v>
      </c>
      <c r="AR58" s="373">
        <f t="shared" si="192"/>
        <v>720.32506836796551</v>
      </c>
      <c r="AS58" s="373">
        <f t="shared" si="192"/>
        <v>750.38144363806282</v>
      </c>
      <c r="AT58" s="373">
        <f t="shared" si="192"/>
        <v>780.2029723528542</v>
      </c>
      <c r="AU58" s="373">
        <f t="shared" si="192"/>
        <v>809.74948230932216</v>
      </c>
      <c r="AV58" s="373">
        <f t="shared" si="192"/>
        <v>838.98257104289178</v>
      </c>
      <c r="AW58" s="373">
        <f t="shared" si="192"/>
        <v>867.86564465462857</v>
      </c>
      <c r="AX58" s="373">
        <f t="shared" si="192"/>
        <v>896.36395026369166</v>
      </c>
      <c r="AY58" s="373">
        <f t="shared" si="192"/>
        <v>924.44460215052118</v>
      </c>
      <c r="AZ58" s="373">
        <f t="shared" si="192"/>
        <v>952.07660167918948</v>
      </c>
      <c r="BA58" s="373">
        <f t="shared" si="192"/>
        <v>979.23085110974853</v>
      </c>
      <c r="BB58" s="373">
        <f t="shared" si="192"/>
        <v>972.78714645548325</v>
      </c>
      <c r="BC58" s="458">
        <f t="shared" si="161"/>
        <v>10584.854919200177</v>
      </c>
      <c r="BD58" s="373">
        <f t="shared" ref="BD58:BO58" si="193">BD36*BD40*BD44-BC50-BD65</f>
        <v>1441.7008895000731</v>
      </c>
      <c r="BE58" s="373">
        <f t="shared" si="193"/>
        <v>819.85233453500609</v>
      </c>
      <c r="BF58" s="373">
        <f t="shared" si="193"/>
        <v>847.97780316445346</v>
      </c>
      <c r="BG58" s="373">
        <f t="shared" si="193"/>
        <v>875.89624002602375</v>
      </c>
      <c r="BH58" s="373">
        <f t="shared" si="193"/>
        <v>903.56695966900065</v>
      </c>
      <c r="BI58" s="373">
        <f t="shared" si="193"/>
        <v>930.95131438913529</v>
      </c>
      <c r="BJ58" s="373">
        <f t="shared" si="193"/>
        <v>958.01271327084658</v>
      </c>
      <c r="BK58" s="373">
        <f t="shared" si="193"/>
        <v>984.71663450387632</v>
      </c>
      <c r="BL58" s="373">
        <f t="shared" si="193"/>
        <v>1011.0306311612989</v>
      </c>
      <c r="BM58" s="373">
        <f t="shared" si="193"/>
        <v>1036.9243306460212</v>
      </c>
      <c r="BN58" s="373">
        <f t="shared" si="193"/>
        <v>1062.3694280309164</v>
      </c>
      <c r="BO58" s="373">
        <f t="shared" si="193"/>
        <v>1049.0979349689367</v>
      </c>
      <c r="BP58" s="458">
        <f t="shared" si="163"/>
        <v>11922.097213865589</v>
      </c>
      <c r="CF58" s="442" t="s">
        <v>1005</v>
      </c>
      <c r="CG58" s="13" t="s">
        <v>965</v>
      </c>
    </row>
    <row r="59" spans="1:85" s="60" customFormat="1" ht="15.6">
      <c r="A59" s="60" t="s">
        <v>147</v>
      </c>
      <c r="B59" s="12" t="s">
        <v>502</v>
      </c>
      <c r="C59" s="374"/>
      <c r="D59" s="60">
        <f t="shared" ref="D59:O59" si="194">D60+D61</f>
        <v>0</v>
      </c>
      <c r="E59" s="60">
        <f t="shared" si="194"/>
        <v>0</v>
      </c>
      <c r="F59" s="60">
        <f t="shared" si="194"/>
        <v>0</v>
      </c>
      <c r="G59" s="60">
        <f t="shared" si="194"/>
        <v>0</v>
      </c>
      <c r="H59" s="60">
        <f t="shared" si="194"/>
        <v>0</v>
      </c>
      <c r="I59" s="60">
        <f t="shared" si="194"/>
        <v>0</v>
      </c>
      <c r="J59" s="60">
        <f t="shared" si="194"/>
        <v>0</v>
      </c>
      <c r="K59" s="60">
        <f t="shared" si="194"/>
        <v>0</v>
      </c>
      <c r="L59" s="60">
        <f t="shared" si="194"/>
        <v>0</v>
      </c>
      <c r="M59" s="60">
        <f t="shared" si="194"/>
        <v>0</v>
      </c>
      <c r="N59" s="60">
        <f t="shared" si="194"/>
        <v>0</v>
      </c>
      <c r="O59" s="60">
        <f t="shared" si="194"/>
        <v>0</v>
      </c>
      <c r="P59" s="372">
        <f t="shared" si="155"/>
        <v>0</v>
      </c>
      <c r="Q59" s="60">
        <f t="shared" ref="Q59:AB59" si="195">Q60+Q61</f>
        <v>0</v>
      </c>
      <c r="R59" s="60">
        <f t="shared" si="195"/>
        <v>0</v>
      </c>
      <c r="S59" s="60">
        <f t="shared" si="195"/>
        <v>0</v>
      </c>
      <c r="T59" s="60">
        <f t="shared" si="195"/>
        <v>0</v>
      </c>
      <c r="U59" s="60">
        <f t="shared" si="195"/>
        <v>0</v>
      </c>
      <c r="V59" s="60">
        <f t="shared" si="195"/>
        <v>0</v>
      </c>
      <c r="W59" s="60">
        <f t="shared" si="195"/>
        <v>0</v>
      </c>
      <c r="X59" s="60">
        <f t="shared" si="195"/>
        <v>-70.067013175081399</v>
      </c>
      <c r="Y59" s="60">
        <f t="shared" si="195"/>
        <v>-142.44532416690745</v>
      </c>
      <c r="Z59" s="60">
        <f t="shared" si="195"/>
        <v>-217.0403723092725</v>
      </c>
      <c r="AA59" s="60">
        <f t="shared" si="195"/>
        <v>-293.75520643621883</v>
      </c>
      <c r="AB59" s="60">
        <f t="shared" si="195"/>
        <v>-372.49070244966936</v>
      </c>
      <c r="AC59" s="372">
        <f t="shared" si="157"/>
        <v>-1095.7986185371497</v>
      </c>
      <c r="AD59" s="60">
        <f t="shared" ref="AD59:AO59" si="196">AD60+AD61</f>
        <v>-449.70329941435739</v>
      </c>
      <c r="AE59" s="60">
        <f t="shared" si="196"/>
        <v>-549.64503888649506</v>
      </c>
      <c r="AF59" s="60">
        <f t="shared" si="196"/>
        <v>-630.71902160816001</v>
      </c>
      <c r="AG59" s="60">
        <f t="shared" si="196"/>
        <v>-715.28380183858178</v>
      </c>
      <c r="AH59" s="60">
        <f t="shared" si="196"/>
        <v>-803.20916382456596</v>
      </c>
      <c r="AI59" s="60">
        <f t="shared" si="196"/>
        <v>-894.36159370382893</v>
      </c>
      <c r="AJ59" s="60">
        <f t="shared" si="196"/>
        <v>-988.60459072798483</v>
      </c>
      <c r="AK59" s="60">
        <f t="shared" si="196"/>
        <v>-1085.7989817868013</v>
      </c>
      <c r="AL59" s="60">
        <f t="shared" si="196"/>
        <v>-1185.80323824582</v>
      </c>
      <c r="AM59" s="60">
        <f t="shared" si="196"/>
        <v>-1288.4737941145743</v>
      </c>
      <c r="AN59" s="60">
        <f t="shared" si="196"/>
        <v>-1393.6653645716133</v>
      </c>
      <c r="AO59" s="60">
        <f t="shared" si="196"/>
        <v>-1501.231263885317</v>
      </c>
      <c r="AP59" s="372">
        <f t="shared" si="159"/>
        <v>-11486.499152608098</v>
      </c>
      <c r="AQ59" s="60">
        <f t="shared" ref="AQ59:BB59" si="197">AQ60+AQ61</f>
        <v>-1605.476671174363</v>
      </c>
      <c r="AR59" s="60">
        <f t="shared" si="197"/>
        <v>-1752.8601137051762</v>
      </c>
      <c r="AS59" s="60">
        <f t="shared" si="197"/>
        <v>-1823.6182001107563</v>
      </c>
      <c r="AT59" s="60">
        <f t="shared" si="197"/>
        <v>-1897.8863772049945</v>
      </c>
      <c r="AU59" s="60">
        <f t="shared" si="197"/>
        <v>-1975.5236064735775</v>
      </c>
      <c r="AV59" s="60">
        <f t="shared" si="197"/>
        <v>-2056.3865298399014</v>
      </c>
      <c r="AW59" s="60">
        <f t="shared" si="197"/>
        <v>-2140.3298013966546</v>
      </c>
      <c r="AX59" s="60">
        <f t="shared" si="197"/>
        <v>-2227.2064176754334</v>
      </c>
      <c r="AY59" s="60">
        <f t="shared" si="197"/>
        <v>-2316.868045491794</v>
      </c>
      <c r="AZ59" s="60">
        <f t="shared" si="197"/>
        <v>-2409.1653464302908</v>
      </c>
      <c r="BA59" s="60">
        <f t="shared" si="197"/>
        <v>-2503.9482970644331</v>
      </c>
      <c r="BB59" s="60">
        <f t="shared" si="197"/>
        <v>-2601.0665040398476</v>
      </c>
      <c r="BC59" s="372">
        <f t="shared" si="161"/>
        <v>-25310.335910607228</v>
      </c>
      <c r="BD59" s="60">
        <f t="shared" ref="BD59:BO59" si="198">BD60+BD61</f>
        <v>-2693.7992559524419</v>
      </c>
      <c r="BE59" s="60">
        <f t="shared" si="198"/>
        <v>-2876.9931971618907</v>
      </c>
      <c r="BF59" s="60">
        <f t="shared" si="198"/>
        <v>-2929.8119684236053</v>
      </c>
      <c r="BG59" s="60">
        <f t="shared" si="198"/>
        <v>-2986.7868687716423</v>
      </c>
      <c r="BH59" s="60">
        <f t="shared" si="198"/>
        <v>-3047.7569486239245</v>
      </c>
      <c r="BI59" s="60">
        <f t="shared" si="198"/>
        <v>-3112.5593514186871</v>
      </c>
      <c r="BJ59" s="60">
        <f t="shared" si="198"/>
        <v>-3181.0296877918763</v>
      </c>
      <c r="BK59" s="60">
        <f t="shared" si="198"/>
        <v>-3253.0024040864546</v>
      </c>
      <c r="BL59" s="60">
        <f t="shared" si="198"/>
        <v>-3328.3111442318695</v>
      </c>
      <c r="BM59" s="60">
        <f t="shared" si="198"/>
        <v>-3406.7891040795312</v>
      </c>
      <c r="BN59" s="60">
        <f t="shared" si="198"/>
        <v>-3488.2693773302512</v>
      </c>
      <c r="BO59" s="60">
        <f t="shared" si="198"/>
        <v>-3572.5852922418089</v>
      </c>
      <c r="BP59" s="372">
        <f t="shared" si="163"/>
        <v>-37877.694600113988</v>
      </c>
      <c r="CF59" s="60" t="s">
        <v>1063</v>
      </c>
      <c r="CG59" s="13" t="s">
        <v>965</v>
      </c>
    </row>
    <row r="60" spans="1:85" s="3" customFormat="1" outlineLevel="1">
      <c r="A60" s="398" t="s">
        <v>710</v>
      </c>
      <c r="B60" s="12" t="s">
        <v>502</v>
      </c>
      <c r="C60" s="5"/>
      <c r="D60" s="3">
        <f t="shared" ref="D60:O60" si="199">C45*D67</f>
        <v>0</v>
      </c>
      <c r="E60" s="3">
        <f t="shared" si="199"/>
        <v>0</v>
      </c>
      <c r="F60" s="3">
        <f t="shared" si="199"/>
        <v>0</v>
      </c>
      <c r="G60" s="3">
        <f t="shared" si="199"/>
        <v>0</v>
      </c>
      <c r="H60" s="3">
        <f t="shared" si="199"/>
        <v>0</v>
      </c>
      <c r="I60" s="3">
        <f t="shared" si="199"/>
        <v>0</v>
      </c>
      <c r="J60" s="3">
        <f t="shared" si="199"/>
        <v>0</v>
      </c>
      <c r="K60" s="3">
        <f t="shared" si="199"/>
        <v>0</v>
      </c>
      <c r="L60" s="3">
        <f t="shared" si="199"/>
        <v>0</v>
      </c>
      <c r="M60" s="3">
        <f t="shared" si="199"/>
        <v>0</v>
      </c>
      <c r="N60" s="3">
        <f t="shared" si="199"/>
        <v>0</v>
      </c>
      <c r="O60" s="3">
        <f t="shared" si="199"/>
        <v>0</v>
      </c>
      <c r="P60" s="397">
        <f t="shared" si="155"/>
        <v>0</v>
      </c>
      <c r="Q60" s="3">
        <f t="shared" ref="Q60:AB60" si="200">P45*Q67</f>
        <v>0</v>
      </c>
      <c r="R60" s="3">
        <f t="shared" si="200"/>
        <v>0</v>
      </c>
      <c r="S60" s="3">
        <f t="shared" si="200"/>
        <v>0</v>
      </c>
      <c r="T60" s="3">
        <f t="shared" si="200"/>
        <v>0</v>
      </c>
      <c r="U60" s="3">
        <f t="shared" si="200"/>
        <v>0</v>
      </c>
      <c r="V60" s="3">
        <f t="shared" si="200"/>
        <v>0</v>
      </c>
      <c r="W60" s="3">
        <f t="shared" si="200"/>
        <v>0</v>
      </c>
      <c r="X60" s="3">
        <f t="shared" si="200"/>
        <v>-8.5602315703758549</v>
      </c>
      <c r="Y60" s="3">
        <f t="shared" si="200"/>
        <v>-17.771110583617507</v>
      </c>
      <c r="Z60" s="3">
        <f t="shared" si="200"/>
        <v>-27.638395600598646</v>
      </c>
      <c r="AA60" s="3">
        <f t="shared" si="200"/>
        <v>-38.166549125537315</v>
      </c>
      <c r="AB60" s="3">
        <f t="shared" si="200"/>
        <v>-49.358736110095357</v>
      </c>
      <c r="AC60" s="397">
        <f t="shared" si="157"/>
        <v>-141.49502299022467</v>
      </c>
      <c r="AD60" s="3">
        <f t="shared" ref="AD60:AO60" si="201">AC45*AD67</f>
        <v>-60.751770678443791</v>
      </c>
      <c r="AE60" s="3">
        <f t="shared" si="201"/>
        <v>-75.67262785455992</v>
      </c>
      <c r="AF60" s="3">
        <f t="shared" si="201"/>
        <v>-88.462954321589137</v>
      </c>
      <c r="AG60" s="3">
        <f t="shared" si="201"/>
        <v>-102.17013141441888</v>
      </c>
      <c r="AH60" s="3">
        <f t="shared" si="201"/>
        <v>-116.80210816644195</v>
      </c>
      <c r="AI60" s="3">
        <f t="shared" si="201"/>
        <v>-132.36498950446571</v>
      </c>
      <c r="AJ60" s="3">
        <f t="shared" si="201"/>
        <v>-148.86304133709726</v>
      </c>
      <c r="AK60" s="3">
        <f t="shared" si="201"/>
        <v>-166.29870099272611</v>
      </c>
      <c r="AL60" s="3">
        <f t="shared" si="201"/>
        <v>-184.672592909022</v>
      </c>
      <c r="AM60" s="3">
        <f t="shared" si="201"/>
        <v>-203.98354945625346</v>
      </c>
      <c r="AN60" s="3">
        <f t="shared" si="201"/>
        <v>-224.2286367578846</v>
      </c>
      <c r="AO60" s="3">
        <f t="shared" si="201"/>
        <v>-245.40318535389935</v>
      </c>
      <c r="AP60" s="397">
        <f t="shared" si="159"/>
        <v>-1749.6742887468019</v>
      </c>
      <c r="AQ60" s="3">
        <f t="shared" ref="AQ60:BB60" si="202">AP45*AQ67</f>
        <v>-266.57977105427358</v>
      </c>
      <c r="AR60" s="3">
        <f t="shared" si="202"/>
        <v>-295.56636445372419</v>
      </c>
      <c r="AS60" s="3">
        <f t="shared" si="202"/>
        <v>-312.19319339944468</v>
      </c>
      <c r="AT60" s="3">
        <f t="shared" si="202"/>
        <v>-329.79326003769643</v>
      </c>
      <c r="AU60" s="3">
        <f t="shared" si="202"/>
        <v>-348.36867304087838</v>
      </c>
      <c r="AV60" s="3">
        <f t="shared" si="202"/>
        <v>-367.91966228757838</v>
      </c>
      <c r="AW60" s="3">
        <f t="shared" si="202"/>
        <v>-388.4446100538392</v>
      </c>
      <c r="AX60" s="3">
        <f t="shared" si="202"/>
        <v>-409.94008707419209</v>
      </c>
      <c r="AY60" s="3">
        <f t="shared" si="202"/>
        <v>-432.40089326244856</v>
      </c>
      <c r="AZ60" s="3">
        <f t="shared" si="202"/>
        <v>-455.82010286761329</v>
      </c>
      <c r="BA60" s="3">
        <f t="shared" si="202"/>
        <v>-480.18911382690703</v>
      </c>
      <c r="BB60" s="3">
        <f t="shared" si="202"/>
        <v>-505.49770106583082</v>
      </c>
      <c r="BC60" s="397">
        <f t="shared" si="161"/>
        <v>-4592.7134324244262</v>
      </c>
      <c r="BD60" s="3">
        <f t="shared" ref="BD60:BO60" si="203">BC45*BD67</f>
        <v>-530.44031363971794</v>
      </c>
      <c r="BE60" s="3">
        <f t="shared" si="203"/>
        <v>-573.9030133974635</v>
      </c>
      <c r="BF60" s="3">
        <f t="shared" si="203"/>
        <v>-591.96297564294787</v>
      </c>
      <c r="BG60" s="3">
        <f t="shared" si="203"/>
        <v>-611.14290096340153</v>
      </c>
      <c r="BH60" s="3">
        <f t="shared" si="203"/>
        <v>-631.44135675910024</v>
      </c>
      <c r="BI60" s="3">
        <f t="shared" si="203"/>
        <v>-652.85484397878429</v>
      </c>
      <c r="BJ60" s="3">
        <f t="shared" si="203"/>
        <v>-675.37785303436863</v>
      </c>
      <c r="BK60" s="3">
        <f t="shared" si="203"/>
        <v>-699.00292427232466</v>
      </c>
      <c r="BL60" s="3">
        <f t="shared" si="203"/>
        <v>-723.72071268632089</v>
      </c>
      <c r="BM60" s="3">
        <f t="shared" si="203"/>
        <v>-749.52005654655136</v>
      </c>
      <c r="BN60" s="3">
        <f t="shared" si="203"/>
        <v>-776.38804961369669</v>
      </c>
      <c r="BO60" s="3">
        <f t="shared" si="203"/>
        <v>-804.31011659962564</v>
      </c>
      <c r="BP60" s="397">
        <f t="shared" si="163"/>
        <v>-8020.0651171343043</v>
      </c>
      <c r="CF60" s="398" t="s">
        <v>1066</v>
      </c>
      <c r="CG60" s="13" t="s">
        <v>965</v>
      </c>
    </row>
    <row r="61" spans="1:85" s="3" customFormat="1" outlineLevel="1">
      <c r="A61" s="398" t="s">
        <v>709</v>
      </c>
      <c r="B61" s="12" t="s">
        <v>502</v>
      </c>
      <c r="C61" s="5"/>
      <c r="D61" s="3">
        <f t="shared" ref="D61:O61" si="204">SUM(D62:D65)</f>
        <v>0</v>
      </c>
      <c r="E61" s="3">
        <f t="shared" si="204"/>
        <v>0</v>
      </c>
      <c r="F61" s="3">
        <f t="shared" si="204"/>
        <v>0</v>
      </c>
      <c r="G61" s="3">
        <f t="shared" si="204"/>
        <v>0</v>
      </c>
      <c r="H61" s="3">
        <f t="shared" si="204"/>
        <v>0</v>
      </c>
      <c r="I61" s="3">
        <f t="shared" si="204"/>
        <v>0</v>
      </c>
      <c r="J61" s="3">
        <f t="shared" si="204"/>
        <v>0</v>
      </c>
      <c r="K61" s="3">
        <f t="shared" si="204"/>
        <v>0</v>
      </c>
      <c r="L61" s="3">
        <f t="shared" si="204"/>
        <v>0</v>
      </c>
      <c r="M61" s="3">
        <f t="shared" si="204"/>
        <v>0</v>
      </c>
      <c r="N61" s="3">
        <f t="shared" si="204"/>
        <v>0</v>
      </c>
      <c r="O61" s="3">
        <f t="shared" si="204"/>
        <v>0</v>
      </c>
      <c r="P61" s="397">
        <f t="shared" si="155"/>
        <v>0</v>
      </c>
      <c r="Q61" s="3">
        <f t="shared" ref="Q61:AB61" si="205">SUM(Q62:Q65)</f>
        <v>0</v>
      </c>
      <c r="R61" s="3">
        <f t="shared" si="205"/>
        <v>0</v>
      </c>
      <c r="S61" s="3">
        <f t="shared" si="205"/>
        <v>0</v>
      </c>
      <c r="T61" s="3">
        <f t="shared" si="205"/>
        <v>0</v>
      </c>
      <c r="U61" s="3">
        <f t="shared" si="205"/>
        <v>0</v>
      </c>
      <c r="V61" s="3">
        <f t="shared" si="205"/>
        <v>0</v>
      </c>
      <c r="W61" s="3">
        <f t="shared" si="205"/>
        <v>0</v>
      </c>
      <c r="X61" s="3">
        <f t="shared" si="205"/>
        <v>-61.506781604705552</v>
      </c>
      <c r="Y61" s="3">
        <f t="shared" si="205"/>
        <v>-124.67421358328994</v>
      </c>
      <c r="Z61" s="3">
        <f t="shared" si="205"/>
        <v>-189.40197670867386</v>
      </c>
      <c r="AA61" s="3">
        <f t="shared" si="205"/>
        <v>-255.58865731068153</v>
      </c>
      <c r="AB61" s="3">
        <f t="shared" si="205"/>
        <v>-323.13196633957398</v>
      </c>
      <c r="AC61" s="397">
        <f t="shared" si="157"/>
        <v>-954.30359554692484</v>
      </c>
      <c r="AD61" s="3">
        <f t="shared" ref="AD61:AO61" si="206">SUM(AD62:AD65)</f>
        <v>-388.9515287359136</v>
      </c>
      <c r="AE61" s="3">
        <f t="shared" si="206"/>
        <v>-473.97241103193517</v>
      </c>
      <c r="AF61" s="3">
        <f t="shared" si="206"/>
        <v>-542.2560672865709</v>
      </c>
      <c r="AG61" s="3">
        <f t="shared" si="206"/>
        <v>-613.11367042416293</v>
      </c>
      <c r="AH61" s="3">
        <f t="shared" si="206"/>
        <v>-686.40705565812402</v>
      </c>
      <c r="AI61" s="3">
        <f t="shared" si="206"/>
        <v>-761.99660419936322</v>
      </c>
      <c r="AJ61" s="3">
        <f t="shared" si="206"/>
        <v>-839.7415493908876</v>
      </c>
      <c r="AK61" s="3">
        <f t="shared" si="206"/>
        <v>-919.50028079407525</v>
      </c>
      <c r="AL61" s="3">
        <f t="shared" si="206"/>
        <v>-1001.1306453367981</v>
      </c>
      <c r="AM61" s="3">
        <f t="shared" si="206"/>
        <v>-1084.4902446583208</v>
      </c>
      <c r="AN61" s="3">
        <f t="shared" si="206"/>
        <v>-1169.4367278137288</v>
      </c>
      <c r="AO61" s="3">
        <f t="shared" si="206"/>
        <v>-1255.8280785314178</v>
      </c>
      <c r="AP61" s="397">
        <f t="shared" si="159"/>
        <v>-9736.8248638612986</v>
      </c>
      <c r="AQ61" s="3">
        <f t="shared" ref="AQ61:BB61" si="207">SUM(AQ62:AQ65)</f>
        <v>-1338.8969001200894</v>
      </c>
      <c r="AR61" s="3">
        <f t="shared" si="207"/>
        <v>-1457.293749251452</v>
      </c>
      <c r="AS61" s="3">
        <f t="shared" si="207"/>
        <v>-1511.4250067113117</v>
      </c>
      <c r="AT61" s="3">
        <f t="shared" si="207"/>
        <v>-1568.093117167298</v>
      </c>
      <c r="AU61" s="3">
        <f t="shared" si="207"/>
        <v>-1627.1549334326992</v>
      </c>
      <c r="AV61" s="3">
        <f t="shared" si="207"/>
        <v>-1688.466867552323</v>
      </c>
      <c r="AW61" s="3">
        <f t="shared" si="207"/>
        <v>-1751.8851913428152</v>
      </c>
      <c r="AX61" s="3">
        <f t="shared" si="207"/>
        <v>-1817.2663306012414</v>
      </c>
      <c r="AY61" s="3">
        <f t="shared" si="207"/>
        <v>-1884.4671522293452</v>
      </c>
      <c r="AZ61" s="3">
        <f t="shared" si="207"/>
        <v>-1953.3452435626778</v>
      </c>
      <c r="BA61" s="3">
        <f t="shared" si="207"/>
        <v>-2023.7591832375258</v>
      </c>
      <c r="BB61" s="3">
        <f t="shared" si="207"/>
        <v>-2095.5688029740168</v>
      </c>
      <c r="BC61" s="397">
        <f t="shared" si="161"/>
        <v>-20717.622478182795</v>
      </c>
      <c r="BD61" s="3">
        <f t="shared" ref="BD61:BO61" si="208">SUM(BD62:BD65)</f>
        <v>-2163.3589423127237</v>
      </c>
      <c r="BE61" s="3">
        <f t="shared" si="208"/>
        <v>-2303.0901837644274</v>
      </c>
      <c r="BF61" s="3">
        <f t="shared" si="208"/>
        <v>-2337.8489927806577</v>
      </c>
      <c r="BG61" s="3">
        <f t="shared" si="208"/>
        <v>-2375.6439678082406</v>
      </c>
      <c r="BH61" s="3">
        <f t="shared" si="208"/>
        <v>-2416.3155918648245</v>
      </c>
      <c r="BI61" s="3">
        <f t="shared" si="208"/>
        <v>-2459.704507439903</v>
      </c>
      <c r="BJ61" s="3">
        <f t="shared" si="208"/>
        <v>-2505.6518347575079</v>
      </c>
      <c r="BK61" s="3">
        <f t="shared" si="208"/>
        <v>-2553.9994798141302</v>
      </c>
      <c r="BL61" s="3">
        <f t="shared" si="208"/>
        <v>-2604.5904315455487</v>
      </c>
      <c r="BM61" s="3">
        <f t="shared" si="208"/>
        <v>-2657.2690475329796</v>
      </c>
      <c r="BN61" s="3">
        <f t="shared" si="208"/>
        <v>-2711.8813277165546</v>
      </c>
      <c r="BO61" s="3">
        <f t="shared" si="208"/>
        <v>-2768.2751756421831</v>
      </c>
      <c r="BP61" s="397">
        <f t="shared" si="163"/>
        <v>-29857.629482979679</v>
      </c>
      <c r="CF61" s="398" t="s">
        <v>1067</v>
      </c>
      <c r="CG61" s="13" t="s">
        <v>965</v>
      </c>
    </row>
    <row r="62" spans="1:85" s="440" customFormat="1" ht="10.199999999999999" outlineLevel="1">
      <c r="A62" s="442" t="s">
        <v>138</v>
      </c>
      <c r="B62" s="12" t="s">
        <v>502</v>
      </c>
      <c r="D62" s="440">
        <f t="shared" ref="D62:O62" si="209">C47*D69</f>
        <v>0</v>
      </c>
      <c r="E62" s="440">
        <f t="shared" si="209"/>
        <v>0</v>
      </c>
      <c r="F62" s="440">
        <f t="shared" si="209"/>
        <v>0</v>
      </c>
      <c r="G62" s="440">
        <f t="shared" si="209"/>
        <v>0</v>
      </c>
      <c r="H62" s="440">
        <f t="shared" si="209"/>
        <v>0</v>
      </c>
      <c r="I62" s="440">
        <f t="shared" si="209"/>
        <v>0</v>
      </c>
      <c r="J62" s="440">
        <f t="shared" si="209"/>
        <v>0</v>
      </c>
      <c r="K62" s="440">
        <f t="shared" si="209"/>
        <v>0</v>
      </c>
      <c r="L62" s="440">
        <f t="shared" si="209"/>
        <v>0</v>
      </c>
      <c r="M62" s="440">
        <f t="shared" si="209"/>
        <v>0</v>
      </c>
      <c r="N62" s="440">
        <f t="shared" si="209"/>
        <v>0</v>
      </c>
      <c r="O62" s="440">
        <f t="shared" si="209"/>
        <v>0</v>
      </c>
      <c r="P62" s="458">
        <f t="shared" si="155"/>
        <v>0</v>
      </c>
      <c r="Q62" s="440">
        <f t="shared" ref="Q62:AB62" si="210">P47*Q69</f>
        <v>0</v>
      </c>
      <c r="R62" s="440">
        <f t="shared" si="210"/>
        <v>0</v>
      </c>
      <c r="S62" s="440">
        <f t="shared" si="210"/>
        <v>0</v>
      </c>
      <c r="T62" s="440">
        <f t="shared" si="210"/>
        <v>0</v>
      </c>
      <c r="U62" s="440">
        <f t="shared" si="210"/>
        <v>0</v>
      </c>
      <c r="V62" s="440">
        <f t="shared" si="210"/>
        <v>0</v>
      </c>
      <c r="W62" s="440">
        <f t="shared" si="210"/>
        <v>0</v>
      </c>
      <c r="X62" s="440">
        <f t="shared" si="210"/>
        <v>-15.430272737068998</v>
      </c>
      <c r="Y62" s="440">
        <f t="shared" si="210"/>
        <v>-31.277154627166841</v>
      </c>
      <c r="Z62" s="440">
        <f t="shared" si="210"/>
        <v>-47.515478477437377</v>
      </c>
      <c r="AA62" s="440">
        <f t="shared" si="210"/>
        <v>-64.119802530902732</v>
      </c>
      <c r="AB62" s="440">
        <f t="shared" si="210"/>
        <v>-81.064465423168443</v>
      </c>
      <c r="AC62" s="458">
        <f t="shared" si="157"/>
        <v>-239.40717379574437</v>
      </c>
      <c r="AD62" s="440">
        <f t="shared" ref="AD62:AO62" si="211">AC47*AD69</f>
        <v>-97.576690135839016</v>
      </c>
      <c r="AE62" s="440">
        <f t="shared" si="211"/>
        <v>-118.90597071184443</v>
      </c>
      <c r="AF62" s="440">
        <f t="shared" si="211"/>
        <v>-136.03636531231055</v>
      </c>
      <c r="AG62" s="440">
        <f t="shared" si="211"/>
        <v>-153.81248874752532</v>
      </c>
      <c r="AH62" s="440">
        <f t="shared" si="211"/>
        <v>-172.1996794682403</v>
      </c>
      <c r="AI62" s="440">
        <f t="shared" si="211"/>
        <v>-191.16291115802855</v>
      </c>
      <c r="AJ62" s="440">
        <f t="shared" si="211"/>
        <v>-210.66686953360264</v>
      </c>
      <c r="AK62" s="440">
        <f t="shared" si="211"/>
        <v>-230.67602863126638</v>
      </c>
      <c r="AL62" s="440">
        <f t="shared" si="211"/>
        <v>-251.15472635627003</v>
      </c>
      <c r="AM62" s="440">
        <f t="shared" si="211"/>
        <v>-272.06723907804582</v>
      </c>
      <c r="AN62" s="440">
        <f t="shared" si="211"/>
        <v>-293.37785506128409</v>
      </c>
      <c r="AO62" s="440">
        <f t="shared" si="211"/>
        <v>-315.05094653053004</v>
      </c>
      <c r="AP62" s="458">
        <f t="shared" si="159"/>
        <v>-2442.6877707247872</v>
      </c>
      <c r="AQ62" s="440">
        <f t="shared" ref="AQ62:BB62" si="212">AP47*AQ69</f>
        <v>-335.89051152838505</v>
      </c>
      <c r="AR62" s="440">
        <f t="shared" si="212"/>
        <v>-365.59285695506833</v>
      </c>
      <c r="AS62" s="440">
        <f t="shared" si="212"/>
        <v>-379.17282398332583</v>
      </c>
      <c r="AT62" s="440">
        <f t="shared" si="212"/>
        <v>-393.38921406287653</v>
      </c>
      <c r="AU62" s="440">
        <f t="shared" si="212"/>
        <v>-408.20611570437086</v>
      </c>
      <c r="AV62" s="440">
        <f t="shared" si="212"/>
        <v>-423.58750684239499</v>
      </c>
      <c r="AW62" s="440">
        <f t="shared" si="212"/>
        <v>-439.49733023234421</v>
      </c>
      <c r="AX62" s="440">
        <f t="shared" si="212"/>
        <v>-455.89956725884844</v>
      </c>
      <c r="AY62" s="440">
        <f t="shared" si="212"/>
        <v>-472.75830996694407</v>
      </c>
      <c r="AZ62" s="440">
        <f t="shared" si="212"/>
        <v>-490.0378311376756</v>
      </c>
      <c r="BA62" s="440">
        <f t="shared" si="212"/>
        <v>-507.70265224077332</v>
      </c>
      <c r="BB62" s="440">
        <f t="shared" si="212"/>
        <v>-525.71760910846456</v>
      </c>
      <c r="BC62" s="458">
        <f t="shared" si="161"/>
        <v>-5197.452329021472</v>
      </c>
      <c r="BD62" s="440">
        <f t="shared" ref="BD62:BO62" si="213">BC47*BD69</f>
        <v>-542.72419458716456</v>
      </c>
      <c r="BE62" s="440">
        <f t="shared" si="213"/>
        <v>-577.77872205936899</v>
      </c>
      <c r="BF62" s="440">
        <f t="shared" si="213"/>
        <v>-586.4987020216289</v>
      </c>
      <c r="BG62" s="440">
        <f t="shared" si="213"/>
        <v>-595.9803682306391</v>
      </c>
      <c r="BH62" s="440">
        <f t="shared" si="213"/>
        <v>-606.18370248873691</v>
      </c>
      <c r="BI62" s="440">
        <f t="shared" si="213"/>
        <v>-617.06872660513295</v>
      </c>
      <c r="BJ62" s="440">
        <f t="shared" si="213"/>
        <v>-628.59558223881777</v>
      </c>
      <c r="BK62" s="440">
        <f t="shared" si="213"/>
        <v>-640.72460817636761</v>
      </c>
      <c r="BL62" s="440">
        <f t="shared" si="213"/>
        <v>-653.41641488250741</v>
      </c>
      <c r="BM62" s="440">
        <f t="shared" si="213"/>
        <v>-666.63195617552151</v>
      </c>
      <c r="BN62" s="440">
        <f t="shared" si="213"/>
        <v>-680.33259789404894</v>
      </c>
      <c r="BO62" s="440">
        <f t="shared" si="213"/>
        <v>-694.48018343636704</v>
      </c>
      <c r="BP62" s="458">
        <f t="shared" si="163"/>
        <v>-7490.4157587963027</v>
      </c>
      <c r="CF62" s="442" t="s">
        <v>1002</v>
      </c>
      <c r="CG62" s="13" t="s">
        <v>965</v>
      </c>
    </row>
    <row r="63" spans="1:85" s="440" customFormat="1" ht="10.199999999999999" outlineLevel="1">
      <c r="A63" s="442" t="s">
        <v>142</v>
      </c>
      <c r="B63" s="12" t="s">
        <v>502</v>
      </c>
      <c r="D63" s="440">
        <f t="shared" ref="D63:O63" si="214">C48*D70</f>
        <v>0</v>
      </c>
      <c r="E63" s="440">
        <f t="shared" si="214"/>
        <v>0</v>
      </c>
      <c r="F63" s="440">
        <f t="shared" si="214"/>
        <v>0</v>
      </c>
      <c r="G63" s="440">
        <f t="shared" si="214"/>
        <v>0</v>
      </c>
      <c r="H63" s="440">
        <f t="shared" si="214"/>
        <v>0</v>
      </c>
      <c r="I63" s="440">
        <f t="shared" si="214"/>
        <v>0</v>
      </c>
      <c r="J63" s="440">
        <f t="shared" si="214"/>
        <v>0</v>
      </c>
      <c r="K63" s="440">
        <f t="shared" si="214"/>
        <v>0</v>
      </c>
      <c r="L63" s="440">
        <f t="shared" si="214"/>
        <v>0</v>
      </c>
      <c r="M63" s="440">
        <f t="shared" si="214"/>
        <v>0</v>
      </c>
      <c r="N63" s="440">
        <f t="shared" si="214"/>
        <v>0</v>
      </c>
      <c r="O63" s="440">
        <f t="shared" si="214"/>
        <v>0</v>
      </c>
      <c r="P63" s="458">
        <f t="shared" si="155"/>
        <v>0</v>
      </c>
      <c r="Q63" s="440">
        <f t="shared" ref="Q63:AB63" si="215">P48*Q70</f>
        <v>0</v>
      </c>
      <c r="R63" s="440">
        <f t="shared" si="215"/>
        <v>0</v>
      </c>
      <c r="S63" s="440">
        <f t="shared" si="215"/>
        <v>0</v>
      </c>
      <c r="T63" s="440">
        <f t="shared" si="215"/>
        <v>0</v>
      </c>
      <c r="U63" s="440">
        <f t="shared" si="215"/>
        <v>0</v>
      </c>
      <c r="V63" s="440">
        <f t="shared" si="215"/>
        <v>0</v>
      </c>
      <c r="W63" s="440">
        <f t="shared" si="215"/>
        <v>0</v>
      </c>
      <c r="X63" s="440">
        <f t="shared" si="215"/>
        <v>-17.144747485632205</v>
      </c>
      <c r="Y63" s="440">
        <f t="shared" si="215"/>
        <v>-34.752394030185343</v>
      </c>
      <c r="Z63" s="440">
        <f t="shared" si="215"/>
        <v>-52.794976086041487</v>
      </c>
      <c r="AA63" s="440">
        <f t="shared" si="215"/>
        <v>-71.24422503433631</v>
      </c>
      <c r="AB63" s="440">
        <f t="shared" si="215"/>
        <v>-90.071628247964853</v>
      </c>
      <c r="AC63" s="458">
        <f t="shared" si="157"/>
        <v>-266.00797088416022</v>
      </c>
      <c r="AD63" s="440">
        <f t="shared" ref="AD63:AO63" si="216">AC48*AD70</f>
        <v>-108.41854459537657</v>
      </c>
      <c r="AE63" s="440">
        <f t="shared" si="216"/>
        <v>-132.11774523538261</v>
      </c>
      <c r="AF63" s="440">
        <f t="shared" si="216"/>
        <v>-151.15151701367822</v>
      </c>
      <c r="AG63" s="440">
        <f t="shared" si="216"/>
        <v>-170.90276527502797</v>
      </c>
      <c r="AH63" s="440">
        <f t="shared" si="216"/>
        <v>-191.3329771869335</v>
      </c>
      <c r="AI63" s="440">
        <f t="shared" si="216"/>
        <v>-212.40323462003153</v>
      </c>
      <c r="AJ63" s="440">
        <f t="shared" si="216"/>
        <v>-234.07429948178049</v>
      </c>
      <c r="AK63" s="440">
        <f t="shared" si="216"/>
        <v>-256.30669847918466</v>
      </c>
      <c r="AL63" s="440">
        <f t="shared" si="216"/>
        <v>-279.06080706252203</v>
      </c>
      <c r="AM63" s="440">
        <f t="shared" si="216"/>
        <v>-302.29693230893952</v>
      </c>
      <c r="AN63" s="440">
        <f t="shared" si="216"/>
        <v>-325.9753945125376</v>
      </c>
      <c r="AO63" s="440">
        <f t="shared" si="216"/>
        <v>-350.05660725614422</v>
      </c>
      <c r="AP63" s="458">
        <f t="shared" si="159"/>
        <v>-2714.097523027539</v>
      </c>
      <c r="AQ63" s="440">
        <f t="shared" ref="AQ63:BB63" si="217">AP48*AQ70</f>
        <v>-373.21167947598298</v>
      </c>
      <c r="AR63" s="440">
        <f t="shared" si="217"/>
        <v>-406.21428550563115</v>
      </c>
      <c r="AS63" s="440">
        <f t="shared" si="217"/>
        <v>-421.30313775925055</v>
      </c>
      <c r="AT63" s="440">
        <f t="shared" si="217"/>
        <v>-437.09912673652894</v>
      </c>
      <c r="AU63" s="440">
        <f t="shared" si="217"/>
        <v>-453.56235078263387</v>
      </c>
      <c r="AV63" s="440">
        <f t="shared" si="217"/>
        <v>-470.65278538043839</v>
      </c>
      <c r="AW63" s="440">
        <f t="shared" si="217"/>
        <v>-488.33036692482648</v>
      </c>
      <c r="AX63" s="440">
        <f t="shared" si="217"/>
        <v>-506.55507473205324</v>
      </c>
      <c r="AY63" s="440">
        <f t="shared" si="217"/>
        <v>-525.28701107438178</v>
      </c>
      <c r="AZ63" s="440">
        <f t="shared" si="217"/>
        <v>-544.48647904186134</v>
      </c>
      <c r="BA63" s="440">
        <f t="shared" si="217"/>
        <v>-564.1140580453033</v>
      </c>
      <c r="BB63" s="440">
        <f t="shared" si="217"/>
        <v>-584.13067678718221</v>
      </c>
      <c r="BC63" s="458">
        <f t="shared" si="161"/>
        <v>-5774.9470322460738</v>
      </c>
      <c r="BD63" s="440">
        <f t="shared" ref="BD63:BO63" si="218">BC48*BD70</f>
        <v>-603.02688287462672</v>
      </c>
      <c r="BE63" s="440">
        <f t="shared" si="218"/>
        <v>-641.97635784374268</v>
      </c>
      <c r="BF63" s="440">
        <f t="shared" si="218"/>
        <v>-651.66522446847591</v>
      </c>
      <c r="BG63" s="440">
        <f t="shared" si="218"/>
        <v>-662.20040914515403</v>
      </c>
      <c r="BH63" s="440">
        <f t="shared" si="218"/>
        <v>-673.53744720970701</v>
      </c>
      <c r="BI63" s="440">
        <f t="shared" si="218"/>
        <v>-685.63191845014705</v>
      </c>
      <c r="BJ63" s="440">
        <f t="shared" si="218"/>
        <v>-698.43953582090796</v>
      </c>
      <c r="BK63" s="440">
        <f t="shared" si="218"/>
        <v>-711.91623130707455</v>
      </c>
      <c r="BL63" s="440">
        <f t="shared" si="218"/>
        <v>-726.01823875834089</v>
      </c>
      <c r="BM63" s="440">
        <f t="shared" si="218"/>
        <v>-740.70217352835652</v>
      </c>
      <c r="BN63" s="440">
        <f t="shared" si="218"/>
        <v>-755.92510877116479</v>
      </c>
      <c r="BO63" s="440">
        <f t="shared" si="218"/>
        <v>-771.64464826262929</v>
      </c>
      <c r="BP63" s="458">
        <f t="shared" si="163"/>
        <v>-8322.6841764403271</v>
      </c>
      <c r="CF63" s="442" t="s">
        <v>1003</v>
      </c>
      <c r="CG63" s="13" t="s">
        <v>965</v>
      </c>
    </row>
    <row r="64" spans="1:85" s="440" customFormat="1" ht="10.199999999999999" outlineLevel="1">
      <c r="A64" s="442" t="s">
        <v>145</v>
      </c>
      <c r="B64" s="12" t="s">
        <v>502</v>
      </c>
      <c r="D64" s="440">
        <f t="shared" ref="D64:O64" si="219">C49*D71</f>
        <v>0</v>
      </c>
      <c r="E64" s="440">
        <f t="shared" si="219"/>
        <v>0</v>
      </c>
      <c r="F64" s="440">
        <f t="shared" si="219"/>
        <v>0</v>
      </c>
      <c r="G64" s="440">
        <f t="shared" si="219"/>
        <v>0</v>
      </c>
      <c r="H64" s="440">
        <f t="shared" si="219"/>
        <v>0</v>
      </c>
      <c r="I64" s="440">
        <f t="shared" si="219"/>
        <v>0</v>
      </c>
      <c r="J64" s="440">
        <f t="shared" si="219"/>
        <v>0</v>
      </c>
      <c r="K64" s="440">
        <f t="shared" si="219"/>
        <v>0</v>
      </c>
      <c r="L64" s="440">
        <f t="shared" si="219"/>
        <v>0</v>
      </c>
      <c r="M64" s="440">
        <f t="shared" si="219"/>
        <v>0</v>
      </c>
      <c r="N64" s="440">
        <f t="shared" si="219"/>
        <v>0</v>
      </c>
      <c r="O64" s="440">
        <f t="shared" si="219"/>
        <v>0</v>
      </c>
      <c r="P64" s="458">
        <f t="shared" si="155"/>
        <v>0</v>
      </c>
      <c r="Q64" s="440">
        <f t="shared" ref="Q64:AB64" si="220">P49*Q71</f>
        <v>0</v>
      </c>
      <c r="R64" s="440">
        <f t="shared" si="220"/>
        <v>0</v>
      </c>
      <c r="S64" s="440">
        <f t="shared" si="220"/>
        <v>0</v>
      </c>
      <c r="T64" s="440">
        <f t="shared" si="220"/>
        <v>0</v>
      </c>
      <c r="U64" s="440">
        <f t="shared" si="220"/>
        <v>0</v>
      </c>
      <c r="V64" s="440">
        <f t="shared" si="220"/>
        <v>0</v>
      </c>
      <c r="W64" s="440">
        <f t="shared" si="220"/>
        <v>0</v>
      </c>
      <c r="X64" s="440">
        <f t="shared" si="220"/>
        <v>-12.858560614224155</v>
      </c>
      <c r="Y64" s="440">
        <f t="shared" si="220"/>
        <v>-26.064295522639007</v>
      </c>
      <c r="Z64" s="440">
        <f t="shared" si="220"/>
        <v>-39.596232064531115</v>
      </c>
      <c r="AA64" s="440">
        <f t="shared" si="220"/>
        <v>-53.433168775752229</v>
      </c>
      <c r="AB64" s="440">
        <f t="shared" si="220"/>
        <v>-67.553721185973629</v>
      </c>
      <c r="AC64" s="458">
        <f t="shared" si="157"/>
        <v>-199.50597816312012</v>
      </c>
      <c r="AD64" s="440">
        <f t="shared" ref="AD64:AO64" si="221">AC49*AD71</f>
        <v>-81.313908446532452</v>
      </c>
      <c r="AE64" s="440">
        <f t="shared" si="221"/>
        <v>-99.088308926536939</v>
      </c>
      <c r="AF64" s="440">
        <f t="shared" si="221"/>
        <v>-113.36363776025868</v>
      </c>
      <c r="AG64" s="440">
        <f t="shared" si="221"/>
        <v>-128.17707395627099</v>
      </c>
      <c r="AH64" s="440">
        <f t="shared" si="221"/>
        <v>-143.49973289020011</v>
      </c>
      <c r="AI64" s="440">
        <f t="shared" si="221"/>
        <v>-159.30242596502364</v>
      </c>
      <c r="AJ64" s="440">
        <f t="shared" si="221"/>
        <v>-175.55572461133536</v>
      </c>
      <c r="AK64" s="440">
        <f t="shared" si="221"/>
        <v>-192.2300238593885</v>
      </c>
      <c r="AL64" s="440">
        <f t="shared" si="221"/>
        <v>-209.29560529689155</v>
      </c>
      <c r="AM64" s="440">
        <f t="shared" si="221"/>
        <v>-226.72269923170464</v>
      </c>
      <c r="AN64" s="440">
        <f t="shared" si="221"/>
        <v>-244.4815458844032</v>
      </c>
      <c r="AO64" s="440">
        <f t="shared" si="221"/>
        <v>-262.54245544210818</v>
      </c>
      <c r="AP64" s="458">
        <f t="shared" si="159"/>
        <v>-2035.5731422706542</v>
      </c>
      <c r="AQ64" s="440">
        <f t="shared" ref="AQ64:BB64" si="222">AP49*AQ71</f>
        <v>-279.90875960698725</v>
      </c>
      <c r="AR64" s="440">
        <f t="shared" si="222"/>
        <v>-304.66071412922338</v>
      </c>
      <c r="AS64" s="440">
        <f t="shared" si="222"/>
        <v>-315.97735331943795</v>
      </c>
      <c r="AT64" s="440">
        <f t="shared" si="222"/>
        <v>-327.82434505239678</v>
      </c>
      <c r="AU64" s="440">
        <f t="shared" si="222"/>
        <v>-340.17176308697537</v>
      </c>
      <c r="AV64" s="440">
        <f t="shared" si="222"/>
        <v>-352.98958903532878</v>
      </c>
      <c r="AW64" s="440">
        <f t="shared" si="222"/>
        <v>-366.24777519361987</v>
      </c>
      <c r="AX64" s="440">
        <f t="shared" si="222"/>
        <v>-379.91630604903986</v>
      </c>
      <c r="AY64" s="440">
        <f t="shared" si="222"/>
        <v>-393.96525830578639</v>
      </c>
      <c r="AZ64" s="440">
        <f t="shared" si="222"/>
        <v>-408.36485928139592</v>
      </c>
      <c r="BA64" s="440">
        <f t="shared" si="222"/>
        <v>-423.0855435339775</v>
      </c>
      <c r="BB64" s="440">
        <f t="shared" si="222"/>
        <v>-438.09800759038671</v>
      </c>
      <c r="BC64" s="458">
        <f t="shared" si="161"/>
        <v>-4331.2102741845556</v>
      </c>
      <c r="BD64" s="440">
        <f t="shared" ref="BD64:BO64" si="223">BC49*BD71</f>
        <v>-452.27016215597007</v>
      </c>
      <c r="BE64" s="440">
        <f t="shared" si="223"/>
        <v>-481.48226838280704</v>
      </c>
      <c r="BF64" s="440">
        <f t="shared" si="223"/>
        <v>-488.74891835135696</v>
      </c>
      <c r="BG64" s="440">
        <f t="shared" si="223"/>
        <v>-496.65030685886552</v>
      </c>
      <c r="BH64" s="440">
        <f t="shared" si="223"/>
        <v>-505.15308540728029</v>
      </c>
      <c r="BI64" s="440">
        <f t="shared" si="223"/>
        <v>-514.22393883761026</v>
      </c>
      <c r="BJ64" s="440">
        <f t="shared" si="223"/>
        <v>-523.82965186568094</v>
      </c>
      <c r="BK64" s="440">
        <f t="shared" si="223"/>
        <v>-533.93717348030589</v>
      </c>
      <c r="BL64" s="440">
        <f t="shared" si="223"/>
        <v>-544.51367906875566</v>
      </c>
      <c r="BM64" s="440">
        <f t="shared" si="223"/>
        <v>-555.52663014626739</v>
      </c>
      <c r="BN64" s="440">
        <f t="shared" si="223"/>
        <v>-566.94383157837365</v>
      </c>
      <c r="BO64" s="440">
        <f t="shared" si="223"/>
        <v>-578.73348619697197</v>
      </c>
      <c r="BP64" s="458">
        <f t="shared" si="163"/>
        <v>-6242.0131323302448</v>
      </c>
      <c r="CF64" s="442" t="s">
        <v>1004</v>
      </c>
      <c r="CG64" s="13" t="s">
        <v>965</v>
      </c>
    </row>
    <row r="65" spans="1:85" s="440" customFormat="1" ht="10.199999999999999" outlineLevel="1">
      <c r="A65" s="442" t="s">
        <v>620</v>
      </c>
      <c r="B65" s="12" t="s">
        <v>502</v>
      </c>
      <c r="D65" s="440">
        <f t="shared" ref="D65:O65" si="224">C50*D72</f>
        <v>0</v>
      </c>
      <c r="E65" s="440">
        <f t="shared" si="224"/>
        <v>0</v>
      </c>
      <c r="F65" s="440">
        <f t="shared" si="224"/>
        <v>0</v>
      </c>
      <c r="G65" s="440">
        <f t="shared" si="224"/>
        <v>0</v>
      </c>
      <c r="H65" s="440">
        <f t="shared" si="224"/>
        <v>0</v>
      </c>
      <c r="I65" s="440">
        <f t="shared" si="224"/>
        <v>0</v>
      </c>
      <c r="J65" s="440">
        <f t="shared" si="224"/>
        <v>0</v>
      </c>
      <c r="K65" s="440">
        <f t="shared" si="224"/>
        <v>0</v>
      </c>
      <c r="L65" s="440">
        <f t="shared" si="224"/>
        <v>0</v>
      </c>
      <c r="M65" s="440">
        <f t="shared" si="224"/>
        <v>0</v>
      </c>
      <c r="N65" s="440">
        <f t="shared" si="224"/>
        <v>0</v>
      </c>
      <c r="O65" s="440">
        <f t="shared" si="224"/>
        <v>0</v>
      </c>
      <c r="P65" s="458">
        <f t="shared" si="155"/>
        <v>0</v>
      </c>
      <c r="Q65" s="440">
        <f t="shared" ref="Q65:AB65" si="225">P50*Q72</f>
        <v>0</v>
      </c>
      <c r="R65" s="440">
        <f t="shared" si="225"/>
        <v>0</v>
      </c>
      <c r="S65" s="440">
        <f t="shared" si="225"/>
        <v>0</v>
      </c>
      <c r="T65" s="440">
        <f t="shared" si="225"/>
        <v>0</v>
      </c>
      <c r="U65" s="440">
        <f t="shared" si="225"/>
        <v>0</v>
      </c>
      <c r="V65" s="440">
        <f t="shared" si="225"/>
        <v>0</v>
      </c>
      <c r="W65" s="440">
        <f t="shared" si="225"/>
        <v>0</v>
      </c>
      <c r="X65" s="440">
        <f t="shared" si="225"/>
        <v>-16.073200767780193</v>
      </c>
      <c r="Y65" s="440">
        <f t="shared" si="225"/>
        <v>-32.580369403298761</v>
      </c>
      <c r="Z65" s="440">
        <f t="shared" si="225"/>
        <v>-49.495290080663892</v>
      </c>
      <c r="AA65" s="440">
        <f t="shared" si="225"/>
        <v>-66.791460969690277</v>
      </c>
      <c r="AB65" s="440">
        <f t="shared" si="225"/>
        <v>-84.442151482467054</v>
      </c>
      <c r="AC65" s="458">
        <f t="shared" si="157"/>
        <v>-249.38247270390019</v>
      </c>
      <c r="AD65" s="440">
        <f t="shared" ref="AD65:AO65" si="226">AC50*AD72</f>
        <v>-101.64238555816554</v>
      </c>
      <c r="AE65" s="440">
        <f t="shared" si="226"/>
        <v>-123.86038615817117</v>
      </c>
      <c r="AF65" s="440">
        <f t="shared" si="226"/>
        <v>-141.70454720032336</v>
      </c>
      <c r="AG65" s="440">
        <f t="shared" si="226"/>
        <v>-160.22134244533871</v>
      </c>
      <c r="AH65" s="440">
        <f t="shared" si="226"/>
        <v>-179.37466611275013</v>
      </c>
      <c r="AI65" s="440">
        <f t="shared" si="226"/>
        <v>-199.12803245627953</v>
      </c>
      <c r="AJ65" s="440">
        <f t="shared" si="226"/>
        <v>-219.4446557641692</v>
      </c>
      <c r="AK65" s="440">
        <f t="shared" si="226"/>
        <v>-240.28752982423561</v>
      </c>
      <c r="AL65" s="440">
        <f t="shared" si="226"/>
        <v>-261.6195066211144</v>
      </c>
      <c r="AM65" s="440">
        <f t="shared" si="226"/>
        <v>-283.40337403963076</v>
      </c>
      <c r="AN65" s="440">
        <f t="shared" si="226"/>
        <v>-305.60193235550395</v>
      </c>
      <c r="AO65" s="440">
        <f t="shared" si="226"/>
        <v>-328.17806930263521</v>
      </c>
      <c r="AP65" s="458">
        <f t="shared" si="159"/>
        <v>-2544.4664278383179</v>
      </c>
      <c r="AQ65" s="440">
        <f t="shared" ref="AQ65:BB65" si="227">AP50*AQ72</f>
        <v>-349.88594950873403</v>
      </c>
      <c r="AR65" s="440">
        <f t="shared" si="227"/>
        <v>-380.82589266152922</v>
      </c>
      <c r="AS65" s="440">
        <f t="shared" si="227"/>
        <v>-394.97169164929738</v>
      </c>
      <c r="AT65" s="440">
        <f t="shared" si="227"/>
        <v>-409.78043131549595</v>
      </c>
      <c r="AU65" s="440">
        <f t="shared" si="227"/>
        <v>-425.21470385871919</v>
      </c>
      <c r="AV65" s="440">
        <f t="shared" si="227"/>
        <v>-441.236986294161</v>
      </c>
      <c r="AW65" s="440">
        <f t="shared" si="227"/>
        <v>-457.80971899202478</v>
      </c>
      <c r="AX65" s="440">
        <f t="shared" si="227"/>
        <v>-474.89538256129993</v>
      </c>
      <c r="AY65" s="440">
        <f t="shared" si="227"/>
        <v>-492.45657288223293</v>
      </c>
      <c r="AZ65" s="440">
        <f t="shared" si="227"/>
        <v>-510.45607410174495</v>
      </c>
      <c r="BA65" s="440">
        <f t="shared" si="227"/>
        <v>-528.85692941747175</v>
      </c>
      <c r="BB65" s="440">
        <f t="shared" si="227"/>
        <v>-547.62250948798328</v>
      </c>
      <c r="BC65" s="458">
        <f t="shared" si="161"/>
        <v>-5414.0128427306936</v>
      </c>
      <c r="BD65" s="440">
        <f t="shared" ref="BD65:BO65" si="228">BC50*BD72</f>
        <v>-565.33770269496245</v>
      </c>
      <c r="BE65" s="440">
        <f t="shared" si="228"/>
        <v>-601.85283547850872</v>
      </c>
      <c r="BF65" s="440">
        <f t="shared" si="228"/>
        <v>-610.93614793919619</v>
      </c>
      <c r="BG65" s="440">
        <f t="shared" si="228"/>
        <v>-620.81288357358187</v>
      </c>
      <c r="BH65" s="440">
        <f t="shared" si="228"/>
        <v>-631.44135675910024</v>
      </c>
      <c r="BI65" s="440">
        <f t="shared" si="228"/>
        <v>-642.7799235470128</v>
      </c>
      <c r="BJ65" s="440">
        <f t="shared" si="228"/>
        <v>-654.78706483210124</v>
      </c>
      <c r="BK65" s="440">
        <f t="shared" si="228"/>
        <v>-667.42146685038233</v>
      </c>
      <c r="BL65" s="440">
        <f t="shared" si="228"/>
        <v>-680.64209883594447</v>
      </c>
      <c r="BM65" s="440">
        <f t="shared" si="228"/>
        <v>-694.40828768283427</v>
      </c>
      <c r="BN65" s="440">
        <f t="shared" si="228"/>
        <v>-708.67978947296706</v>
      </c>
      <c r="BO65" s="440">
        <f t="shared" si="228"/>
        <v>-723.41685774621487</v>
      </c>
      <c r="BP65" s="458">
        <f t="shared" si="163"/>
        <v>-7802.5164154128061</v>
      </c>
      <c r="CF65" s="442" t="s">
        <v>1005</v>
      </c>
      <c r="CG65" s="13" t="s">
        <v>965</v>
      </c>
    </row>
    <row r="66" spans="1:85" s="365" customFormat="1">
      <c r="A66" s="365" t="s">
        <v>708</v>
      </c>
      <c r="B66" s="454" t="s">
        <v>231</v>
      </c>
      <c r="P66" s="457"/>
      <c r="X66" s="365">
        <f t="shared" ref="X66:AB66" si="229">X59/W36</f>
        <v>-8.0146527777777782E-2</v>
      </c>
      <c r="Y66" s="365">
        <f t="shared" si="229"/>
        <v>-8.0155555555555563E-2</v>
      </c>
      <c r="Z66" s="365">
        <f t="shared" si="229"/>
        <v>-8.0164583333333345E-2</v>
      </c>
      <c r="AA66" s="365">
        <f t="shared" si="229"/>
        <v>-8.0173611111111112E-2</v>
      </c>
      <c r="AB66" s="365">
        <f t="shared" si="229"/>
        <v>-8.0182638888888907E-2</v>
      </c>
      <c r="AC66" s="457"/>
      <c r="AD66" s="365">
        <f t="shared" ref="AD66:AO66" si="230">AD59/AC36</f>
        <v>-8.0191666666666689E-2</v>
      </c>
      <c r="AE66" s="365">
        <f t="shared" si="230"/>
        <v>-8.0200694444444456E-2</v>
      </c>
      <c r="AF66" s="365">
        <f t="shared" si="230"/>
        <v>-8.0209722222222238E-2</v>
      </c>
      <c r="AG66" s="365">
        <f t="shared" si="230"/>
        <v>-8.0218750000000019E-2</v>
      </c>
      <c r="AH66" s="365">
        <f t="shared" si="230"/>
        <v>-8.0227777777777787E-2</v>
      </c>
      <c r="AI66" s="365">
        <f t="shared" si="230"/>
        <v>-8.0236805555555568E-2</v>
      </c>
      <c r="AJ66" s="365">
        <f t="shared" si="230"/>
        <v>-8.0245833333333336E-2</v>
      </c>
      <c r="AK66" s="365">
        <f t="shared" si="230"/>
        <v>-8.0254861111111131E-2</v>
      </c>
      <c r="AL66" s="365">
        <f t="shared" si="230"/>
        <v>-8.0263888888888898E-2</v>
      </c>
      <c r="AM66" s="365">
        <f t="shared" si="230"/>
        <v>-8.027291666666668E-2</v>
      </c>
      <c r="AN66" s="365">
        <f t="shared" si="230"/>
        <v>-8.0281944444444447E-2</v>
      </c>
      <c r="AO66" s="365">
        <f t="shared" si="230"/>
        <v>-8.0290972222222243E-2</v>
      </c>
      <c r="AP66" s="457"/>
      <c r="AQ66" s="365">
        <f t="shared" ref="AQ66:BB66" si="231">AQ59/AP36</f>
        <v>-8.0300000000000024E-2</v>
      </c>
      <c r="AR66" s="365">
        <f t="shared" si="231"/>
        <v>-8.0309027777777792E-2</v>
      </c>
      <c r="AS66" s="365">
        <f t="shared" si="231"/>
        <v>-8.0318055555555573E-2</v>
      </c>
      <c r="AT66" s="365">
        <f t="shared" si="231"/>
        <v>-8.0327083333333341E-2</v>
      </c>
      <c r="AU66" s="365">
        <f t="shared" si="231"/>
        <v>-8.0336111111111122E-2</v>
      </c>
      <c r="AV66" s="365">
        <f t="shared" si="231"/>
        <v>-8.0345138888888903E-2</v>
      </c>
      <c r="AW66" s="365">
        <f t="shared" si="231"/>
        <v>-8.0354166666666685E-2</v>
      </c>
      <c r="AX66" s="365">
        <f t="shared" si="231"/>
        <v>-8.0363194444444452E-2</v>
      </c>
      <c r="AY66" s="365">
        <f t="shared" si="231"/>
        <v>-8.0372222222222248E-2</v>
      </c>
      <c r="AZ66" s="365">
        <f t="shared" si="231"/>
        <v>-8.0381250000000001E-2</v>
      </c>
      <c r="BA66" s="365">
        <f t="shared" si="231"/>
        <v>-8.0390277777777797E-2</v>
      </c>
      <c r="BB66" s="365">
        <f t="shared" si="231"/>
        <v>-8.0399305555555578E-2</v>
      </c>
      <c r="BC66" s="457"/>
      <c r="BD66" s="365">
        <f t="shared" ref="BD66:BO66" si="232">BD59/BC36</f>
        <v>-8.0408333333333346E-2</v>
      </c>
      <c r="BE66" s="365">
        <f t="shared" si="232"/>
        <v>-8.0417361111111113E-2</v>
      </c>
      <c r="BF66" s="365">
        <f t="shared" si="232"/>
        <v>-8.0426388888888894E-2</v>
      </c>
      <c r="BG66" s="365">
        <f t="shared" si="232"/>
        <v>-8.043541666666669E-2</v>
      </c>
      <c r="BH66" s="365">
        <f t="shared" si="232"/>
        <v>-8.0444444444444457E-2</v>
      </c>
      <c r="BI66" s="365">
        <f t="shared" si="232"/>
        <v>-8.0453472222222225E-2</v>
      </c>
      <c r="BJ66" s="365">
        <f t="shared" si="232"/>
        <v>-8.0462499999999992E-2</v>
      </c>
      <c r="BK66" s="365">
        <f t="shared" si="232"/>
        <v>-8.0471527777777774E-2</v>
      </c>
      <c r="BL66" s="365">
        <f t="shared" si="232"/>
        <v>-8.0480555555555583E-2</v>
      </c>
      <c r="BM66" s="365">
        <f t="shared" si="232"/>
        <v>-8.0489583333333337E-2</v>
      </c>
      <c r="BN66" s="365">
        <f t="shared" si="232"/>
        <v>-8.0498611111111118E-2</v>
      </c>
      <c r="BO66" s="365">
        <f t="shared" si="232"/>
        <v>-8.0507638888888913E-2</v>
      </c>
      <c r="BP66" s="457"/>
      <c r="CF66" s="365" t="s">
        <v>1068</v>
      </c>
      <c r="CG66" s="454" t="s">
        <v>231</v>
      </c>
    </row>
    <row r="67" spans="1:85" s="365" customFormat="1">
      <c r="A67" s="370" t="s">
        <v>728</v>
      </c>
      <c r="B67" s="454" t="s">
        <v>231</v>
      </c>
      <c r="D67" s="365">
        <f>P67</f>
        <v>-8.3333333333333329E-2</v>
      </c>
      <c r="E67" s="365">
        <f t="shared" ref="E67:O67" si="233">D67</f>
        <v>-8.3333333333333329E-2</v>
      </c>
      <c r="F67" s="365">
        <f t="shared" si="233"/>
        <v>-8.3333333333333329E-2</v>
      </c>
      <c r="G67" s="365">
        <f t="shared" si="233"/>
        <v>-8.3333333333333329E-2</v>
      </c>
      <c r="H67" s="365">
        <f t="shared" si="233"/>
        <v>-8.3333333333333329E-2</v>
      </c>
      <c r="I67" s="365">
        <f t="shared" si="233"/>
        <v>-8.3333333333333329E-2</v>
      </c>
      <c r="J67" s="365">
        <f t="shared" si="233"/>
        <v>-8.3333333333333329E-2</v>
      </c>
      <c r="K67" s="365">
        <f t="shared" si="233"/>
        <v>-8.3333333333333329E-2</v>
      </c>
      <c r="L67" s="365">
        <f t="shared" si="233"/>
        <v>-8.3333333333333329E-2</v>
      </c>
      <c r="M67" s="365">
        <f t="shared" si="233"/>
        <v>-8.3333333333333329E-2</v>
      </c>
      <c r="N67" s="365">
        <f t="shared" si="233"/>
        <v>-8.3333333333333329E-2</v>
      </c>
      <c r="O67" s="365">
        <f t="shared" si="233"/>
        <v>-8.3333333333333329E-2</v>
      </c>
      <c r="P67" s="364">
        <f>-1/12</f>
        <v>-8.3333333333333329E-2</v>
      </c>
      <c r="Q67" s="365">
        <f>AC67</f>
        <v>-8.3333333333333329E-2</v>
      </c>
      <c r="R67" s="365">
        <f t="shared" ref="R67:AB67" si="234">Q67</f>
        <v>-8.3333333333333329E-2</v>
      </c>
      <c r="S67" s="365">
        <f t="shared" si="234"/>
        <v>-8.3333333333333329E-2</v>
      </c>
      <c r="T67" s="365">
        <f t="shared" si="234"/>
        <v>-8.3333333333333329E-2</v>
      </c>
      <c r="U67" s="365">
        <f t="shared" si="234"/>
        <v>-8.3333333333333329E-2</v>
      </c>
      <c r="V67" s="365">
        <f t="shared" si="234"/>
        <v>-8.3333333333333329E-2</v>
      </c>
      <c r="W67" s="365">
        <f t="shared" si="234"/>
        <v>-8.3333333333333329E-2</v>
      </c>
      <c r="X67" s="365">
        <f t="shared" si="234"/>
        <v>-8.3333333333333329E-2</v>
      </c>
      <c r="Y67" s="365">
        <f t="shared" si="234"/>
        <v>-8.3333333333333329E-2</v>
      </c>
      <c r="Z67" s="365">
        <f t="shared" si="234"/>
        <v>-8.3333333333333329E-2</v>
      </c>
      <c r="AA67" s="365">
        <f t="shared" si="234"/>
        <v>-8.3333333333333329E-2</v>
      </c>
      <c r="AB67" s="365">
        <f t="shared" si="234"/>
        <v>-8.3333333333333329E-2</v>
      </c>
      <c r="AC67" s="364">
        <f>P67</f>
        <v>-8.3333333333333329E-2</v>
      </c>
      <c r="AD67" s="365">
        <f>AP67</f>
        <v>-8.3333333333333329E-2</v>
      </c>
      <c r="AE67" s="365">
        <f t="shared" ref="AE67:AO67" si="235">AD67</f>
        <v>-8.3333333333333329E-2</v>
      </c>
      <c r="AF67" s="365">
        <f t="shared" si="235"/>
        <v>-8.3333333333333329E-2</v>
      </c>
      <c r="AG67" s="365">
        <f t="shared" si="235"/>
        <v>-8.3333333333333329E-2</v>
      </c>
      <c r="AH67" s="365">
        <f t="shared" si="235"/>
        <v>-8.3333333333333329E-2</v>
      </c>
      <c r="AI67" s="365">
        <f t="shared" si="235"/>
        <v>-8.3333333333333329E-2</v>
      </c>
      <c r="AJ67" s="365">
        <f t="shared" si="235"/>
        <v>-8.3333333333333329E-2</v>
      </c>
      <c r="AK67" s="365">
        <f t="shared" si="235"/>
        <v>-8.3333333333333329E-2</v>
      </c>
      <c r="AL67" s="365">
        <f t="shared" si="235"/>
        <v>-8.3333333333333329E-2</v>
      </c>
      <c r="AM67" s="365">
        <f t="shared" si="235"/>
        <v>-8.3333333333333329E-2</v>
      </c>
      <c r="AN67" s="365">
        <f t="shared" si="235"/>
        <v>-8.3333333333333329E-2</v>
      </c>
      <c r="AO67" s="365">
        <f t="shared" si="235"/>
        <v>-8.3333333333333329E-2</v>
      </c>
      <c r="AP67" s="364">
        <f>AC67</f>
        <v>-8.3333333333333329E-2</v>
      </c>
      <c r="AQ67" s="365">
        <f>BC67</f>
        <v>-8.3333333333333329E-2</v>
      </c>
      <c r="AR67" s="365">
        <f t="shared" ref="AR67:BB67" si="236">AQ67</f>
        <v>-8.3333333333333329E-2</v>
      </c>
      <c r="AS67" s="365">
        <f t="shared" si="236"/>
        <v>-8.3333333333333329E-2</v>
      </c>
      <c r="AT67" s="365">
        <f t="shared" si="236"/>
        <v>-8.3333333333333329E-2</v>
      </c>
      <c r="AU67" s="365">
        <f t="shared" si="236"/>
        <v>-8.3333333333333329E-2</v>
      </c>
      <c r="AV67" s="365">
        <f t="shared" si="236"/>
        <v>-8.3333333333333329E-2</v>
      </c>
      <c r="AW67" s="365">
        <f t="shared" si="236"/>
        <v>-8.3333333333333329E-2</v>
      </c>
      <c r="AX67" s="365">
        <f t="shared" si="236"/>
        <v>-8.3333333333333329E-2</v>
      </c>
      <c r="AY67" s="365">
        <f t="shared" si="236"/>
        <v>-8.3333333333333329E-2</v>
      </c>
      <c r="AZ67" s="365">
        <f t="shared" si="236"/>
        <v>-8.3333333333333329E-2</v>
      </c>
      <c r="BA67" s="365">
        <f t="shared" si="236"/>
        <v>-8.3333333333333329E-2</v>
      </c>
      <c r="BB67" s="365">
        <f t="shared" si="236"/>
        <v>-8.3333333333333329E-2</v>
      </c>
      <c r="BC67" s="364">
        <f>AP67</f>
        <v>-8.3333333333333329E-2</v>
      </c>
      <c r="BD67" s="365">
        <f>BP67</f>
        <v>-8.3333333333333329E-2</v>
      </c>
      <c r="BE67" s="365">
        <f t="shared" ref="BE67:BO67" si="237">BD67</f>
        <v>-8.3333333333333329E-2</v>
      </c>
      <c r="BF67" s="365">
        <f t="shared" si="237"/>
        <v>-8.3333333333333329E-2</v>
      </c>
      <c r="BG67" s="365">
        <f t="shared" si="237"/>
        <v>-8.3333333333333329E-2</v>
      </c>
      <c r="BH67" s="365">
        <f t="shared" si="237"/>
        <v>-8.3333333333333329E-2</v>
      </c>
      <c r="BI67" s="365">
        <f t="shared" si="237"/>
        <v>-8.3333333333333329E-2</v>
      </c>
      <c r="BJ67" s="365">
        <f t="shared" si="237"/>
        <v>-8.3333333333333329E-2</v>
      </c>
      <c r="BK67" s="365">
        <f t="shared" si="237"/>
        <v>-8.3333333333333329E-2</v>
      </c>
      <c r="BL67" s="365">
        <f t="shared" si="237"/>
        <v>-8.3333333333333329E-2</v>
      </c>
      <c r="BM67" s="365">
        <f t="shared" si="237"/>
        <v>-8.3333333333333329E-2</v>
      </c>
      <c r="BN67" s="365">
        <f t="shared" si="237"/>
        <v>-8.3333333333333329E-2</v>
      </c>
      <c r="BO67" s="365">
        <f t="shared" si="237"/>
        <v>-8.3333333333333329E-2</v>
      </c>
      <c r="BP67" s="364">
        <f>BC67</f>
        <v>-8.3333333333333329E-2</v>
      </c>
      <c r="CF67" s="370" t="s">
        <v>1069</v>
      </c>
      <c r="CG67" s="454" t="s">
        <v>231</v>
      </c>
    </row>
    <row r="68" spans="1:85" s="365" customFormat="1">
      <c r="A68" s="370" t="s">
        <v>706</v>
      </c>
      <c r="B68" s="454" t="s">
        <v>231</v>
      </c>
      <c r="P68" s="457"/>
      <c r="AC68" s="457"/>
      <c r="AP68" s="457"/>
      <c r="BC68" s="457"/>
      <c r="BP68" s="457"/>
      <c r="CF68" s="370" t="s">
        <v>1070</v>
      </c>
      <c r="CG68" s="454" t="s">
        <v>231</v>
      </c>
    </row>
    <row r="69" spans="1:85" s="454" customFormat="1" ht="10.199999999999999">
      <c r="A69" s="456" t="s">
        <v>138</v>
      </c>
      <c r="B69" s="454" t="s">
        <v>231</v>
      </c>
      <c r="D69" s="454">
        <f>P69</f>
        <v>-0.2</v>
      </c>
      <c r="E69" s="454">
        <f t="shared" ref="E69:O69" si="238">D69</f>
        <v>-0.2</v>
      </c>
      <c r="F69" s="454">
        <f t="shared" si="238"/>
        <v>-0.2</v>
      </c>
      <c r="G69" s="454">
        <f t="shared" si="238"/>
        <v>-0.2</v>
      </c>
      <c r="H69" s="454">
        <f t="shared" si="238"/>
        <v>-0.2</v>
      </c>
      <c r="I69" s="454">
        <f t="shared" si="238"/>
        <v>-0.2</v>
      </c>
      <c r="J69" s="454">
        <f t="shared" si="238"/>
        <v>-0.2</v>
      </c>
      <c r="K69" s="454">
        <f t="shared" si="238"/>
        <v>-0.2</v>
      </c>
      <c r="L69" s="454">
        <f t="shared" si="238"/>
        <v>-0.2</v>
      </c>
      <c r="M69" s="454">
        <f t="shared" si="238"/>
        <v>-0.2</v>
      </c>
      <c r="N69" s="454">
        <f t="shared" si="238"/>
        <v>-0.2</v>
      </c>
      <c r="O69" s="454">
        <f t="shared" si="238"/>
        <v>-0.2</v>
      </c>
      <c r="P69" s="455">
        <f>-1/5</f>
        <v>-0.2</v>
      </c>
      <c r="Q69" s="454">
        <f>AC69</f>
        <v>-0.2</v>
      </c>
      <c r="R69" s="454">
        <f t="shared" ref="R69:AB69" si="239">Q69</f>
        <v>-0.2</v>
      </c>
      <c r="S69" s="454">
        <f t="shared" si="239"/>
        <v>-0.2</v>
      </c>
      <c r="T69" s="454">
        <f t="shared" si="239"/>
        <v>-0.2</v>
      </c>
      <c r="U69" s="454">
        <f t="shared" si="239"/>
        <v>-0.2</v>
      </c>
      <c r="V69" s="454">
        <f t="shared" si="239"/>
        <v>-0.2</v>
      </c>
      <c r="W69" s="454">
        <f t="shared" si="239"/>
        <v>-0.2</v>
      </c>
      <c r="X69" s="454">
        <f t="shared" si="239"/>
        <v>-0.2</v>
      </c>
      <c r="Y69" s="454">
        <f t="shared" si="239"/>
        <v>-0.2</v>
      </c>
      <c r="Z69" s="454">
        <f t="shared" si="239"/>
        <v>-0.2</v>
      </c>
      <c r="AA69" s="454">
        <f t="shared" si="239"/>
        <v>-0.2</v>
      </c>
      <c r="AB69" s="454">
        <f t="shared" si="239"/>
        <v>-0.2</v>
      </c>
      <c r="AC69" s="455">
        <f>P69</f>
        <v>-0.2</v>
      </c>
      <c r="AD69" s="454">
        <f>AP69</f>
        <v>-0.2</v>
      </c>
      <c r="AE69" s="454">
        <f t="shared" ref="AE69:AO69" si="240">AD69</f>
        <v>-0.2</v>
      </c>
      <c r="AF69" s="454">
        <f t="shared" si="240"/>
        <v>-0.2</v>
      </c>
      <c r="AG69" s="454">
        <f t="shared" si="240"/>
        <v>-0.2</v>
      </c>
      <c r="AH69" s="454">
        <f t="shared" si="240"/>
        <v>-0.2</v>
      </c>
      <c r="AI69" s="454">
        <f t="shared" si="240"/>
        <v>-0.2</v>
      </c>
      <c r="AJ69" s="454">
        <f t="shared" si="240"/>
        <v>-0.2</v>
      </c>
      <c r="AK69" s="454">
        <f t="shared" si="240"/>
        <v>-0.2</v>
      </c>
      <c r="AL69" s="454">
        <f t="shared" si="240"/>
        <v>-0.2</v>
      </c>
      <c r="AM69" s="454">
        <f t="shared" si="240"/>
        <v>-0.2</v>
      </c>
      <c r="AN69" s="454">
        <f t="shared" si="240"/>
        <v>-0.2</v>
      </c>
      <c r="AO69" s="454">
        <f t="shared" si="240"/>
        <v>-0.2</v>
      </c>
      <c r="AP69" s="455">
        <f>AC69</f>
        <v>-0.2</v>
      </c>
      <c r="AQ69" s="454">
        <f>BC69</f>
        <v>-0.2</v>
      </c>
      <c r="AR69" s="454">
        <f t="shared" ref="AR69:BB69" si="241">AQ69</f>
        <v>-0.2</v>
      </c>
      <c r="AS69" s="454">
        <f t="shared" si="241"/>
        <v>-0.2</v>
      </c>
      <c r="AT69" s="454">
        <f t="shared" si="241"/>
        <v>-0.2</v>
      </c>
      <c r="AU69" s="454">
        <f t="shared" si="241"/>
        <v>-0.2</v>
      </c>
      <c r="AV69" s="454">
        <f t="shared" si="241"/>
        <v>-0.2</v>
      </c>
      <c r="AW69" s="454">
        <f t="shared" si="241"/>
        <v>-0.2</v>
      </c>
      <c r="AX69" s="454">
        <f t="shared" si="241"/>
        <v>-0.2</v>
      </c>
      <c r="AY69" s="454">
        <f t="shared" si="241"/>
        <v>-0.2</v>
      </c>
      <c r="AZ69" s="454">
        <f t="shared" si="241"/>
        <v>-0.2</v>
      </c>
      <c r="BA69" s="454">
        <f t="shared" si="241"/>
        <v>-0.2</v>
      </c>
      <c r="BB69" s="454">
        <f t="shared" si="241"/>
        <v>-0.2</v>
      </c>
      <c r="BC69" s="455">
        <f>AP69</f>
        <v>-0.2</v>
      </c>
      <c r="BD69" s="454">
        <f>BP69</f>
        <v>-0.2</v>
      </c>
      <c r="BE69" s="454">
        <f t="shared" ref="BE69:BO69" si="242">BD69</f>
        <v>-0.2</v>
      </c>
      <c r="BF69" s="454">
        <f t="shared" si="242"/>
        <v>-0.2</v>
      </c>
      <c r="BG69" s="454">
        <f t="shared" si="242"/>
        <v>-0.2</v>
      </c>
      <c r="BH69" s="454">
        <f t="shared" si="242"/>
        <v>-0.2</v>
      </c>
      <c r="BI69" s="454">
        <f t="shared" si="242"/>
        <v>-0.2</v>
      </c>
      <c r="BJ69" s="454">
        <f t="shared" si="242"/>
        <v>-0.2</v>
      </c>
      <c r="BK69" s="454">
        <f t="shared" si="242"/>
        <v>-0.2</v>
      </c>
      <c r="BL69" s="454">
        <f t="shared" si="242"/>
        <v>-0.2</v>
      </c>
      <c r="BM69" s="454">
        <f t="shared" si="242"/>
        <v>-0.2</v>
      </c>
      <c r="BN69" s="454">
        <f t="shared" si="242"/>
        <v>-0.2</v>
      </c>
      <c r="BO69" s="454">
        <f t="shared" si="242"/>
        <v>-0.2</v>
      </c>
      <c r="BP69" s="455">
        <f>BC69</f>
        <v>-0.2</v>
      </c>
      <c r="CF69" s="456" t="s">
        <v>1002</v>
      </c>
      <c r="CG69" s="454" t="s">
        <v>231</v>
      </c>
    </row>
    <row r="70" spans="1:85" s="454" customFormat="1" ht="10.199999999999999">
      <c r="A70" s="456" t="s">
        <v>142</v>
      </c>
      <c r="B70" s="454" t="s">
        <v>231</v>
      </c>
      <c r="D70" s="454">
        <f>P70</f>
        <v>-0.1111111111111111</v>
      </c>
      <c r="E70" s="454">
        <f t="shared" ref="E70:O70" si="243">D70</f>
        <v>-0.1111111111111111</v>
      </c>
      <c r="F70" s="454">
        <f t="shared" si="243"/>
        <v>-0.1111111111111111</v>
      </c>
      <c r="G70" s="454">
        <f t="shared" si="243"/>
        <v>-0.1111111111111111</v>
      </c>
      <c r="H70" s="454">
        <f t="shared" si="243"/>
        <v>-0.1111111111111111</v>
      </c>
      <c r="I70" s="454">
        <f t="shared" si="243"/>
        <v>-0.1111111111111111</v>
      </c>
      <c r="J70" s="454">
        <f t="shared" si="243"/>
        <v>-0.1111111111111111</v>
      </c>
      <c r="K70" s="454">
        <f t="shared" si="243"/>
        <v>-0.1111111111111111</v>
      </c>
      <c r="L70" s="454">
        <f t="shared" si="243"/>
        <v>-0.1111111111111111</v>
      </c>
      <c r="M70" s="454">
        <f t="shared" si="243"/>
        <v>-0.1111111111111111</v>
      </c>
      <c r="N70" s="454">
        <f t="shared" si="243"/>
        <v>-0.1111111111111111</v>
      </c>
      <c r="O70" s="454">
        <f t="shared" si="243"/>
        <v>-0.1111111111111111</v>
      </c>
      <c r="P70" s="455">
        <f>-1/9</f>
        <v>-0.1111111111111111</v>
      </c>
      <c r="Q70" s="454">
        <f>AC70</f>
        <v>-0.1111111111111111</v>
      </c>
      <c r="R70" s="454">
        <f t="shared" ref="R70:AB70" si="244">Q70</f>
        <v>-0.1111111111111111</v>
      </c>
      <c r="S70" s="454">
        <f t="shared" si="244"/>
        <v>-0.1111111111111111</v>
      </c>
      <c r="T70" s="454">
        <f t="shared" si="244"/>
        <v>-0.1111111111111111</v>
      </c>
      <c r="U70" s="454">
        <f t="shared" si="244"/>
        <v>-0.1111111111111111</v>
      </c>
      <c r="V70" s="454">
        <f t="shared" si="244"/>
        <v>-0.1111111111111111</v>
      </c>
      <c r="W70" s="454">
        <f t="shared" si="244"/>
        <v>-0.1111111111111111</v>
      </c>
      <c r="X70" s="454">
        <f t="shared" si="244"/>
        <v>-0.1111111111111111</v>
      </c>
      <c r="Y70" s="454">
        <f t="shared" si="244"/>
        <v>-0.1111111111111111</v>
      </c>
      <c r="Z70" s="454">
        <f t="shared" si="244"/>
        <v>-0.1111111111111111</v>
      </c>
      <c r="AA70" s="454">
        <f t="shared" si="244"/>
        <v>-0.1111111111111111</v>
      </c>
      <c r="AB70" s="454">
        <f t="shared" si="244"/>
        <v>-0.1111111111111111</v>
      </c>
      <c r="AC70" s="455">
        <f>P70</f>
        <v>-0.1111111111111111</v>
      </c>
      <c r="AD70" s="454">
        <f>AP70</f>
        <v>-0.1111111111111111</v>
      </c>
      <c r="AE70" s="454">
        <f t="shared" ref="AE70:AO70" si="245">AD70</f>
        <v>-0.1111111111111111</v>
      </c>
      <c r="AF70" s="454">
        <f t="shared" si="245"/>
        <v>-0.1111111111111111</v>
      </c>
      <c r="AG70" s="454">
        <f t="shared" si="245"/>
        <v>-0.1111111111111111</v>
      </c>
      <c r="AH70" s="454">
        <f t="shared" si="245"/>
        <v>-0.1111111111111111</v>
      </c>
      <c r="AI70" s="454">
        <f t="shared" si="245"/>
        <v>-0.1111111111111111</v>
      </c>
      <c r="AJ70" s="454">
        <f t="shared" si="245"/>
        <v>-0.1111111111111111</v>
      </c>
      <c r="AK70" s="454">
        <f t="shared" si="245"/>
        <v>-0.1111111111111111</v>
      </c>
      <c r="AL70" s="454">
        <f t="shared" si="245"/>
        <v>-0.1111111111111111</v>
      </c>
      <c r="AM70" s="454">
        <f t="shared" si="245"/>
        <v>-0.1111111111111111</v>
      </c>
      <c r="AN70" s="454">
        <f t="shared" si="245"/>
        <v>-0.1111111111111111</v>
      </c>
      <c r="AO70" s="454">
        <f t="shared" si="245"/>
        <v>-0.1111111111111111</v>
      </c>
      <c r="AP70" s="455">
        <f>AC70</f>
        <v>-0.1111111111111111</v>
      </c>
      <c r="AQ70" s="454">
        <f>BC70</f>
        <v>-0.1111111111111111</v>
      </c>
      <c r="AR70" s="454">
        <f t="shared" ref="AR70:BB70" si="246">AQ70</f>
        <v>-0.1111111111111111</v>
      </c>
      <c r="AS70" s="454">
        <f t="shared" si="246"/>
        <v>-0.1111111111111111</v>
      </c>
      <c r="AT70" s="454">
        <f t="shared" si="246"/>
        <v>-0.1111111111111111</v>
      </c>
      <c r="AU70" s="454">
        <f t="shared" si="246"/>
        <v>-0.1111111111111111</v>
      </c>
      <c r="AV70" s="454">
        <f t="shared" si="246"/>
        <v>-0.1111111111111111</v>
      </c>
      <c r="AW70" s="454">
        <f t="shared" si="246"/>
        <v>-0.1111111111111111</v>
      </c>
      <c r="AX70" s="454">
        <f t="shared" si="246"/>
        <v>-0.1111111111111111</v>
      </c>
      <c r="AY70" s="454">
        <f t="shared" si="246"/>
        <v>-0.1111111111111111</v>
      </c>
      <c r="AZ70" s="454">
        <f t="shared" si="246"/>
        <v>-0.1111111111111111</v>
      </c>
      <c r="BA70" s="454">
        <f t="shared" si="246"/>
        <v>-0.1111111111111111</v>
      </c>
      <c r="BB70" s="454">
        <f t="shared" si="246"/>
        <v>-0.1111111111111111</v>
      </c>
      <c r="BC70" s="455">
        <f>AP70</f>
        <v>-0.1111111111111111</v>
      </c>
      <c r="BD70" s="454">
        <f>BP70</f>
        <v>-0.1111111111111111</v>
      </c>
      <c r="BE70" s="454">
        <f t="shared" ref="BE70:BO70" si="247">BD70</f>
        <v>-0.1111111111111111</v>
      </c>
      <c r="BF70" s="454">
        <f t="shared" si="247"/>
        <v>-0.1111111111111111</v>
      </c>
      <c r="BG70" s="454">
        <f t="shared" si="247"/>
        <v>-0.1111111111111111</v>
      </c>
      <c r="BH70" s="454">
        <f t="shared" si="247"/>
        <v>-0.1111111111111111</v>
      </c>
      <c r="BI70" s="454">
        <f t="shared" si="247"/>
        <v>-0.1111111111111111</v>
      </c>
      <c r="BJ70" s="454">
        <f t="shared" si="247"/>
        <v>-0.1111111111111111</v>
      </c>
      <c r="BK70" s="454">
        <f t="shared" si="247"/>
        <v>-0.1111111111111111</v>
      </c>
      <c r="BL70" s="454">
        <f t="shared" si="247"/>
        <v>-0.1111111111111111</v>
      </c>
      <c r="BM70" s="454">
        <f t="shared" si="247"/>
        <v>-0.1111111111111111</v>
      </c>
      <c r="BN70" s="454">
        <f t="shared" si="247"/>
        <v>-0.1111111111111111</v>
      </c>
      <c r="BO70" s="454">
        <f t="shared" si="247"/>
        <v>-0.1111111111111111</v>
      </c>
      <c r="BP70" s="455">
        <f>BC70</f>
        <v>-0.1111111111111111</v>
      </c>
      <c r="CF70" s="456" t="s">
        <v>1003</v>
      </c>
      <c r="CG70" s="454" t="s">
        <v>231</v>
      </c>
    </row>
    <row r="71" spans="1:85" s="454" customFormat="1" ht="10.199999999999999">
      <c r="A71" s="456" t="s">
        <v>145</v>
      </c>
      <c r="B71" s="454" t="s">
        <v>231</v>
      </c>
      <c r="D71" s="454">
        <f>P71</f>
        <v>-8.3333333333333329E-2</v>
      </c>
      <c r="E71" s="454">
        <f t="shared" ref="E71:O71" si="248">D71</f>
        <v>-8.3333333333333329E-2</v>
      </c>
      <c r="F71" s="454">
        <f t="shared" si="248"/>
        <v>-8.3333333333333329E-2</v>
      </c>
      <c r="G71" s="454">
        <f t="shared" si="248"/>
        <v>-8.3333333333333329E-2</v>
      </c>
      <c r="H71" s="454">
        <f t="shared" si="248"/>
        <v>-8.3333333333333329E-2</v>
      </c>
      <c r="I71" s="454">
        <f t="shared" si="248"/>
        <v>-8.3333333333333329E-2</v>
      </c>
      <c r="J71" s="454">
        <f t="shared" si="248"/>
        <v>-8.3333333333333329E-2</v>
      </c>
      <c r="K71" s="454">
        <f t="shared" si="248"/>
        <v>-8.3333333333333329E-2</v>
      </c>
      <c r="L71" s="454">
        <f t="shared" si="248"/>
        <v>-8.3333333333333329E-2</v>
      </c>
      <c r="M71" s="454">
        <f t="shared" si="248"/>
        <v>-8.3333333333333329E-2</v>
      </c>
      <c r="N71" s="454">
        <f t="shared" si="248"/>
        <v>-8.3333333333333329E-2</v>
      </c>
      <c r="O71" s="454">
        <f t="shared" si="248"/>
        <v>-8.3333333333333329E-2</v>
      </c>
      <c r="P71" s="455">
        <f>-1/12</f>
        <v>-8.3333333333333329E-2</v>
      </c>
      <c r="Q71" s="454">
        <f>AC71</f>
        <v>-8.3333333333333329E-2</v>
      </c>
      <c r="R71" s="454">
        <f t="shared" ref="R71:AB71" si="249">Q71</f>
        <v>-8.3333333333333329E-2</v>
      </c>
      <c r="S71" s="454">
        <f t="shared" si="249"/>
        <v>-8.3333333333333329E-2</v>
      </c>
      <c r="T71" s="454">
        <f t="shared" si="249"/>
        <v>-8.3333333333333329E-2</v>
      </c>
      <c r="U71" s="454">
        <f t="shared" si="249"/>
        <v>-8.3333333333333329E-2</v>
      </c>
      <c r="V71" s="454">
        <f t="shared" si="249"/>
        <v>-8.3333333333333329E-2</v>
      </c>
      <c r="W71" s="454">
        <f t="shared" si="249"/>
        <v>-8.3333333333333329E-2</v>
      </c>
      <c r="X71" s="454">
        <f t="shared" si="249"/>
        <v>-8.3333333333333329E-2</v>
      </c>
      <c r="Y71" s="454">
        <f t="shared" si="249"/>
        <v>-8.3333333333333329E-2</v>
      </c>
      <c r="Z71" s="454">
        <f t="shared" si="249"/>
        <v>-8.3333333333333329E-2</v>
      </c>
      <c r="AA71" s="454">
        <f t="shared" si="249"/>
        <v>-8.3333333333333329E-2</v>
      </c>
      <c r="AB71" s="454">
        <f t="shared" si="249"/>
        <v>-8.3333333333333329E-2</v>
      </c>
      <c r="AC71" s="455">
        <f>P71</f>
        <v>-8.3333333333333329E-2</v>
      </c>
      <c r="AD71" s="454">
        <f>AP71</f>
        <v>-8.3333333333333329E-2</v>
      </c>
      <c r="AE71" s="454">
        <f t="shared" ref="AE71:AO71" si="250">AD71</f>
        <v>-8.3333333333333329E-2</v>
      </c>
      <c r="AF71" s="454">
        <f t="shared" si="250"/>
        <v>-8.3333333333333329E-2</v>
      </c>
      <c r="AG71" s="454">
        <f t="shared" si="250"/>
        <v>-8.3333333333333329E-2</v>
      </c>
      <c r="AH71" s="454">
        <f t="shared" si="250"/>
        <v>-8.3333333333333329E-2</v>
      </c>
      <c r="AI71" s="454">
        <f t="shared" si="250"/>
        <v>-8.3333333333333329E-2</v>
      </c>
      <c r="AJ71" s="454">
        <f t="shared" si="250"/>
        <v>-8.3333333333333329E-2</v>
      </c>
      <c r="AK71" s="454">
        <f t="shared" si="250"/>
        <v>-8.3333333333333329E-2</v>
      </c>
      <c r="AL71" s="454">
        <f t="shared" si="250"/>
        <v>-8.3333333333333329E-2</v>
      </c>
      <c r="AM71" s="454">
        <f t="shared" si="250"/>
        <v>-8.3333333333333329E-2</v>
      </c>
      <c r="AN71" s="454">
        <f t="shared" si="250"/>
        <v>-8.3333333333333329E-2</v>
      </c>
      <c r="AO71" s="454">
        <f t="shared" si="250"/>
        <v>-8.3333333333333329E-2</v>
      </c>
      <c r="AP71" s="455">
        <f>AC71</f>
        <v>-8.3333333333333329E-2</v>
      </c>
      <c r="AQ71" s="454">
        <f>BC71</f>
        <v>-8.3333333333333329E-2</v>
      </c>
      <c r="AR71" s="454">
        <f t="shared" ref="AR71:BB71" si="251">AQ71</f>
        <v>-8.3333333333333329E-2</v>
      </c>
      <c r="AS71" s="454">
        <f t="shared" si="251"/>
        <v>-8.3333333333333329E-2</v>
      </c>
      <c r="AT71" s="454">
        <f t="shared" si="251"/>
        <v>-8.3333333333333329E-2</v>
      </c>
      <c r="AU71" s="454">
        <f t="shared" si="251"/>
        <v>-8.3333333333333329E-2</v>
      </c>
      <c r="AV71" s="454">
        <f t="shared" si="251"/>
        <v>-8.3333333333333329E-2</v>
      </c>
      <c r="AW71" s="454">
        <f t="shared" si="251"/>
        <v>-8.3333333333333329E-2</v>
      </c>
      <c r="AX71" s="454">
        <f t="shared" si="251"/>
        <v>-8.3333333333333329E-2</v>
      </c>
      <c r="AY71" s="454">
        <f t="shared" si="251"/>
        <v>-8.3333333333333329E-2</v>
      </c>
      <c r="AZ71" s="454">
        <f t="shared" si="251"/>
        <v>-8.3333333333333329E-2</v>
      </c>
      <c r="BA71" s="454">
        <f t="shared" si="251"/>
        <v>-8.3333333333333329E-2</v>
      </c>
      <c r="BB71" s="454">
        <f t="shared" si="251"/>
        <v>-8.3333333333333329E-2</v>
      </c>
      <c r="BC71" s="455">
        <f>AP71</f>
        <v>-8.3333333333333329E-2</v>
      </c>
      <c r="BD71" s="454">
        <f>BP71</f>
        <v>-8.3333333333333329E-2</v>
      </c>
      <c r="BE71" s="454">
        <f t="shared" ref="BE71:BO71" si="252">BD71</f>
        <v>-8.3333333333333329E-2</v>
      </c>
      <c r="BF71" s="454">
        <f t="shared" si="252"/>
        <v>-8.3333333333333329E-2</v>
      </c>
      <c r="BG71" s="454">
        <f t="shared" si="252"/>
        <v>-8.3333333333333329E-2</v>
      </c>
      <c r="BH71" s="454">
        <f t="shared" si="252"/>
        <v>-8.3333333333333329E-2</v>
      </c>
      <c r="BI71" s="454">
        <f t="shared" si="252"/>
        <v>-8.3333333333333329E-2</v>
      </c>
      <c r="BJ71" s="454">
        <f t="shared" si="252"/>
        <v>-8.3333333333333329E-2</v>
      </c>
      <c r="BK71" s="454">
        <f t="shared" si="252"/>
        <v>-8.3333333333333329E-2</v>
      </c>
      <c r="BL71" s="454">
        <f t="shared" si="252"/>
        <v>-8.3333333333333329E-2</v>
      </c>
      <c r="BM71" s="454">
        <f t="shared" si="252"/>
        <v>-8.3333333333333329E-2</v>
      </c>
      <c r="BN71" s="454">
        <f t="shared" si="252"/>
        <v>-8.3333333333333329E-2</v>
      </c>
      <c r="BO71" s="454">
        <f t="shared" si="252"/>
        <v>-8.3333333333333329E-2</v>
      </c>
      <c r="BP71" s="455">
        <f>BC71</f>
        <v>-8.3333333333333329E-2</v>
      </c>
      <c r="CF71" s="456" t="s">
        <v>1004</v>
      </c>
      <c r="CG71" s="454" t="s">
        <v>231</v>
      </c>
    </row>
    <row r="72" spans="1:85" s="454" customFormat="1" ht="10.199999999999999">
      <c r="A72" s="456" t="s">
        <v>620</v>
      </c>
      <c r="B72" s="454" t="s">
        <v>231</v>
      </c>
      <c r="D72" s="454">
        <f>P72</f>
        <v>-4.1666666666666664E-2</v>
      </c>
      <c r="E72" s="454">
        <f t="shared" ref="E72:O72" si="253">D72</f>
        <v>-4.1666666666666664E-2</v>
      </c>
      <c r="F72" s="454">
        <f t="shared" si="253"/>
        <v>-4.1666666666666664E-2</v>
      </c>
      <c r="G72" s="454">
        <f t="shared" si="253"/>
        <v>-4.1666666666666664E-2</v>
      </c>
      <c r="H72" s="454">
        <f t="shared" si="253"/>
        <v>-4.1666666666666664E-2</v>
      </c>
      <c r="I72" s="454">
        <f t="shared" si="253"/>
        <v>-4.1666666666666664E-2</v>
      </c>
      <c r="J72" s="454">
        <f t="shared" si="253"/>
        <v>-4.1666666666666664E-2</v>
      </c>
      <c r="K72" s="454">
        <f t="shared" si="253"/>
        <v>-4.1666666666666664E-2</v>
      </c>
      <c r="L72" s="454">
        <f t="shared" si="253"/>
        <v>-4.1666666666666664E-2</v>
      </c>
      <c r="M72" s="454">
        <f t="shared" si="253"/>
        <v>-4.1666666666666664E-2</v>
      </c>
      <c r="N72" s="454">
        <f t="shared" si="253"/>
        <v>-4.1666666666666664E-2</v>
      </c>
      <c r="O72" s="454">
        <f t="shared" si="253"/>
        <v>-4.1666666666666664E-2</v>
      </c>
      <c r="P72" s="455">
        <f>-1/24</f>
        <v>-4.1666666666666664E-2</v>
      </c>
      <c r="Q72" s="454">
        <f>AC72</f>
        <v>-4.1666666666666664E-2</v>
      </c>
      <c r="R72" s="454">
        <f t="shared" ref="R72:AB72" si="254">Q72</f>
        <v>-4.1666666666666664E-2</v>
      </c>
      <c r="S72" s="454">
        <f t="shared" si="254"/>
        <v>-4.1666666666666664E-2</v>
      </c>
      <c r="T72" s="454">
        <f t="shared" si="254"/>
        <v>-4.1666666666666664E-2</v>
      </c>
      <c r="U72" s="454">
        <f t="shared" si="254"/>
        <v>-4.1666666666666664E-2</v>
      </c>
      <c r="V72" s="454">
        <f t="shared" si="254"/>
        <v>-4.1666666666666664E-2</v>
      </c>
      <c r="W72" s="454">
        <f t="shared" si="254"/>
        <v>-4.1666666666666664E-2</v>
      </c>
      <c r="X72" s="454">
        <f t="shared" si="254"/>
        <v>-4.1666666666666664E-2</v>
      </c>
      <c r="Y72" s="454">
        <f t="shared" si="254"/>
        <v>-4.1666666666666664E-2</v>
      </c>
      <c r="Z72" s="454">
        <f t="shared" si="254"/>
        <v>-4.1666666666666664E-2</v>
      </c>
      <c r="AA72" s="454">
        <f t="shared" si="254"/>
        <v>-4.1666666666666664E-2</v>
      </c>
      <c r="AB72" s="454">
        <f t="shared" si="254"/>
        <v>-4.1666666666666664E-2</v>
      </c>
      <c r="AC72" s="455">
        <f>P72</f>
        <v>-4.1666666666666664E-2</v>
      </c>
      <c r="AD72" s="454">
        <f>AP72</f>
        <v>-4.1666666666666664E-2</v>
      </c>
      <c r="AE72" s="454">
        <f t="shared" ref="AE72:AO72" si="255">AD72</f>
        <v>-4.1666666666666664E-2</v>
      </c>
      <c r="AF72" s="454">
        <f t="shared" si="255"/>
        <v>-4.1666666666666664E-2</v>
      </c>
      <c r="AG72" s="454">
        <f t="shared" si="255"/>
        <v>-4.1666666666666664E-2</v>
      </c>
      <c r="AH72" s="454">
        <f t="shared" si="255"/>
        <v>-4.1666666666666664E-2</v>
      </c>
      <c r="AI72" s="454">
        <f t="shared" si="255"/>
        <v>-4.1666666666666664E-2</v>
      </c>
      <c r="AJ72" s="454">
        <f t="shared" si="255"/>
        <v>-4.1666666666666664E-2</v>
      </c>
      <c r="AK72" s="454">
        <f t="shared" si="255"/>
        <v>-4.1666666666666664E-2</v>
      </c>
      <c r="AL72" s="454">
        <f t="shared" si="255"/>
        <v>-4.1666666666666664E-2</v>
      </c>
      <c r="AM72" s="454">
        <f t="shared" si="255"/>
        <v>-4.1666666666666664E-2</v>
      </c>
      <c r="AN72" s="454">
        <f t="shared" si="255"/>
        <v>-4.1666666666666664E-2</v>
      </c>
      <c r="AO72" s="454">
        <f t="shared" si="255"/>
        <v>-4.1666666666666664E-2</v>
      </c>
      <c r="AP72" s="455">
        <f>AC72</f>
        <v>-4.1666666666666664E-2</v>
      </c>
      <c r="AQ72" s="454">
        <f>BC72</f>
        <v>-4.1666666666666664E-2</v>
      </c>
      <c r="AR72" s="454">
        <f t="shared" ref="AR72:BB72" si="256">AQ72</f>
        <v>-4.1666666666666664E-2</v>
      </c>
      <c r="AS72" s="454">
        <f t="shared" si="256"/>
        <v>-4.1666666666666664E-2</v>
      </c>
      <c r="AT72" s="454">
        <f t="shared" si="256"/>
        <v>-4.1666666666666664E-2</v>
      </c>
      <c r="AU72" s="454">
        <f t="shared" si="256"/>
        <v>-4.1666666666666664E-2</v>
      </c>
      <c r="AV72" s="454">
        <f t="shared" si="256"/>
        <v>-4.1666666666666664E-2</v>
      </c>
      <c r="AW72" s="454">
        <f t="shared" si="256"/>
        <v>-4.1666666666666664E-2</v>
      </c>
      <c r="AX72" s="454">
        <f t="shared" si="256"/>
        <v>-4.1666666666666664E-2</v>
      </c>
      <c r="AY72" s="454">
        <f t="shared" si="256"/>
        <v>-4.1666666666666664E-2</v>
      </c>
      <c r="AZ72" s="454">
        <f t="shared" si="256"/>
        <v>-4.1666666666666664E-2</v>
      </c>
      <c r="BA72" s="454">
        <f t="shared" si="256"/>
        <v>-4.1666666666666664E-2</v>
      </c>
      <c r="BB72" s="454">
        <f t="shared" si="256"/>
        <v>-4.1666666666666664E-2</v>
      </c>
      <c r="BC72" s="455">
        <f>AP72</f>
        <v>-4.1666666666666664E-2</v>
      </c>
      <c r="BD72" s="454">
        <f>BP72</f>
        <v>-4.1666666666666664E-2</v>
      </c>
      <c r="BE72" s="454">
        <f t="shared" ref="BE72:BO72" si="257">BD72</f>
        <v>-4.1666666666666664E-2</v>
      </c>
      <c r="BF72" s="454">
        <f t="shared" si="257"/>
        <v>-4.1666666666666664E-2</v>
      </c>
      <c r="BG72" s="454">
        <f t="shared" si="257"/>
        <v>-4.1666666666666664E-2</v>
      </c>
      <c r="BH72" s="454">
        <f t="shared" si="257"/>
        <v>-4.1666666666666664E-2</v>
      </c>
      <c r="BI72" s="454">
        <f t="shared" si="257"/>
        <v>-4.1666666666666664E-2</v>
      </c>
      <c r="BJ72" s="454">
        <f t="shared" si="257"/>
        <v>-4.1666666666666664E-2</v>
      </c>
      <c r="BK72" s="454">
        <f t="shared" si="257"/>
        <v>-4.1666666666666664E-2</v>
      </c>
      <c r="BL72" s="454">
        <f t="shared" si="257"/>
        <v>-4.1666666666666664E-2</v>
      </c>
      <c r="BM72" s="454">
        <f t="shared" si="257"/>
        <v>-4.1666666666666664E-2</v>
      </c>
      <c r="BN72" s="454">
        <f t="shared" si="257"/>
        <v>-4.1666666666666664E-2</v>
      </c>
      <c r="BO72" s="454">
        <f t="shared" si="257"/>
        <v>-4.1666666666666664E-2</v>
      </c>
      <c r="BP72" s="455">
        <f>BC72</f>
        <v>-4.1666666666666664E-2</v>
      </c>
      <c r="CF72" s="456" t="s">
        <v>1005</v>
      </c>
      <c r="CG72" s="454" t="s">
        <v>231</v>
      </c>
    </row>
    <row r="73" spans="1:85">
      <c r="P73" s="349"/>
      <c r="AC73" s="349"/>
      <c r="AP73" s="349"/>
      <c r="BC73" s="349"/>
      <c r="BP73" s="349"/>
    </row>
    <row r="74" spans="1:85">
      <c r="A74" s="4" t="s">
        <v>613</v>
      </c>
      <c r="B74" s="445" t="s">
        <v>231</v>
      </c>
      <c r="C74" s="468">
        <f>'packages (indiv)'!C116</f>
        <v>0.5</v>
      </c>
      <c r="D74" s="433">
        <f>(P74-C74)/12+C74</f>
        <v>0.5</v>
      </c>
      <c r="E74" s="433">
        <f>(P74-C74)/12+D74</f>
        <v>0.5</v>
      </c>
      <c r="F74" s="433">
        <f>(P74-C74)/12+E74</f>
        <v>0.5</v>
      </c>
      <c r="G74" s="433">
        <f>(P74-C74)/12+F74</f>
        <v>0.5</v>
      </c>
      <c r="H74" s="433">
        <f>(P74-C74)/12+G74</f>
        <v>0.5</v>
      </c>
      <c r="I74" s="433">
        <f>(P74-C74)/12+H74</f>
        <v>0.5</v>
      </c>
      <c r="J74" s="433">
        <f>(P74-C74)/12+I74</f>
        <v>0.5</v>
      </c>
      <c r="K74" s="433">
        <f>(P74-C74)/12+J74</f>
        <v>0.5</v>
      </c>
      <c r="L74" s="433">
        <f>(P74-C74)/12+K74</f>
        <v>0.5</v>
      </c>
      <c r="M74" s="433">
        <f>(P74-C74)/12+L74</f>
        <v>0.5</v>
      </c>
      <c r="N74" s="433">
        <f>(P74-C74)/12+M74</f>
        <v>0.5</v>
      </c>
      <c r="O74" s="433">
        <f>(P74-C74)/12+N74</f>
        <v>0.5</v>
      </c>
      <c r="P74" s="444">
        <f>'packages (indiv)'!P116</f>
        <v>0.5</v>
      </c>
      <c r="Q74" s="433">
        <f>(AC74-P74)/12+P74</f>
        <v>0.5</v>
      </c>
      <c r="R74" s="433">
        <f>(AC74-P74)/12+Q74</f>
        <v>0.5</v>
      </c>
      <c r="S74" s="433">
        <f>(AC74-P74)/12+R74</f>
        <v>0.5</v>
      </c>
      <c r="T74" s="433">
        <f>(AC74-P74)/12+S74</f>
        <v>0.5</v>
      </c>
      <c r="U74" s="433">
        <f>(AC74-P74)/12+T74</f>
        <v>0.5</v>
      </c>
      <c r="V74" s="433">
        <f>(AC74-P74)/12+U74</f>
        <v>0.5</v>
      </c>
      <c r="W74" s="433">
        <f>(AC74-P74)/12+V74</f>
        <v>0.5</v>
      </c>
      <c r="X74" s="433">
        <f>(AC74-P74)/12+W74</f>
        <v>0.5</v>
      </c>
      <c r="Y74" s="433">
        <f>(AC74-P74)/12+X74</f>
        <v>0.5</v>
      </c>
      <c r="Z74" s="433">
        <f>(AC74-P74)/12+Y74</f>
        <v>0.5</v>
      </c>
      <c r="AA74" s="433">
        <f>(AC74-P74)/12+Z74</f>
        <v>0.5</v>
      </c>
      <c r="AB74" s="433">
        <f>(AC74-P74)/12+AA74</f>
        <v>0.5</v>
      </c>
      <c r="AC74" s="444">
        <f>'packages (indiv)'!AC116</f>
        <v>0.5</v>
      </c>
      <c r="AD74" s="433">
        <f>(AP74-AC74)/12+AC74</f>
        <v>0.5</v>
      </c>
      <c r="AE74" s="433">
        <f>(AP74-AC74)/12+AD74</f>
        <v>0.5</v>
      </c>
      <c r="AF74" s="433">
        <f>(AP74-AC74)/12+AE74</f>
        <v>0.5</v>
      </c>
      <c r="AG74" s="433">
        <f>(AP74-AC74)/12+AF74</f>
        <v>0.5</v>
      </c>
      <c r="AH74" s="433">
        <f>(AP74-AC74)/12+AG74</f>
        <v>0.5</v>
      </c>
      <c r="AI74" s="433">
        <f>(AP74-AC74)/12+AH74</f>
        <v>0.5</v>
      </c>
      <c r="AJ74" s="433">
        <f>(AP74-AC74)/12+AI74</f>
        <v>0.5</v>
      </c>
      <c r="AK74" s="433">
        <f>(AP74-AC74)/12+AJ74</f>
        <v>0.5</v>
      </c>
      <c r="AL74" s="433">
        <f>(AP74-AC74)/12+AK74</f>
        <v>0.5</v>
      </c>
      <c r="AM74" s="433">
        <f>(AP74-AC74)/12+AL74</f>
        <v>0.5</v>
      </c>
      <c r="AN74" s="433">
        <f>(AP74-AC74)/12+AM74</f>
        <v>0.5</v>
      </c>
      <c r="AO74" s="433">
        <f>(AP74-AC74)/12+AN74</f>
        <v>0.5</v>
      </c>
      <c r="AP74" s="444">
        <f>'packages (indiv)'!AP116</f>
        <v>0.5</v>
      </c>
      <c r="AQ74" s="433">
        <f>(BC74-AP74)/12+AP74</f>
        <v>0.5</v>
      </c>
      <c r="AR74" s="433">
        <f>(BC74-AP74)/12+AQ74</f>
        <v>0.5</v>
      </c>
      <c r="AS74" s="433">
        <f>(BC74-AP74)/12+AR74</f>
        <v>0.5</v>
      </c>
      <c r="AT74" s="433">
        <f>(BC74-AP74)/12+AS74</f>
        <v>0.5</v>
      </c>
      <c r="AU74" s="433">
        <f>(BC74-AP74)/12+AT74</f>
        <v>0.5</v>
      </c>
      <c r="AV74" s="433">
        <f>(BC74-AP74)/12+AU74</f>
        <v>0.5</v>
      </c>
      <c r="AW74" s="433">
        <f>(BC74-AP74)/12+AV74</f>
        <v>0.5</v>
      </c>
      <c r="AX74" s="433">
        <f>(BC74-AP74)/12+AW74</f>
        <v>0.5</v>
      </c>
      <c r="AY74" s="433">
        <f>(BC74-AP74)/12+AX74</f>
        <v>0.5</v>
      </c>
      <c r="AZ74" s="433">
        <f>(BC74-AP74)/12+AY74</f>
        <v>0.5</v>
      </c>
      <c r="BA74" s="433">
        <f>(BC74-AP74)/12+AZ74</f>
        <v>0.5</v>
      </c>
      <c r="BB74" s="433">
        <f>(BC74-AP74)/12+BA74</f>
        <v>0.5</v>
      </c>
      <c r="BC74" s="444">
        <f>'packages (indiv)'!BC116</f>
        <v>0.5</v>
      </c>
      <c r="BD74" s="433">
        <f>(BP74-BC74)/12+BC74</f>
        <v>0.5</v>
      </c>
      <c r="BE74" s="433">
        <f>(BP74-BC74)/12+BD74</f>
        <v>0.5</v>
      </c>
      <c r="BF74" s="433">
        <f>(BP74-BC74)/12+BE74</f>
        <v>0.5</v>
      </c>
      <c r="BG74" s="433">
        <f>(BP74-BC74)/12+BF74</f>
        <v>0.5</v>
      </c>
      <c r="BH74" s="433">
        <f>(BP74-BC74)/12+BG74</f>
        <v>0.5</v>
      </c>
      <c r="BI74" s="433">
        <f>(BP74-BC74)/12+BH74</f>
        <v>0.5</v>
      </c>
      <c r="BJ74" s="433">
        <f>(BP74-BC74)/12+BI74</f>
        <v>0.5</v>
      </c>
      <c r="BK74" s="433">
        <f>(BP74-BC74)/12+BJ74</f>
        <v>0.5</v>
      </c>
      <c r="BL74" s="433">
        <f>(BP74-BC74)/12+BK74</f>
        <v>0.5</v>
      </c>
      <c r="BM74" s="433">
        <f>(BP74-BC74)/12+BL74</f>
        <v>0.5</v>
      </c>
      <c r="BN74" s="433">
        <f>(BP74-BC74)/12+BM74</f>
        <v>0.5</v>
      </c>
      <c r="BO74" s="433">
        <f>(BP74-BC74)/12+BN74</f>
        <v>0.5</v>
      </c>
      <c r="BP74" s="444">
        <f>'packages (indiv)'!BP116</f>
        <v>0.5</v>
      </c>
      <c r="CF74" s="4" t="s">
        <v>1010</v>
      </c>
      <c r="CG74" s="445" t="s">
        <v>231</v>
      </c>
    </row>
    <row r="75" spans="1:85" s="293" customFormat="1">
      <c r="A75" s="293" t="s">
        <v>705</v>
      </c>
      <c r="B75" s="295" t="s">
        <v>231</v>
      </c>
      <c r="C75" s="68"/>
      <c r="D75" s="293">
        <f>P75</f>
        <v>0.4</v>
      </c>
      <c r="E75" s="293">
        <f t="shared" ref="E75:O75" si="258">D75</f>
        <v>0.4</v>
      </c>
      <c r="F75" s="293">
        <f t="shared" si="258"/>
        <v>0.4</v>
      </c>
      <c r="G75" s="293">
        <f t="shared" si="258"/>
        <v>0.4</v>
      </c>
      <c r="H75" s="293">
        <f t="shared" si="258"/>
        <v>0.4</v>
      </c>
      <c r="I75" s="293">
        <f t="shared" si="258"/>
        <v>0.4</v>
      </c>
      <c r="J75" s="293">
        <f t="shared" si="258"/>
        <v>0.4</v>
      </c>
      <c r="K75" s="293">
        <f t="shared" si="258"/>
        <v>0.4</v>
      </c>
      <c r="L75" s="293">
        <f t="shared" si="258"/>
        <v>0.4</v>
      </c>
      <c r="M75" s="293">
        <f t="shared" si="258"/>
        <v>0.4</v>
      </c>
      <c r="N75" s="293">
        <f t="shared" si="258"/>
        <v>0.4</v>
      </c>
      <c r="O75" s="293">
        <f t="shared" si="258"/>
        <v>0.4</v>
      </c>
      <c r="P75" s="350">
        <v>0.4</v>
      </c>
      <c r="Q75" s="293">
        <f>AC75</f>
        <v>0.4</v>
      </c>
      <c r="R75" s="293">
        <f t="shared" ref="R75:AB75" si="259">Q75</f>
        <v>0.4</v>
      </c>
      <c r="S75" s="293">
        <f t="shared" si="259"/>
        <v>0.4</v>
      </c>
      <c r="T75" s="293">
        <f t="shared" si="259"/>
        <v>0.4</v>
      </c>
      <c r="U75" s="293">
        <f t="shared" si="259"/>
        <v>0.4</v>
      </c>
      <c r="V75" s="293">
        <f t="shared" si="259"/>
        <v>0.4</v>
      </c>
      <c r="W75" s="293">
        <f t="shared" si="259"/>
        <v>0.4</v>
      </c>
      <c r="X75" s="293">
        <f t="shared" si="259"/>
        <v>0.4</v>
      </c>
      <c r="Y75" s="293">
        <f t="shared" si="259"/>
        <v>0.4</v>
      </c>
      <c r="Z75" s="293">
        <f t="shared" si="259"/>
        <v>0.4</v>
      </c>
      <c r="AA75" s="293">
        <f t="shared" si="259"/>
        <v>0.4</v>
      </c>
      <c r="AB75" s="293">
        <f t="shared" si="259"/>
        <v>0.4</v>
      </c>
      <c r="AC75" s="350">
        <f>P75</f>
        <v>0.4</v>
      </c>
      <c r="AD75" s="293">
        <f>AP75</f>
        <v>0.4</v>
      </c>
      <c r="AE75" s="293">
        <f t="shared" ref="AE75:AO75" si="260">AD75</f>
        <v>0.4</v>
      </c>
      <c r="AF75" s="293">
        <f t="shared" si="260"/>
        <v>0.4</v>
      </c>
      <c r="AG75" s="293">
        <f t="shared" si="260"/>
        <v>0.4</v>
      </c>
      <c r="AH75" s="293">
        <f t="shared" si="260"/>
        <v>0.4</v>
      </c>
      <c r="AI75" s="293">
        <f t="shared" si="260"/>
        <v>0.4</v>
      </c>
      <c r="AJ75" s="293">
        <f t="shared" si="260"/>
        <v>0.4</v>
      </c>
      <c r="AK75" s="293">
        <f t="shared" si="260"/>
        <v>0.4</v>
      </c>
      <c r="AL75" s="293">
        <f t="shared" si="260"/>
        <v>0.4</v>
      </c>
      <c r="AM75" s="293">
        <f t="shared" si="260"/>
        <v>0.4</v>
      </c>
      <c r="AN75" s="293">
        <f t="shared" si="260"/>
        <v>0.4</v>
      </c>
      <c r="AO75" s="293">
        <f t="shared" si="260"/>
        <v>0.4</v>
      </c>
      <c r="AP75" s="350">
        <f>AC75</f>
        <v>0.4</v>
      </c>
      <c r="AQ75" s="293">
        <f>BC75</f>
        <v>0.4</v>
      </c>
      <c r="AR75" s="293">
        <f t="shared" ref="AR75:BB75" si="261">AQ75</f>
        <v>0.4</v>
      </c>
      <c r="AS75" s="293">
        <f t="shared" si="261"/>
        <v>0.4</v>
      </c>
      <c r="AT75" s="293">
        <f t="shared" si="261"/>
        <v>0.4</v>
      </c>
      <c r="AU75" s="293">
        <f t="shared" si="261"/>
        <v>0.4</v>
      </c>
      <c r="AV75" s="293">
        <f t="shared" si="261"/>
        <v>0.4</v>
      </c>
      <c r="AW75" s="293">
        <f t="shared" si="261"/>
        <v>0.4</v>
      </c>
      <c r="AX75" s="293">
        <f t="shared" si="261"/>
        <v>0.4</v>
      </c>
      <c r="AY75" s="293">
        <f t="shared" si="261"/>
        <v>0.4</v>
      </c>
      <c r="AZ75" s="293">
        <f t="shared" si="261"/>
        <v>0.4</v>
      </c>
      <c r="BA75" s="293">
        <f t="shared" si="261"/>
        <v>0.4</v>
      </c>
      <c r="BB75" s="293">
        <f t="shared" si="261"/>
        <v>0.4</v>
      </c>
      <c r="BC75" s="350">
        <f>AP75</f>
        <v>0.4</v>
      </c>
      <c r="BD75" s="293">
        <f>BP75</f>
        <v>0.4</v>
      </c>
      <c r="BE75" s="293">
        <f t="shared" ref="BE75:BO75" si="262">BD75</f>
        <v>0.4</v>
      </c>
      <c r="BF75" s="293">
        <f t="shared" si="262"/>
        <v>0.4</v>
      </c>
      <c r="BG75" s="293">
        <f t="shared" si="262"/>
        <v>0.4</v>
      </c>
      <c r="BH75" s="293">
        <f t="shared" si="262"/>
        <v>0.4</v>
      </c>
      <c r="BI75" s="293">
        <f t="shared" si="262"/>
        <v>0.4</v>
      </c>
      <c r="BJ75" s="293">
        <f t="shared" si="262"/>
        <v>0.4</v>
      </c>
      <c r="BK75" s="293">
        <f t="shared" si="262"/>
        <v>0.4</v>
      </c>
      <c r="BL75" s="293">
        <f t="shared" si="262"/>
        <v>0.4</v>
      </c>
      <c r="BM75" s="293">
        <f t="shared" si="262"/>
        <v>0.4</v>
      </c>
      <c r="BN75" s="293">
        <f t="shared" si="262"/>
        <v>0.4</v>
      </c>
      <c r="BO75" s="293">
        <f t="shared" si="262"/>
        <v>0.4</v>
      </c>
      <c r="BP75" s="350">
        <f>BC75</f>
        <v>0.4</v>
      </c>
      <c r="CF75" s="293" t="s">
        <v>1071</v>
      </c>
      <c r="CG75" s="295" t="s">
        <v>231</v>
      </c>
    </row>
    <row r="76" spans="1:85" s="293" customFormat="1">
      <c r="A76" s="293" t="s">
        <v>704</v>
      </c>
      <c r="B76" s="295" t="s">
        <v>231</v>
      </c>
      <c r="C76" s="68"/>
      <c r="D76" s="293">
        <f>P76</f>
        <v>0</v>
      </c>
      <c r="E76" s="293">
        <f t="shared" ref="E76:O76" si="263">D76</f>
        <v>0</v>
      </c>
      <c r="F76" s="293">
        <f t="shared" si="263"/>
        <v>0</v>
      </c>
      <c r="G76" s="293">
        <f t="shared" si="263"/>
        <v>0</v>
      </c>
      <c r="H76" s="293">
        <f t="shared" si="263"/>
        <v>0</v>
      </c>
      <c r="I76" s="293">
        <f t="shared" si="263"/>
        <v>0</v>
      </c>
      <c r="J76" s="293">
        <f t="shared" si="263"/>
        <v>0</v>
      </c>
      <c r="K76" s="293">
        <f t="shared" si="263"/>
        <v>0</v>
      </c>
      <c r="L76" s="293">
        <f t="shared" si="263"/>
        <v>0</v>
      </c>
      <c r="M76" s="293">
        <f t="shared" si="263"/>
        <v>0</v>
      </c>
      <c r="N76" s="293">
        <f t="shared" si="263"/>
        <v>0</v>
      </c>
      <c r="O76" s="293">
        <f t="shared" si="263"/>
        <v>0</v>
      </c>
      <c r="P76" s="350">
        <v>0</v>
      </c>
      <c r="Q76" s="293">
        <f>AC76</f>
        <v>0</v>
      </c>
      <c r="R76" s="293">
        <f t="shared" ref="R76:AB76" si="264">Q76</f>
        <v>0</v>
      </c>
      <c r="S76" s="293">
        <f t="shared" si="264"/>
        <v>0</v>
      </c>
      <c r="T76" s="293">
        <f t="shared" si="264"/>
        <v>0</v>
      </c>
      <c r="U76" s="293">
        <f t="shared" si="264"/>
        <v>0</v>
      </c>
      <c r="V76" s="293">
        <f t="shared" si="264"/>
        <v>0</v>
      </c>
      <c r="W76" s="293">
        <f t="shared" si="264"/>
        <v>0</v>
      </c>
      <c r="X76" s="293">
        <f t="shared" si="264"/>
        <v>0</v>
      </c>
      <c r="Y76" s="293">
        <f t="shared" si="264"/>
        <v>0</v>
      </c>
      <c r="Z76" s="293">
        <f t="shared" si="264"/>
        <v>0</v>
      </c>
      <c r="AA76" s="293">
        <f t="shared" si="264"/>
        <v>0</v>
      </c>
      <c r="AB76" s="293">
        <f t="shared" si="264"/>
        <v>0</v>
      </c>
      <c r="AC76" s="350">
        <f>P76</f>
        <v>0</v>
      </c>
      <c r="AD76" s="293">
        <f>AP76</f>
        <v>0</v>
      </c>
      <c r="AE76" s="293">
        <f t="shared" ref="AE76:AO76" si="265">AD76</f>
        <v>0</v>
      </c>
      <c r="AF76" s="293">
        <f t="shared" si="265"/>
        <v>0</v>
      </c>
      <c r="AG76" s="293">
        <f t="shared" si="265"/>
        <v>0</v>
      </c>
      <c r="AH76" s="293">
        <f t="shared" si="265"/>
        <v>0</v>
      </c>
      <c r="AI76" s="293">
        <f t="shared" si="265"/>
        <v>0</v>
      </c>
      <c r="AJ76" s="293">
        <f t="shared" si="265"/>
        <v>0</v>
      </c>
      <c r="AK76" s="293">
        <f t="shared" si="265"/>
        <v>0</v>
      </c>
      <c r="AL76" s="293">
        <f t="shared" si="265"/>
        <v>0</v>
      </c>
      <c r="AM76" s="293">
        <f t="shared" si="265"/>
        <v>0</v>
      </c>
      <c r="AN76" s="293">
        <f t="shared" si="265"/>
        <v>0</v>
      </c>
      <c r="AO76" s="293">
        <f t="shared" si="265"/>
        <v>0</v>
      </c>
      <c r="AP76" s="350">
        <f>AC76</f>
        <v>0</v>
      </c>
      <c r="AQ76" s="293">
        <f>BC76</f>
        <v>0</v>
      </c>
      <c r="AR76" s="293">
        <f t="shared" ref="AR76:BB76" si="266">AQ76</f>
        <v>0</v>
      </c>
      <c r="AS76" s="293">
        <f t="shared" si="266"/>
        <v>0</v>
      </c>
      <c r="AT76" s="293">
        <f t="shared" si="266"/>
        <v>0</v>
      </c>
      <c r="AU76" s="293">
        <f t="shared" si="266"/>
        <v>0</v>
      </c>
      <c r="AV76" s="293">
        <f t="shared" si="266"/>
        <v>0</v>
      </c>
      <c r="AW76" s="293">
        <f t="shared" si="266"/>
        <v>0</v>
      </c>
      <c r="AX76" s="293">
        <f t="shared" si="266"/>
        <v>0</v>
      </c>
      <c r="AY76" s="293">
        <f t="shared" si="266"/>
        <v>0</v>
      </c>
      <c r="AZ76" s="293">
        <f t="shared" si="266"/>
        <v>0</v>
      </c>
      <c r="BA76" s="293">
        <f t="shared" si="266"/>
        <v>0</v>
      </c>
      <c r="BB76" s="293">
        <f t="shared" si="266"/>
        <v>0</v>
      </c>
      <c r="BC76" s="350">
        <f>AP76</f>
        <v>0</v>
      </c>
      <c r="BD76" s="293">
        <f>BP76</f>
        <v>0</v>
      </c>
      <c r="BE76" s="293">
        <f t="shared" ref="BE76:BO76" si="267">BD76</f>
        <v>0</v>
      </c>
      <c r="BF76" s="293">
        <f t="shared" si="267"/>
        <v>0</v>
      </c>
      <c r="BG76" s="293">
        <f t="shared" si="267"/>
        <v>0</v>
      </c>
      <c r="BH76" s="293">
        <f t="shared" si="267"/>
        <v>0</v>
      </c>
      <c r="BI76" s="293">
        <f t="shared" si="267"/>
        <v>0</v>
      </c>
      <c r="BJ76" s="293">
        <f t="shared" si="267"/>
        <v>0</v>
      </c>
      <c r="BK76" s="293">
        <f t="shared" si="267"/>
        <v>0</v>
      </c>
      <c r="BL76" s="293">
        <f t="shared" si="267"/>
        <v>0</v>
      </c>
      <c r="BM76" s="293">
        <f t="shared" si="267"/>
        <v>0</v>
      </c>
      <c r="BN76" s="293">
        <f t="shared" si="267"/>
        <v>0</v>
      </c>
      <c r="BO76" s="293">
        <f t="shared" si="267"/>
        <v>0</v>
      </c>
      <c r="BP76" s="350">
        <f>BC76</f>
        <v>0</v>
      </c>
      <c r="CF76" s="293" t="s">
        <v>1072</v>
      </c>
      <c r="CG76" s="295" t="s">
        <v>231</v>
      </c>
    </row>
    <row r="77" spans="1:85" s="451" customFormat="1">
      <c r="A77" s="451" t="s">
        <v>703</v>
      </c>
      <c r="B77" s="453" t="s">
        <v>231</v>
      </c>
      <c r="D77" s="451">
        <f t="shared" ref="D77:O77" si="268">D78*D39+D79*D40</f>
        <v>-0.16545416666666668</v>
      </c>
      <c r="E77" s="451">
        <f t="shared" si="268"/>
        <v>-0.16540833333333335</v>
      </c>
      <c r="F77" s="451">
        <f t="shared" si="268"/>
        <v>-0.1653625</v>
      </c>
      <c r="G77" s="451">
        <f t="shared" si="268"/>
        <v>-0.16531666666666667</v>
      </c>
      <c r="H77" s="451">
        <f t="shared" si="268"/>
        <v>-0.16527083333333334</v>
      </c>
      <c r="I77" s="451">
        <f t="shared" si="268"/>
        <v>-0.16522500000000001</v>
      </c>
      <c r="J77" s="451">
        <f t="shared" si="268"/>
        <v>-0.16517916666666668</v>
      </c>
      <c r="K77" s="451">
        <f t="shared" si="268"/>
        <v>-0.16513333333333333</v>
      </c>
      <c r="L77" s="451">
        <f t="shared" si="268"/>
        <v>-0.16508750000000003</v>
      </c>
      <c r="M77" s="451">
        <f t="shared" si="268"/>
        <v>-0.16504166666666667</v>
      </c>
      <c r="N77" s="451">
        <f t="shared" si="268"/>
        <v>-0.16499583333333334</v>
      </c>
      <c r="O77" s="451">
        <f t="shared" si="268"/>
        <v>-0.16494999999999999</v>
      </c>
      <c r="P77" s="452" t="e">
        <f>P99/AVERAGE(C36:O36)</f>
        <v>#DIV/0!</v>
      </c>
      <c r="Q77" s="451">
        <f t="shared" ref="Q77:AB77" si="269">Q78*Q39+Q79*Q40</f>
        <v>-0.15493625</v>
      </c>
      <c r="R77" s="451">
        <f t="shared" si="269"/>
        <v>-0.15492250000000002</v>
      </c>
      <c r="S77" s="451">
        <f t="shared" si="269"/>
        <v>-0.15490874999999998</v>
      </c>
      <c r="T77" s="451">
        <f t="shared" si="269"/>
        <v>-0.154895</v>
      </c>
      <c r="U77" s="451">
        <f t="shared" si="269"/>
        <v>-0.15488125</v>
      </c>
      <c r="V77" s="451">
        <f t="shared" si="269"/>
        <v>-0.15486749999999999</v>
      </c>
      <c r="W77" s="451">
        <f t="shared" si="269"/>
        <v>-0.15485374999999998</v>
      </c>
      <c r="X77" s="451">
        <f t="shared" si="269"/>
        <v>-0.15483999999999998</v>
      </c>
      <c r="Y77" s="451">
        <f t="shared" si="269"/>
        <v>-0.15482625</v>
      </c>
      <c r="Z77" s="451">
        <f t="shared" si="269"/>
        <v>-0.15481250000000002</v>
      </c>
      <c r="AA77" s="451">
        <f t="shared" si="269"/>
        <v>-0.15479874999999998</v>
      </c>
      <c r="AB77" s="451">
        <f t="shared" si="269"/>
        <v>-0.15478500000000001</v>
      </c>
      <c r="AC77" s="452">
        <f>AC99/AVERAGE(P36:AB36)</f>
        <v>-0.14423007143648617</v>
      </c>
      <c r="AD77" s="451">
        <f t="shared" ref="AD77:AO77" si="270">AD78*AD39+AD79*AD40</f>
        <v>-0.14477124999999999</v>
      </c>
      <c r="AE77" s="451">
        <f t="shared" si="270"/>
        <v>-0.14475749999999998</v>
      </c>
      <c r="AF77" s="451">
        <f t="shared" si="270"/>
        <v>-0.14474374999999998</v>
      </c>
      <c r="AG77" s="451">
        <f t="shared" si="270"/>
        <v>-0.14473</v>
      </c>
      <c r="AH77" s="451">
        <f t="shared" si="270"/>
        <v>-0.14471624999999999</v>
      </c>
      <c r="AI77" s="451">
        <f t="shared" si="270"/>
        <v>-0.14470249999999998</v>
      </c>
      <c r="AJ77" s="451">
        <f t="shared" si="270"/>
        <v>-0.14468875</v>
      </c>
      <c r="AK77" s="451">
        <f t="shared" si="270"/>
        <v>-0.144675</v>
      </c>
      <c r="AL77" s="451">
        <f t="shared" si="270"/>
        <v>-0.14466124999999999</v>
      </c>
      <c r="AM77" s="451">
        <f t="shared" si="270"/>
        <v>-0.14464749999999998</v>
      </c>
      <c r="AN77" s="451">
        <f t="shared" si="270"/>
        <v>-0.14463375000000001</v>
      </c>
      <c r="AO77" s="451">
        <f t="shared" si="270"/>
        <v>-0.14461999999999997</v>
      </c>
      <c r="AP77" s="452">
        <f>AP99/AVERAGE(AC36:AO36)</f>
        <v>-0.14478370218945782</v>
      </c>
      <c r="AQ77" s="451">
        <f t="shared" ref="AQ77:BB77" si="271">AQ78*AQ39+AQ79*AQ40</f>
        <v>-0.13460624999999998</v>
      </c>
      <c r="AR77" s="451">
        <f t="shared" si="271"/>
        <v>-0.13459249999999998</v>
      </c>
      <c r="AS77" s="451">
        <f t="shared" si="271"/>
        <v>-0.13457874999999997</v>
      </c>
      <c r="AT77" s="451">
        <f t="shared" si="271"/>
        <v>-0.13456499999999999</v>
      </c>
      <c r="AU77" s="451">
        <f t="shared" si="271"/>
        <v>-0.13455124999999998</v>
      </c>
      <c r="AV77" s="451">
        <f t="shared" si="271"/>
        <v>-0.13453749999999998</v>
      </c>
      <c r="AW77" s="451">
        <f t="shared" si="271"/>
        <v>-0.13452375</v>
      </c>
      <c r="AX77" s="451">
        <f t="shared" si="271"/>
        <v>-0.13450999999999996</v>
      </c>
      <c r="AY77" s="451">
        <f t="shared" si="271"/>
        <v>-0.13449624999999998</v>
      </c>
      <c r="AZ77" s="451">
        <f t="shared" si="271"/>
        <v>-0.13448249999999998</v>
      </c>
      <c r="BA77" s="451">
        <f t="shared" si="271"/>
        <v>-0.13446875</v>
      </c>
      <c r="BB77" s="451">
        <f t="shared" si="271"/>
        <v>-0.13445499999999999</v>
      </c>
      <c r="BC77" s="452">
        <f>BC99/AVERAGE(AP36:BB36)</f>
        <v>-0.13467925230703223</v>
      </c>
      <c r="BD77" s="451">
        <f t="shared" ref="BD77:BO77" si="272">BD78*BD39+BD79*BD40</f>
        <v>-0.12444124999999999</v>
      </c>
      <c r="BE77" s="451">
        <f t="shared" si="272"/>
        <v>-0.1244275</v>
      </c>
      <c r="BF77" s="451">
        <f t="shared" si="272"/>
        <v>-0.12441375</v>
      </c>
      <c r="BG77" s="451">
        <f t="shared" si="272"/>
        <v>-0.1244</v>
      </c>
      <c r="BH77" s="451">
        <f t="shared" si="272"/>
        <v>-0.12438625</v>
      </c>
      <c r="BI77" s="451">
        <f t="shared" si="272"/>
        <v>-0.12437249999999998</v>
      </c>
      <c r="BJ77" s="451">
        <f t="shared" si="272"/>
        <v>-0.12435874999999999</v>
      </c>
      <c r="BK77" s="451">
        <f t="shared" si="272"/>
        <v>-0.12434500000000001</v>
      </c>
      <c r="BL77" s="451">
        <f t="shared" si="272"/>
        <v>-0.12433124999999999</v>
      </c>
      <c r="BM77" s="451">
        <f t="shared" si="272"/>
        <v>-0.1243175</v>
      </c>
      <c r="BN77" s="451">
        <f t="shared" si="272"/>
        <v>-0.12430374999999999</v>
      </c>
      <c r="BO77" s="451">
        <f t="shared" si="272"/>
        <v>-0.12429000000000001</v>
      </c>
      <c r="BP77" s="452">
        <f>BP99/AVERAGE(BC36:BO36)</f>
        <v>-0.12449698051133073</v>
      </c>
      <c r="CF77" s="451" t="s">
        <v>1107</v>
      </c>
      <c r="CG77" s="453" t="s">
        <v>231</v>
      </c>
    </row>
    <row r="78" spans="1:85" s="439" customFormat="1">
      <c r="A78" s="449" t="s">
        <v>699</v>
      </c>
      <c r="B78" s="446" t="s">
        <v>231</v>
      </c>
      <c r="D78" s="439">
        <f>P78</f>
        <v>-0.16</v>
      </c>
      <c r="E78" s="439">
        <f t="shared" ref="E78:O78" si="273">D78</f>
        <v>-0.16</v>
      </c>
      <c r="F78" s="439">
        <f t="shared" si="273"/>
        <v>-0.16</v>
      </c>
      <c r="G78" s="439">
        <f t="shared" si="273"/>
        <v>-0.16</v>
      </c>
      <c r="H78" s="439">
        <f t="shared" si="273"/>
        <v>-0.16</v>
      </c>
      <c r="I78" s="439">
        <f t="shared" si="273"/>
        <v>-0.16</v>
      </c>
      <c r="J78" s="439">
        <f t="shared" si="273"/>
        <v>-0.16</v>
      </c>
      <c r="K78" s="439">
        <f t="shared" si="273"/>
        <v>-0.16</v>
      </c>
      <c r="L78" s="439">
        <f t="shared" si="273"/>
        <v>-0.16</v>
      </c>
      <c r="M78" s="439">
        <f t="shared" si="273"/>
        <v>-0.16</v>
      </c>
      <c r="N78" s="439">
        <f t="shared" si="273"/>
        <v>-0.16</v>
      </c>
      <c r="O78" s="439">
        <f t="shared" si="273"/>
        <v>-0.16</v>
      </c>
      <c r="P78" s="450">
        <f>P82</f>
        <v>-0.16</v>
      </c>
      <c r="Q78" s="439">
        <f>AC78</f>
        <v>-0.15</v>
      </c>
      <c r="R78" s="439">
        <f t="shared" ref="R78:AB78" si="274">Q78</f>
        <v>-0.15</v>
      </c>
      <c r="S78" s="439">
        <f t="shared" si="274"/>
        <v>-0.15</v>
      </c>
      <c r="T78" s="439">
        <f t="shared" si="274"/>
        <v>-0.15</v>
      </c>
      <c r="U78" s="439">
        <f t="shared" si="274"/>
        <v>-0.15</v>
      </c>
      <c r="V78" s="439">
        <f t="shared" si="274"/>
        <v>-0.15</v>
      </c>
      <c r="W78" s="439">
        <f t="shared" si="274"/>
        <v>-0.15</v>
      </c>
      <c r="X78" s="439">
        <f t="shared" si="274"/>
        <v>-0.15</v>
      </c>
      <c r="Y78" s="439">
        <f t="shared" si="274"/>
        <v>-0.15</v>
      </c>
      <c r="Z78" s="439">
        <f t="shared" si="274"/>
        <v>-0.15</v>
      </c>
      <c r="AA78" s="439">
        <f t="shared" si="274"/>
        <v>-0.15</v>
      </c>
      <c r="AB78" s="439">
        <f t="shared" si="274"/>
        <v>-0.15</v>
      </c>
      <c r="AC78" s="450">
        <f>P78+1%</f>
        <v>-0.15</v>
      </c>
      <c r="AD78" s="439">
        <f>AP78</f>
        <v>-0.13999999999999999</v>
      </c>
      <c r="AE78" s="439">
        <f t="shared" ref="AE78:AO78" si="275">AD78</f>
        <v>-0.13999999999999999</v>
      </c>
      <c r="AF78" s="439">
        <f t="shared" si="275"/>
        <v>-0.13999999999999999</v>
      </c>
      <c r="AG78" s="439">
        <f t="shared" si="275"/>
        <v>-0.13999999999999999</v>
      </c>
      <c r="AH78" s="439">
        <f t="shared" si="275"/>
        <v>-0.13999999999999999</v>
      </c>
      <c r="AI78" s="439">
        <f t="shared" si="275"/>
        <v>-0.13999999999999999</v>
      </c>
      <c r="AJ78" s="439">
        <f t="shared" si="275"/>
        <v>-0.13999999999999999</v>
      </c>
      <c r="AK78" s="439">
        <f t="shared" si="275"/>
        <v>-0.13999999999999999</v>
      </c>
      <c r="AL78" s="439">
        <f t="shared" si="275"/>
        <v>-0.13999999999999999</v>
      </c>
      <c r="AM78" s="439">
        <f t="shared" si="275"/>
        <v>-0.13999999999999999</v>
      </c>
      <c r="AN78" s="439">
        <f t="shared" si="275"/>
        <v>-0.13999999999999999</v>
      </c>
      <c r="AO78" s="439">
        <f t="shared" si="275"/>
        <v>-0.13999999999999999</v>
      </c>
      <c r="AP78" s="450">
        <f>AC78+1%</f>
        <v>-0.13999999999999999</v>
      </c>
      <c r="AQ78" s="439">
        <f>BC78</f>
        <v>-0.12999999999999998</v>
      </c>
      <c r="AR78" s="439">
        <f t="shared" ref="AR78:BB78" si="276">AQ78</f>
        <v>-0.12999999999999998</v>
      </c>
      <c r="AS78" s="439">
        <f t="shared" si="276"/>
        <v>-0.12999999999999998</v>
      </c>
      <c r="AT78" s="439">
        <f t="shared" si="276"/>
        <v>-0.12999999999999998</v>
      </c>
      <c r="AU78" s="439">
        <f t="shared" si="276"/>
        <v>-0.12999999999999998</v>
      </c>
      <c r="AV78" s="439">
        <f t="shared" si="276"/>
        <v>-0.12999999999999998</v>
      </c>
      <c r="AW78" s="439">
        <f t="shared" si="276"/>
        <v>-0.12999999999999998</v>
      </c>
      <c r="AX78" s="439">
        <f t="shared" si="276"/>
        <v>-0.12999999999999998</v>
      </c>
      <c r="AY78" s="439">
        <f t="shared" si="276"/>
        <v>-0.12999999999999998</v>
      </c>
      <c r="AZ78" s="439">
        <f t="shared" si="276"/>
        <v>-0.12999999999999998</v>
      </c>
      <c r="BA78" s="439">
        <f t="shared" si="276"/>
        <v>-0.12999999999999998</v>
      </c>
      <c r="BB78" s="439">
        <f t="shared" si="276"/>
        <v>-0.12999999999999998</v>
      </c>
      <c r="BC78" s="450">
        <f>AP78+1%</f>
        <v>-0.12999999999999998</v>
      </c>
      <c r="BD78" s="439">
        <f>BP78</f>
        <v>-0.11999999999999998</v>
      </c>
      <c r="BE78" s="439">
        <f t="shared" ref="BE78:BO78" si="277">BD78</f>
        <v>-0.11999999999999998</v>
      </c>
      <c r="BF78" s="439">
        <f t="shared" si="277"/>
        <v>-0.11999999999999998</v>
      </c>
      <c r="BG78" s="439">
        <f t="shared" si="277"/>
        <v>-0.11999999999999998</v>
      </c>
      <c r="BH78" s="439">
        <f t="shared" si="277"/>
        <v>-0.11999999999999998</v>
      </c>
      <c r="BI78" s="439">
        <f t="shared" si="277"/>
        <v>-0.11999999999999998</v>
      </c>
      <c r="BJ78" s="439">
        <f t="shared" si="277"/>
        <v>-0.11999999999999998</v>
      </c>
      <c r="BK78" s="439">
        <f t="shared" si="277"/>
        <v>-0.11999999999999998</v>
      </c>
      <c r="BL78" s="439">
        <f t="shared" si="277"/>
        <v>-0.11999999999999998</v>
      </c>
      <c r="BM78" s="439">
        <f t="shared" si="277"/>
        <v>-0.11999999999999998</v>
      </c>
      <c r="BN78" s="439">
        <f t="shared" si="277"/>
        <v>-0.11999999999999998</v>
      </c>
      <c r="BO78" s="439">
        <f t="shared" si="277"/>
        <v>-0.11999999999999998</v>
      </c>
      <c r="BP78" s="450">
        <f>BC78+1%</f>
        <v>-0.11999999999999998</v>
      </c>
      <c r="CF78" s="449" t="s">
        <v>1073</v>
      </c>
      <c r="CG78" s="446" t="s">
        <v>231</v>
      </c>
    </row>
    <row r="79" spans="1:85" s="439" customFormat="1">
      <c r="A79" s="449" t="s">
        <v>698</v>
      </c>
      <c r="B79" s="446" t="s">
        <v>231</v>
      </c>
      <c r="D79" s="439">
        <f t="shared" ref="D79:AI79" si="278">SUMPRODUCT(D80:D83,D41:D44)</f>
        <v>-0.16550000000000001</v>
      </c>
      <c r="E79" s="439">
        <f t="shared" si="278"/>
        <v>-0.16550000000000001</v>
      </c>
      <c r="F79" s="439">
        <f t="shared" si="278"/>
        <v>-0.16550000000000001</v>
      </c>
      <c r="G79" s="439">
        <f t="shared" si="278"/>
        <v>-0.16550000000000001</v>
      </c>
      <c r="H79" s="439">
        <f t="shared" si="278"/>
        <v>-0.16550000000000001</v>
      </c>
      <c r="I79" s="439">
        <f t="shared" si="278"/>
        <v>-0.16550000000000001</v>
      </c>
      <c r="J79" s="439">
        <f t="shared" si="278"/>
        <v>-0.16550000000000001</v>
      </c>
      <c r="K79" s="439">
        <f t="shared" si="278"/>
        <v>-0.16550000000000001</v>
      </c>
      <c r="L79" s="439">
        <f t="shared" si="278"/>
        <v>-0.16550000000000001</v>
      </c>
      <c r="M79" s="439">
        <f t="shared" si="278"/>
        <v>-0.16550000000000001</v>
      </c>
      <c r="N79" s="439">
        <f t="shared" si="278"/>
        <v>-0.16550000000000001</v>
      </c>
      <c r="O79" s="439">
        <f t="shared" si="278"/>
        <v>-0.16550000000000001</v>
      </c>
      <c r="P79" s="410">
        <f t="shared" si="278"/>
        <v>-0.16550000000000001</v>
      </c>
      <c r="Q79" s="439">
        <f t="shared" si="278"/>
        <v>-0.1555</v>
      </c>
      <c r="R79" s="439">
        <f t="shared" si="278"/>
        <v>-0.1555</v>
      </c>
      <c r="S79" s="439">
        <f t="shared" si="278"/>
        <v>-0.1555</v>
      </c>
      <c r="T79" s="439">
        <f t="shared" si="278"/>
        <v>-0.1555</v>
      </c>
      <c r="U79" s="439">
        <f t="shared" si="278"/>
        <v>-0.1555</v>
      </c>
      <c r="V79" s="439">
        <f t="shared" si="278"/>
        <v>-0.1555</v>
      </c>
      <c r="W79" s="439">
        <f t="shared" si="278"/>
        <v>-0.1555</v>
      </c>
      <c r="X79" s="439">
        <f t="shared" si="278"/>
        <v>-0.1555</v>
      </c>
      <c r="Y79" s="439">
        <f t="shared" si="278"/>
        <v>-0.1555</v>
      </c>
      <c r="Z79" s="439">
        <f t="shared" si="278"/>
        <v>-0.1555</v>
      </c>
      <c r="AA79" s="439">
        <f t="shared" si="278"/>
        <v>-0.1555</v>
      </c>
      <c r="AB79" s="439">
        <f t="shared" si="278"/>
        <v>-0.1555</v>
      </c>
      <c r="AC79" s="410">
        <f t="shared" si="278"/>
        <v>-0.1555</v>
      </c>
      <c r="AD79" s="439">
        <f t="shared" si="278"/>
        <v>-0.14549999999999999</v>
      </c>
      <c r="AE79" s="439">
        <f t="shared" si="278"/>
        <v>-0.14549999999999999</v>
      </c>
      <c r="AF79" s="439">
        <f t="shared" si="278"/>
        <v>-0.14549999999999999</v>
      </c>
      <c r="AG79" s="439">
        <f t="shared" si="278"/>
        <v>-0.14549999999999999</v>
      </c>
      <c r="AH79" s="439">
        <f t="shared" si="278"/>
        <v>-0.14549999999999999</v>
      </c>
      <c r="AI79" s="439">
        <f t="shared" si="278"/>
        <v>-0.14549999999999999</v>
      </c>
      <c r="AJ79" s="439">
        <f t="shared" ref="AJ79:BO79" si="279">SUMPRODUCT(AJ80:AJ83,AJ41:AJ44)</f>
        <v>-0.14549999999999999</v>
      </c>
      <c r="AK79" s="439">
        <f t="shared" si="279"/>
        <v>-0.14549999999999999</v>
      </c>
      <c r="AL79" s="439">
        <f t="shared" si="279"/>
        <v>-0.14549999999999999</v>
      </c>
      <c r="AM79" s="439">
        <f t="shared" si="279"/>
        <v>-0.14549999999999999</v>
      </c>
      <c r="AN79" s="439">
        <f t="shared" si="279"/>
        <v>-0.14549999999999999</v>
      </c>
      <c r="AO79" s="439">
        <f t="shared" si="279"/>
        <v>-0.14549999999999999</v>
      </c>
      <c r="AP79" s="410">
        <f t="shared" si="279"/>
        <v>-0.14549999999999999</v>
      </c>
      <c r="AQ79" s="439">
        <f t="shared" si="279"/>
        <v>-0.13549999999999998</v>
      </c>
      <c r="AR79" s="439">
        <f t="shared" si="279"/>
        <v>-0.13549999999999998</v>
      </c>
      <c r="AS79" s="439">
        <f t="shared" si="279"/>
        <v>-0.13549999999999998</v>
      </c>
      <c r="AT79" s="439">
        <f t="shared" si="279"/>
        <v>-0.13549999999999998</v>
      </c>
      <c r="AU79" s="439">
        <f t="shared" si="279"/>
        <v>-0.13549999999999998</v>
      </c>
      <c r="AV79" s="439">
        <f t="shared" si="279"/>
        <v>-0.13549999999999998</v>
      </c>
      <c r="AW79" s="439">
        <f t="shared" si="279"/>
        <v>-0.13549999999999998</v>
      </c>
      <c r="AX79" s="439">
        <f t="shared" si="279"/>
        <v>-0.13549999999999998</v>
      </c>
      <c r="AY79" s="439">
        <f t="shared" si="279"/>
        <v>-0.13549999999999998</v>
      </c>
      <c r="AZ79" s="439">
        <f t="shared" si="279"/>
        <v>-0.13549999999999998</v>
      </c>
      <c r="BA79" s="439">
        <f t="shared" si="279"/>
        <v>-0.13549999999999998</v>
      </c>
      <c r="BB79" s="439">
        <f t="shared" si="279"/>
        <v>-0.13549999999999998</v>
      </c>
      <c r="BC79" s="410">
        <f t="shared" si="279"/>
        <v>-0.13549999999999998</v>
      </c>
      <c r="BD79" s="439">
        <f t="shared" si="279"/>
        <v>-0.1255</v>
      </c>
      <c r="BE79" s="439">
        <f t="shared" si="279"/>
        <v>-0.1255</v>
      </c>
      <c r="BF79" s="439">
        <f t="shared" si="279"/>
        <v>-0.1255</v>
      </c>
      <c r="BG79" s="439">
        <f t="shared" si="279"/>
        <v>-0.1255</v>
      </c>
      <c r="BH79" s="439">
        <f t="shared" si="279"/>
        <v>-0.1255</v>
      </c>
      <c r="BI79" s="439">
        <f t="shared" si="279"/>
        <v>-0.1255</v>
      </c>
      <c r="BJ79" s="439">
        <f t="shared" si="279"/>
        <v>-0.1255</v>
      </c>
      <c r="BK79" s="439">
        <f t="shared" si="279"/>
        <v>-0.1255</v>
      </c>
      <c r="BL79" s="439">
        <f t="shared" si="279"/>
        <v>-0.1255</v>
      </c>
      <c r="BM79" s="439">
        <f t="shared" si="279"/>
        <v>-0.1255</v>
      </c>
      <c r="BN79" s="439">
        <f t="shared" si="279"/>
        <v>-0.1255</v>
      </c>
      <c r="BO79" s="439">
        <f t="shared" si="279"/>
        <v>-0.1255</v>
      </c>
      <c r="BP79" s="410">
        <f t="shared" ref="BP79" si="280">SUMPRODUCT(BP80:BP83,BP41:BP44)</f>
        <v>-0.1255</v>
      </c>
      <c r="CF79" s="370" t="s">
        <v>1074</v>
      </c>
      <c r="CG79" s="446" t="s">
        <v>231</v>
      </c>
    </row>
    <row r="80" spans="1:85" s="446" customFormat="1" ht="10.199999999999999">
      <c r="A80" s="448" t="s">
        <v>138</v>
      </c>
      <c r="B80" s="446" t="s">
        <v>231</v>
      </c>
      <c r="D80" s="446">
        <f>P80</f>
        <v>-0.15</v>
      </c>
      <c r="E80" s="446">
        <f t="shared" ref="E80:O80" si="281">D80</f>
        <v>-0.15</v>
      </c>
      <c r="F80" s="446">
        <f t="shared" si="281"/>
        <v>-0.15</v>
      </c>
      <c r="G80" s="446">
        <f t="shared" si="281"/>
        <v>-0.15</v>
      </c>
      <c r="H80" s="446">
        <f t="shared" si="281"/>
        <v>-0.15</v>
      </c>
      <c r="I80" s="446">
        <f t="shared" si="281"/>
        <v>-0.15</v>
      </c>
      <c r="J80" s="446">
        <f t="shared" si="281"/>
        <v>-0.15</v>
      </c>
      <c r="K80" s="446">
        <f t="shared" si="281"/>
        <v>-0.15</v>
      </c>
      <c r="L80" s="446">
        <f t="shared" si="281"/>
        <v>-0.15</v>
      </c>
      <c r="M80" s="446">
        <f t="shared" si="281"/>
        <v>-0.15</v>
      </c>
      <c r="N80" s="446">
        <f t="shared" si="281"/>
        <v>-0.15</v>
      </c>
      <c r="O80" s="446">
        <f t="shared" si="281"/>
        <v>-0.15</v>
      </c>
      <c r="P80" s="447">
        <f>'Micro_30 (indiv)'!P33</f>
        <v>-0.15</v>
      </c>
      <c r="Q80" s="446">
        <f>AC80</f>
        <v>-0.13999999999999999</v>
      </c>
      <c r="R80" s="446">
        <f t="shared" ref="R80:AB80" si="282">Q80</f>
        <v>-0.13999999999999999</v>
      </c>
      <c r="S80" s="446">
        <f t="shared" si="282"/>
        <v>-0.13999999999999999</v>
      </c>
      <c r="T80" s="446">
        <f t="shared" si="282"/>
        <v>-0.13999999999999999</v>
      </c>
      <c r="U80" s="446">
        <f t="shared" si="282"/>
        <v>-0.13999999999999999</v>
      </c>
      <c r="V80" s="446">
        <f t="shared" si="282"/>
        <v>-0.13999999999999999</v>
      </c>
      <c r="W80" s="446">
        <f t="shared" si="282"/>
        <v>-0.13999999999999999</v>
      </c>
      <c r="X80" s="446">
        <f t="shared" si="282"/>
        <v>-0.13999999999999999</v>
      </c>
      <c r="Y80" s="446">
        <f t="shared" si="282"/>
        <v>-0.13999999999999999</v>
      </c>
      <c r="Z80" s="446">
        <f t="shared" si="282"/>
        <v>-0.13999999999999999</v>
      </c>
      <c r="AA80" s="446">
        <f t="shared" si="282"/>
        <v>-0.13999999999999999</v>
      </c>
      <c r="AB80" s="446">
        <f t="shared" si="282"/>
        <v>-0.13999999999999999</v>
      </c>
      <c r="AC80" s="447">
        <f>P80+1%</f>
        <v>-0.13999999999999999</v>
      </c>
      <c r="AD80" s="446">
        <f>AP80</f>
        <v>-0.12999999999999998</v>
      </c>
      <c r="AE80" s="446">
        <f t="shared" ref="AE80:AO80" si="283">AD80</f>
        <v>-0.12999999999999998</v>
      </c>
      <c r="AF80" s="446">
        <f t="shared" si="283"/>
        <v>-0.12999999999999998</v>
      </c>
      <c r="AG80" s="446">
        <f t="shared" si="283"/>
        <v>-0.12999999999999998</v>
      </c>
      <c r="AH80" s="446">
        <f t="shared" si="283"/>
        <v>-0.12999999999999998</v>
      </c>
      <c r="AI80" s="446">
        <f t="shared" si="283"/>
        <v>-0.12999999999999998</v>
      </c>
      <c r="AJ80" s="446">
        <f t="shared" si="283"/>
        <v>-0.12999999999999998</v>
      </c>
      <c r="AK80" s="446">
        <f t="shared" si="283"/>
        <v>-0.12999999999999998</v>
      </c>
      <c r="AL80" s="446">
        <f t="shared" si="283"/>
        <v>-0.12999999999999998</v>
      </c>
      <c r="AM80" s="446">
        <f t="shared" si="283"/>
        <v>-0.12999999999999998</v>
      </c>
      <c r="AN80" s="446">
        <f t="shared" si="283"/>
        <v>-0.12999999999999998</v>
      </c>
      <c r="AO80" s="446">
        <f t="shared" si="283"/>
        <v>-0.12999999999999998</v>
      </c>
      <c r="AP80" s="447">
        <f>AC80+1%</f>
        <v>-0.12999999999999998</v>
      </c>
      <c r="AQ80" s="446">
        <f>BC80</f>
        <v>-0.11999999999999998</v>
      </c>
      <c r="AR80" s="446">
        <f t="shared" ref="AR80:BB80" si="284">AQ80</f>
        <v>-0.11999999999999998</v>
      </c>
      <c r="AS80" s="446">
        <f t="shared" si="284"/>
        <v>-0.11999999999999998</v>
      </c>
      <c r="AT80" s="446">
        <f t="shared" si="284"/>
        <v>-0.11999999999999998</v>
      </c>
      <c r="AU80" s="446">
        <f t="shared" si="284"/>
        <v>-0.11999999999999998</v>
      </c>
      <c r="AV80" s="446">
        <f t="shared" si="284"/>
        <v>-0.11999999999999998</v>
      </c>
      <c r="AW80" s="446">
        <f t="shared" si="284"/>
        <v>-0.11999999999999998</v>
      </c>
      <c r="AX80" s="446">
        <f t="shared" si="284"/>
        <v>-0.11999999999999998</v>
      </c>
      <c r="AY80" s="446">
        <f t="shared" si="284"/>
        <v>-0.11999999999999998</v>
      </c>
      <c r="AZ80" s="446">
        <f t="shared" si="284"/>
        <v>-0.11999999999999998</v>
      </c>
      <c r="BA80" s="446">
        <f t="shared" si="284"/>
        <v>-0.11999999999999998</v>
      </c>
      <c r="BB80" s="446">
        <f t="shared" si="284"/>
        <v>-0.11999999999999998</v>
      </c>
      <c r="BC80" s="447">
        <f>AP80+1%</f>
        <v>-0.11999999999999998</v>
      </c>
      <c r="BD80" s="446">
        <f>BP80</f>
        <v>-0.10999999999999999</v>
      </c>
      <c r="BE80" s="446">
        <f t="shared" ref="BE80:BO80" si="285">BD80</f>
        <v>-0.10999999999999999</v>
      </c>
      <c r="BF80" s="446">
        <f t="shared" si="285"/>
        <v>-0.10999999999999999</v>
      </c>
      <c r="BG80" s="446">
        <f t="shared" si="285"/>
        <v>-0.10999999999999999</v>
      </c>
      <c r="BH80" s="446">
        <f t="shared" si="285"/>
        <v>-0.10999999999999999</v>
      </c>
      <c r="BI80" s="446">
        <f t="shared" si="285"/>
        <v>-0.10999999999999999</v>
      </c>
      <c r="BJ80" s="446">
        <f t="shared" si="285"/>
        <v>-0.10999999999999999</v>
      </c>
      <c r="BK80" s="446">
        <f t="shared" si="285"/>
        <v>-0.10999999999999999</v>
      </c>
      <c r="BL80" s="446">
        <f t="shared" si="285"/>
        <v>-0.10999999999999999</v>
      </c>
      <c r="BM80" s="446">
        <f t="shared" si="285"/>
        <v>-0.10999999999999999</v>
      </c>
      <c r="BN80" s="446">
        <f t="shared" si="285"/>
        <v>-0.10999999999999999</v>
      </c>
      <c r="BO80" s="446">
        <f t="shared" si="285"/>
        <v>-0.10999999999999999</v>
      </c>
      <c r="BP80" s="447">
        <f>BC80+1%</f>
        <v>-0.10999999999999999</v>
      </c>
      <c r="CF80" s="456" t="s">
        <v>1002</v>
      </c>
      <c r="CG80" s="446" t="s">
        <v>231</v>
      </c>
    </row>
    <row r="81" spans="1:85" s="446" customFormat="1" ht="10.199999999999999">
      <c r="A81" s="448" t="s">
        <v>142</v>
      </c>
      <c r="B81" s="446" t="s">
        <v>231</v>
      </c>
      <c r="D81" s="446">
        <f>P81</f>
        <v>-0.155</v>
      </c>
      <c r="E81" s="446">
        <f t="shared" ref="E81:O81" si="286">D81</f>
        <v>-0.155</v>
      </c>
      <c r="F81" s="446">
        <f t="shared" si="286"/>
        <v>-0.155</v>
      </c>
      <c r="G81" s="446">
        <f t="shared" si="286"/>
        <v>-0.155</v>
      </c>
      <c r="H81" s="446">
        <f t="shared" si="286"/>
        <v>-0.155</v>
      </c>
      <c r="I81" s="446">
        <f t="shared" si="286"/>
        <v>-0.155</v>
      </c>
      <c r="J81" s="446">
        <f t="shared" si="286"/>
        <v>-0.155</v>
      </c>
      <c r="K81" s="446">
        <f t="shared" si="286"/>
        <v>-0.155</v>
      </c>
      <c r="L81" s="446">
        <f t="shared" si="286"/>
        <v>-0.155</v>
      </c>
      <c r="M81" s="446">
        <f t="shared" si="286"/>
        <v>-0.155</v>
      </c>
      <c r="N81" s="446">
        <f t="shared" si="286"/>
        <v>-0.155</v>
      </c>
      <c r="O81" s="446">
        <f t="shared" si="286"/>
        <v>-0.155</v>
      </c>
      <c r="P81" s="447">
        <f>P80-0.5%</f>
        <v>-0.155</v>
      </c>
      <c r="Q81" s="446">
        <f>AC81</f>
        <v>-0.14499999999999999</v>
      </c>
      <c r="R81" s="446">
        <f t="shared" ref="R81:AB81" si="287">Q81</f>
        <v>-0.14499999999999999</v>
      </c>
      <c r="S81" s="446">
        <f t="shared" si="287"/>
        <v>-0.14499999999999999</v>
      </c>
      <c r="T81" s="446">
        <f t="shared" si="287"/>
        <v>-0.14499999999999999</v>
      </c>
      <c r="U81" s="446">
        <f t="shared" si="287"/>
        <v>-0.14499999999999999</v>
      </c>
      <c r="V81" s="446">
        <f t="shared" si="287"/>
        <v>-0.14499999999999999</v>
      </c>
      <c r="W81" s="446">
        <f t="shared" si="287"/>
        <v>-0.14499999999999999</v>
      </c>
      <c r="X81" s="446">
        <f t="shared" si="287"/>
        <v>-0.14499999999999999</v>
      </c>
      <c r="Y81" s="446">
        <f t="shared" si="287"/>
        <v>-0.14499999999999999</v>
      </c>
      <c r="Z81" s="446">
        <f t="shared" si="287"/>
        <v>-0.14499999999999999</v>
      </c>
      <c r="AA81" s="446">
        <f t="shared" si="287"/>
        <v>-0.14499999999999999</v>
      </c>
      <c r="AB81" s="446">
        <f t="shared" si="287"/>
        <v>-0.14499999999999999</v>
      </c>
      <c r="AC81" s="447">
        <f>P81+1%</f>
        <v>-0.14499999999999999</v>
      </c>
      <c r="AD81" s="446">
        <f>AP81</f>
        <v>-0.13499999999999998</v>
      </c>
      <c r="AE81" s="446">
        <f t="shared" ref="AE81:AO81" si="288">AD81</f>
        <v>-0.13499999999999998</v>
      </c>
      <c r="AF81" s="446">
        <f t="shared" si="288"/>
        <v>-0.13499999999999998</v>
      </c>
      <c r="AG81" s="446">
        <f t="shared" si="288"/>
        <v>-0.13499999999999998</v>
      </c>
      <c r="AH81" s="446">
        <f t="shared" si="288"/>
        <v>-0.13499999999999998</v>
      </c>
      <c r="AI81" s="446">
        <f t="shared" si="288"/>
        <v>-0.13499999999999998</v>
      </c>
      <c r="AJ81" s="446">
        <f t="shared" si="288"/>
        <v>-0.13499999999999998</v>
      </c>
      <c r="AK81" s="446">
        <f t="shared" si="288"/>
        <v>-0.13499999999999998</v>
      </c>
      <c r="AL81" s="446">
        <f t="shared" si="288"/>
        <v>-0.13499999999999998</v>
      </c>
      <c r="AM81" s="446">
        <f t="shared" si="288"/>
        <v>-0.13499999999999998</v>
      </c>
      <c r="AN81" s="446">
        <f t="shared" si="288"/>
        <v>-0.13499999999999998</v>
      </c>
      <c r="AO81" s="446">
        <f t="shared" si="288"/>
        <v>-0.13499999999999998</v>
      </c>
      <c r="AP81" s="447">
        <f>AC81+1%</f>
        <v>-0.13499999999999998</v>
      </c>
      <c r="AQ81" s="446">
        <f>BC81</f>
        <v>-0.12499999999999999</v>
      </c>
      <c r="AR81" s="446">
        <f t="shared" ref="AR81:BB81" si="289">AQ81</f>
        <v>-0.12499999999999999</v>
      </c>
      <c r="AS81" s="446">
        <f t="shared" si="289"/>
        <v>-0.12499999999999999</v>
      </c>
      <c r="AT81" s="446">
        <f t="shared" si="289"/>
        <v>-0.12499999999999999</v>
      </c>
      <c r="AU81" s="446">
        <f t="shared" si="289"/>
        <v>-0.12499999999999999</v>
      </c>
      <c r="AV81" s="446">
        <f t="shared" si="289"/>
        <v>-0.12499999999999999</v>
      </c>
      <c r="AW81" s="446">
        <f t="shared" si="289"/>
        <v>-0.12499999999999999</v>
      </c>
      <c r="AX81" s="446">
        <f t="shared" si="289"/>
        <v>-0.12499999999999999</v>
      </c>
      <c r="AY81" s="446">
        <f t="shared" si="289"/>
        <v>-0.12499999999999999</v>
      </c>
      <c r="AZ81" s="446">
        <f t="shared" si="289"/>
        <v>-0.12499999999999999</v>
      </c>
      <c r="BA81" s="446">
        <f t="shared" si="289"/>
        <v>-0.12499999999999999</v>
      </c>
      <c r="BB81" s="446">
        <f t="shared" si="289"/>
        <v>-0.12499999999999999</v>
      </c>
      <c r="BC81" s="447">
        <f>AP81+1%</f>
        <v>-0.12499999999999999</v>
      </c>
      <c r="BD81" s="446">
        <f>BP81</f>
        <v>-0.11499999999999999</v>
      </c>
      <c r="BE81" s="446">
        <f t="shared" ref="BE81:BO81" si="290">BD81</f>
        <v>-0.11499999999999999</v>
      </c>
      <c r="BF81" s="446">
        <f t="shared" si="290"/>
        <v>-0.11499999999999999</v>
      </c>
      <c r="BG81" s="446">
        <f t="shared" si="290"/>
        <v>-0.11499999999999999</v>
      </c>
      <c r="BH81" s="446">
        <f t="shared" si="290"/>
        <v>-0.11499999999999999</v>
      </c>
      <c r="BI81" s="446">
        <f t="shared" si="290"/>
        <v>-0.11499999999999999</v>
      </c>
      <c r="BJ81" s="446">
        <f t="shared" si="290"/>
        <v>-0.11499999999999999</v>
      </c>
      <c r="BK81" s="446">
        <f t="shared" si="290"/>
        <v>-0.11499999999999999</v>
      </c>
      <c r="BL81" s="446">
        <f t="shared" si="290"/>
        <v>-0.11499999999999999</v>
      </c>
      <c r="BM81" s="446">
        <f t="shared" si="290"/>
        <v>-0.11499999999999999</v>
      </c>
      <c r="BN81" s="446">
        <f t="shared" si="290"/>
        <v>-0.11499999999999999</v>
      </c>
      <c r="BO81" s="446">
        <f t="shared" si="290"/>
        <v>-0.11499999999999999</v>
      </c>
      <c r="BP81" s="447">
        <f>BC81+1%</f>
        <v>-0.11499999999999999</v>
      </c>
      <c r="CF81" s="456" t="s">
        <v>1003</v>
      </c>
      <c r="CG81" s="446" t="s">
        <v>231</v>
      </c>
    </row>
    <row r="82" spans="1:85" s="446" customFormat="1" ht="10.199999999999999">
      <c r="A82" s="448" t="s">
        <v>145</v>
      </c>
      <c r="B82" s="446" t="s">
        <v>231</v>
      </c>
      <c r="D82" s="446">
        <f>P82</f>
        <v>-0.16</v>
      </c>
      <c r="E82" s="446">
        <f t="shared" ref="E82:O82" si="291">D82</f>
        <v>-0.16</v>
      </c>
      <c r="F82" s="446">
        <f t="shared" si="291"/>
        <v>-0.16</v>
      </c>
      <c r="G82" s="446">
        <f t="shared" si="291"/>
        <v>-0.16</v>
      </c>
      <c r="H82" s="446">
        <f t="shared" si="291"/>
        <v>-0.16</v>
      </c>
      <c r="I82" s="446">
        <f t="shared" si="291"/>
        <v>-0.16</v>
      </c>
      <c r="J82" s="446">
        <f t="shared" si="291"/>
        <v>-0.16</v>
      </c>
      <c r="K82" s="446">
        <f t="shared" si="291"/>
        <v>-0.16</v>
      </c>
      <c r="L82" s="446">
        <f t="shared" si="291"/>
        <v>-0.16</v>
      </c>
      <c r="M82" s="446">
        <f t="shared" si="291"/>
        <v>-0.16</v>
      </c>
      <c r="N82" s="446">
        <f t="shared" si="291"/>
        <v>-0.16</v>
      </c>
      <c r="O82" s="446">
        <f t="shared" si="291"/>
        <v>-0.16</v>
      </c>
      <c r="P82" s="447">
        <f>P81-0.5%</f>
        <v>-0.16</v>
      </c>
      <c r="Q82" s="446">
        <f>AC82</f>
        <v>-0.15</v>
      </c>
      <c r="R82" s="446">
        <f t="shared" ref="R82:AB82" si="292">Q82</f>
        <v>-0.15</v>
      </c>
      <c r="S82" s="446">
        <f t="shared" si="292"/>
        <v>-0.15</v>
      </c>
      <c r="T82" s="446">
        <f t="shared" si="292"/>
        <v>-0.15</v>
      </c>
      <c r="U82" s="446">
        <f t="shared" si="292"/>
        <v>-0.15</v>
      </c>
      <c r="V82" s="446">
        <f t="shared" si="292"/>
        <v>-0.15</v>
      </c>
      <c r="W82" s="446">
        <f t="shared" si="292"/>
        <v>-0.15</v>
      </c>
      <c r="X82" s="446">
        <f t="shared" si="292"/>
        <v>-0.15</v>
      </c>
      <c r="Y82" s="446">
        <f t="shared" si="292"/>
        <v>-0.15</v>
      </c>
      <c r="Z82" s="446">
        <f t="shared" si="292"/>
        <v>-0.15</v>
      </c>
      <c r="AA82" s="446">
        <f t="shared" si="292"/>
        <v>-0.15</v>
      </c>
      <c r="AB82" s="446">
        <f t="shared" si="292"/>
        <v>-0.15</v>
      </c>
      <c r="AC82" s="447">
        <f>P82+1%</f>
        <v>-0.15</v>
      </c>
      <c r="AD82" s="446">
        <f>AP82</f>
        <v>-0.13999999999999999</v>
      </c>
      <c r="AE82" s="446">
        <f t="shared" ref="AE82:AO82" si="293">AD82</f>
        <v>-0.13999999999999999</v>
      </c>
      <c r="AF82" s="446">
        <f t="shared" si="293"/>
        <v>-0.13999999999999999</v>
      </c>
      <c r="AG82" s="446">
        <f t="shared" si="293"/>
        <v>-0.13999999999999999</v>
      </c>
      <c r="AH82" s="446">
        <f t="shared" si="293"/>
        <v>-0.13999999999999999</v>
      </c>
      <c r="AI82" s="446">
        <f t="shared" si="293"/>
        <v>-0.13999999999999999</v>
      </c>
      <c r="AJ82" s="446">
        <f t="shared" si="293"/>
        <v>-0.13999999999999999</v>
      </c>
      <c r="AK82" s="446">
        <f t="shared" si="293"/>
        <v>-0.13999999999999999</v>
      </c>
      <c r="AL82" s="446">
        <f t="shared" si="293"/>
        <v>-0.13999999999999999</v>
      </c>
      <c r="AM82" s="446">
        <f t="shared" si="293"/>
        <v>-0.13999999999999999</v>
      </c>
      <c r="AN82" s="446">
        <f t="shared" si="293"/>
        <v>-0.13999999999999999</v>
      </c>
      <c r="AO82" s="446">
        <f t="shared" si="293"/>
        <v>-0.13999999999999999</v>
      </c>
      <c r="AP82" s="447">
        <f>AC82+1%</f>
        <v>-0.13999999999999999</v>
      </c>
      <c r="AQ82" s="446">
        <f>BC82</f>
        <v>-0.12999999999999998</v>
      </c>
      <c r="AR82" s="446">
        <f t="shared" ref="AR82:BB82" si="294">AQ82</f>
        <v>-0.12999999999999998</v>
      </c>
      <c r="AS82" s="446">
        <f t="shared" si="294"/>
        <v>-0.12999999999999998</v>
      </c>
      <c r="AT82" s="446">
        <f t="shared" si="294"/>
        <v>-0.12999999999999998</v>
      </c>
      <c r="AU82" s="446">
        <f t="shared" si="294"/>
        <v>-0.12999999999999998</v>
      </c>
      <c r="AV82" s="446">
        <f t="shared" si="294"/>
        <v>-0.12999999999999998</v>
      </c>
      <c r="AW82" s="446">
        <f t="shared" si="294"/>
        <v>-0.12999999999999998</v>
      </c>
      <c r="AX82" s="446">
        <f t="shared" si="294"/>
        <v>-0.12999999999999998</v>
      </c>
      <c r="AY82" s="446">
        <f t="shared" si="294"/>
        <v>-0.12999999999999998</v>
      </c>
      <c r="AZ82" s="446">
        <f t="shared" si="294"/>
        <v>-0.12999999999999998</v>
      </c>
      <c r="BA82" s="446">
        <f t="shared" si="294"/>
        <v>-0.12999999999999998</v>
      </c>
      <c r="BB82" s="446">
        <f t="shared" si="294"/>
        <v>-0.12999999999999998</v>
      </c>
      <c r="BC82" s="447">
        <f>AP82+1%</f>
        <v>-0.12999999999999998</v>
      </c>
      <c r="BD82" s="446">
        <f>BP82</f>
        <v>-0.11999999999999998</v>
      </c>
      <c r="BE82" s="446">
        <f t="shared" ref="BE82:BO82" si="295">BD82</f>
        <v>-0.11999999999999998</v>
      </c>
      <c r="BF82" s="446">
        <f t="shared" si="295"/>
        <v>-0.11999999999999998</v>
      </c>
      <c r="BG82" s="446">
        <f t="shared" si="295"/>
        <v>-0.11999999999999998</v>
      </c>
      <c r="BH82" s="446">
        <f t="shared" si="295"/>
        <v>-0.11999999999999998</v>
      </c>
      <c r="BI82" s="446">
        <f t="shared" si="295"/>
        <v>-0.11999999999999998</v>
      </c>
      <c r="BJ82" s="446">
        <f t="shared" si="295"/>
        <v>-0.11999999999999998</v>
      </c>
      <c r="BK82" s="446">
        <f t="shared" si="295"/>
        <v>-0.11999999999999998</v>
      </c>
      <c r="BL82" s="446">
        <f t="shared" si="295"/>
        <v>-0.11999999999999998</v>
      </c>
      <c r="BM82" s="446">
        <f t="shared" si="295"/>
        <v>-0.11999999999999998</v>
      </c>
      <c r="BN82" s="446">
        <f t="shared" si="295"/>
        <v>-0.11999999999999998</v>
      </c>
      <c r="BO82" s="446">
        <f t="shared" si="295"/>
        <v>-0.11999999999999998</v>
      </c>
      <c r="BP82" s="447">
        <f>BC82+1%</f>
        <v>-0.11999999999999998</v>
      </c>
      <c r="CF82" s="456" t="s">
        <v>1004</v>
      </c>
      <c r="CG82" s="446" t="s">
        <v>231</v>
      </c>
    </row>
    <row r="83" spans="1:85" s="446" customFormat="1" ht="10.199999999999999">
      <c r="A83" s="448" t="s">
        <v>620</v>
      </c>
      <c r="B83" s="446" t="s">
        <v>231</v>
      </c>
      <c r="D83" s="446">
        <f>P83</f>
        <v>-0.17499999999999999</v>
      </c>
      <c r="E83" s="446">
        <f t="shared" ref="E83:O83" si="296">D83</f>
        <v>-0.17499999999999999</v>
      </c>
      <c r="F83" s="446">
        <f t="shared" si="296"/>
        <v>-0.17499999999999999</v>
      </c>
      <c r="G83" s="446">
        <f t="shared" si="296"/>
        <v>-0.17499999999999999</v>
      </c>
      <c r="H83" s="446">
        <f t="shared" si="296"/>
        <v>-0.17499999999999999</v>
      </c>
      <c r="I83" s="446">
        <f t="shared" si="296"/>
        <v>-0.17499999999999999</v>
      </c>
      <c r="J83" s="446">
        <f t="shared" si="296"/>
        <v>-0.17499999999999999</v>
      </c>
      <c r="K83" s="446">
        <f t="shared" si="296"/>
        <v>-0.17499999999999999</v>
      </c>
      <c r="L83" s="446">
        <f t="shared" si="296"/>
        <v>-0.17499999999999999</v>
      </c>
      <c r="M83" s="446">
        <f t="shared" si="296"/>
        <v>-0.17499999999999999</v>
      </c>
      <c r="N83" s="446">
        <f t="shared" si="296"/>
        <v>-0.17499999999999999</v>
      </c>
      <c r="O83" s="446">
        <f t="shared" si="296"/>
        <v>-0.17499999999999999</v>
      </c>
      <c r="P83" s="447">
        <v>-0.17499999999999999</v>
      </c>
      <c r="Q83" s="446">
        <f>AC83</f>
        <v>-0.16499999999999998</v>
      </c>
      <c r="R83" s="446">
        <f t="shared" ref="R83:AB83" si="297">Q83</f>
        <v>-0.16499999999999998</v>
      </c>
      <c r="S83" s="446">
        <f t="shared" si="297"/>
        <v>-0.16499999999999998</v>
      </c>
      <c r="T83" s="446">
        <f t="shared" si="297"/>
        <v>-0.16499999999999998</v>
      </c>
      <c r="U83" s="446">
        <f t="shared" si="297"/>
        <v>-0.16499999999999998</v>
      </c>
      <c r="V83" s="446">
        <f t="shared" si="297"/>
        <v>-0.16499999999999998</v>
      </c>
      <c r="W83" s="446">
        <f t="shared" si="297"/>
        <v>-0.16499999999999998</v>
      </c>
      <c r="X83" s="446">
        <f t="shared" si="297"/>
        <v>-0.16499999999999998</v>
      </c>
      <c r="Y83" s="446">
        <f t="shared" si="297"/>
        <v>-0.16499999999999998</v>
      </c>
      <c r="Z83" s="446">
        <f t="shared" si="297"/>
        <v>-0.16499999999999998</v>
      </c>
      <c r="AA83" s="446">
        <f t="shared" si="297"/>
        <v>-0.16499999999999998</v>
      </c>
      <c r="AB83" s="446">
        <f t="shared" si="297"/>
        <v>-0.16499999999999998</v>
      </c>
      <c r="AC83" s="447">
        <f>P83+1%</f>
        <v>-0.16499999999999998</v>
      </c>
      <c r="AD83" s="446">
        <f>AP83</f>
        <v>-0.15499999999999997</v>
      </c>
      <c r="AE83" s="446">
        <f t="shared" ref="AE83:AO83" si="298">AD83</f>
        <v>-0.15499999999999997</v>
      </c>
      <c r="AF83" s="446">
        <f t="shared" si="298"/>
        <v>-0.15499999999999997</v>
      </c>
      <c r="AG83" s="446">
        <f t="shared" si="298"/>
        <v>-0.15499999999999997</v>
      </c>
      <c r="AH83" s="446">
        <f t="shared" si="298"/>
        <v>-0.15499999999999997</v>
      </c>
      <c r="AI83" s="446">
        <f t="shared" si="298"/>
        <v>-0.15499999999999997</v>
      </c>
      <c r="AJ83" s="446">
        <f t="shared" si="298"/>
        <v>-0.15499999999999997</v>
      </c>
      <c r="AK83" s="446">
        <f t="shared" si="298"/>
        <v>-0.15499999999999997</v>
      </c>
      <c r="AL83" s="446">
        <f t="shared" si="298"/>
        <v>-0.15499999999999997</v>
      </c>
      <c r="AM83" s="446">
        <f t="shared" si="298"/>
        <v>-0.15499999999999997</v>
      </c>
      <c r="AN83" s="446">
        <f t="shared" si="298"/>
        <v>-0.15499999999999997</v>
      </c>
      <c r="AO83" s="446">
        <f t="shared" si="298"/>
        <v>-0.15499999999999997</v>
      </c>
      <c r="AP83" s="447">
        <f>AC83+1%</f>
        <v>-0.15499999999999997</v>
      </c>
      <c r="AQ83" s="446">
        <f>BC83</f>
        <v>-0.14499999999999996</v>
      </c>
      <c r="AR83" s="446">
        <f t="shared" ref="AR83:BB83" si="299">AQ83</f>
        <v>-0.14499999999999996</v>
      </c>
      <c r="AS83" s="446">
        <f t="shared" si="299"/>
        <v>-0.14499999999999996</v>
      </c>
      <c r="AT83" s="446">
        <f t="shared" si="299"/>
        <v>-0.14499999999999996</v>
      </c>
      <c r="AU83" s="446">
        <f t="shared" si="299"/>
        <v>-0.14499999999999996</v>
      </c>
      <c r="AV83" s="446">
        <f t="shared" si="299"/>
        <v>-0.14499999999999996</v>
      </c>
      <c r="AW83" s="446">
        <f t="shared" si="299"/>
        <v>-0.14499999999999996</v>
      </c>
      <c r="AX83" s="446">
        <f t="shared" si="299"/>
        <v>-0.14499999999999996</v>
      </c>
      <c r="AY83" s="446">
        <f t="shared" si="299"/>
        <v>-0.14499999999999996</v>
      </c>
      <c r="AZ83" s="446">
        <f t="shared" si="299"/>
        <v>-0.14499999999999996</v>
      </c>
      <c r="BA83" s="446">
        <f t="shared" si="299"/>
        <v>-0.14499999999999996</v>
      </c>
      <c r="BB83" s="446">
        <f t="shared" si="299"/>
        <v>-0.14499999999999996</v>
      </c>
      <c r="BC83" s="447">
        <f>AP83+1%</f>
        <v>-0.14499999999999996</v>
      </c>
      <c r="BD83" s="446">
        <f>BP83</f>
        <v>-0.13499999999999995</v>
      </c>
      <c r="BE83" s="446">
        <f t="shared" ref="BE83:BO83" si="300">BD83</f>
        <v>-0.13499999999999995</v>
      </c>
      <c r="BF83" s="446">
        <f t="shared" si="300"/>
        <v>-0.13499999999999995</v>
      </c>
      <c r="BG83" s="446">
        <f t="shared" si="300"/>
        <v>-0.13499999999999995</v>
      </c>
      <c r="BH83" s="446">
        <f t="shared" si="300"/>
        <v>-0.13499999999999995</v>
      </c>
      <c r="BI83" s="446">
        <f t="shared" si="300"/>
        <v>-0.13499999999999995</v>
      </c>
      <c r="BJ83" s="446">
        <f t="shared" si="300"/>
        <v>-0.13499999999999995</v>
      </c>
      <c r="BK83" s="446">
        <f t="shared" si="300"/>
        <v>-0.13499999999999995</v>
      </c>
      <c r="BL83" s="446">
        <f t="shared" si="300"/>
        <v>-0.13499999999999995</v>
      </c>
      <c r="BM83" s="446">
        <f t="shared" si="300"/>
        <v>-0.13499999999999995</v>
      </c>
      <c r="BN83" s="446">
        <f t="shared" si="300"/>
        <v>-0.13499999999999995</v>
      </c>
      <c r="BO83" s="446">
        <f t="shared" si="300"/>
        <v>-0.13499999999999995</v>
      </c>
      <c r="BP83" s="447">
        <f>BC83+1%</f>
        <v>-0.13499999999999995</v>
      </c>
      <c r="CF83" s="456" t="s">
        <v>1005</v>
      </c>
      <c r="CG83" s="446" t="s">
        <v>231</v>
      </c>
    </row>
    <row r="84" spans="1:85" s="433" customFormat="1">
      <c r="A84" s="433" t="s">
        <v>702</v>
      </c>
      <c r="B84" s="467" t="s">
        <v>231</v>
      </c>
      <c r="C84" s="466">
        <f>'packages (indiv)'!C114</f>
        <v>-0.12</v>
      </c>
      <c r="D84" s="432">
        <f>(P84-C84)/12+C84</f>
        <v>-0.11958333333333333</v>
      </c>
      <c r="E84" s="432">
        <f>(P84-C84)/12+D84</f>
        <v>-0.11916666666666667</v>
      </c>
      <c r="F84" s="432">
        <f>(P84-C84)/12+E84</f>
        <v>-0.11875000000000001</v>
      </c>
      <c r="G84" s="432">
        <f>(P84-C84)/12+F84</f>
        <v>-0.11833333333333335</v>
      </c>
      <c r="H84" s="432">
        <f>(P84-C84)/12+G84</f>
        <v>-0.11791666666666668</v>
      </c>
      <c r="I84" s="432">
        <f>(P84-C84)/12+H84</f>
        <v>-0.11750000000000002</v>
      </c>
      <c r="J84" s="432">
        <f>(P84-C84)/12+I84</f>
        <v>-0.11708333333333336</v>
      </c>
      <c r="K84" s="432">
        <f>(P84-C84)/12+J84</f>
        <v>-0.1166666666666667</v>
      </c>
      <c r="L84" s="432">
        <f>(P84-C84)/12+K84</f>
        <v>-0.11625000000000003</v>
      </c>
      <c r="M84" s="432">
        <f>(P84-C84)/12+L84</f>
        <v>-0.11583333333333337</v>
      </c>
      <c r="N84" s="432">
        <f>(P84-C84)/12+M84</f>
        <v>-0.11541666666666671</v>
      </c>
      <c r="O84" s="432">
        <f>(P84-C84)/12+N84</f>
        <v>-0.11500000000000005</v>
      </c>
      <c r="P84" s="431">
        <f>'packages (indiv)'!P114</f>
        <v>-0.11499999999999999</v>
      </c>
      <c r="Q84" s="432">
        <f>(AC84-P84)/12+P84</f>
        <v>-0.11458333333333333</v>
      </c>
      <c r="R84" s="432">
        <f>(AC84-P84)/12+Q84</f>
        <v>-0.11416666666666667</v>
      </c>
      <c r="S84" s="432">
        <f>(AC84-P84)/12+R84</f>
        <v>-0.11375</v>
      </c>
      <c r="T84" s="432">
        <f>(AC84-P84)/12+S84</f>
        <v>-0.11333333333333334</v>
      </c>
      <c r="U84" s="432">
        <f>(AC84-P84)/12+T84</f>
        <v>-0.11291666666666668</v>
      </c>
      <c r="V84" s="432">
        <f>(AC84-P84)/12+U84</f>
        <v>-0.11250000000000002</v>
      </c>
      <c r="W84" s="432">
        <f>(AC84-P84)/12+V84</f>
        <v>-0.11208333333333335</v>
      </c>
      <c r="X84" s="432">
        <f>(AC84-P84)/12+W84</f>
        <v>-0.11166666666666669</v>
      </c>
      <c r="Y84" s="432">
        <f>(AC84-P84)/12+X84</f>
        <v>-0.11125000000000003</v>
      </c>
      <c r="Z84" s="432">
        <f>(AC84-P84)/12+Y84</f>
        <v>-0.11083333333333337</v>
      </c>
      <c r="AA84" s="432">
        <f>(AC84-P84)/12+Z84</f>
        <v>-0.1104166666666667</v>
      </c>
      <c r="AB84" s="432">
        <f>(AC84-P84)/12+AA84</f>
        <v>-0.11000000000000004</v>
      </c>
      <c r="AC84" s="431">
        <f>'packages (indiv)'!AC114</f>
        <v>-0.10999999999999999</v>
      </c>
      <c r="AD84" s="432">
        <f>(AP84-AC84)/12+AC84</f>
        <v>-0.10916666666666665</v>
      </c>
      <c r="AE84" s="432">
        <f>(AP84-AC84)/12+AD84</f>
        <v>-0.10833333333333331</v>
      </c>
      <c r="AF84" s="432">
        <f>(AP84-AC84)/12+AE84</f>
        <v>-0.10749999999999997</v>
      </c>
      <c r="AG84" s="432">
        <f>(AP84-AC84)/12+AF84</f>
        <v>-0.10666666666666663</v>
      </c>
      <c r="AH84" s="432">
        <f>(AP84-AC84)/12+AG84</f>
        <v>-0.10583333333333329</v>
      </c>
      <c r="AI84" s="432">
        <f>(AP84-AC84)/12+AH84</f>
        <v>-0.10499999999999995</v>
      </c>
      <c r="AJ84" s="432">
        <f>(AP84-AC84)/12+AI84</f>
        <v>-0.10416666666666662</v>
      </c>
      <c r="AK84" s="432">
        <f>(AP84-AC84)/12+AJ84</f>
        <v>-0.10333333333333328</v>
      </c>
      <c r="AL84" s="432">
        <f>(AP84-AC84)/12+AK84</f>
        <v>-0.10249999999999994</v>
      </c>
      <c r="AM84" s="432">
        <f>(AP84-AC84)/12+AL84</f>
        <v>-0.1016666666666666</v>
      </c>
      <c r="AN84" s="432">
        <f>(AP84-AC84)/12+AM84</f>
        <v>-0.10083333333333326</v>
      </c>
      <c r="AO84" s="432">
        <f>(AP84-AC84)/12+AN84</f>
        <v>-9.9999999999999922E-2</v>
      </c>
      <c r="AP84" s="431">
        <f>'packages (indiv)'!AP114</f>
        <v>-9.9999999999999978E-2</v>
      </c>
      <c r="AQ84" s="432">
        <f>(BC84-AP84)/12+AP84</f>
        <v>-9.9166666666666639E-2</v>
      </c>
      <c r="AR84" s="432">
        <f>(BC84-AP84)/12+AQ84</f>
        <v>-9.83333333333333E-2</v>
      </c>
      <c r="AS84" s="432">
        <f>(BC84-AP84)/12+AR84</f>
        <v>-9.7499999999999962E-2</v>
      </c>
      <c r="AT84" s="432">
        <f>(BC84-AP84)/12+AS84</f>
        <v>-9.6666666666666623E-2</v>
      </c>
      <c r="AU84" s="432">
        <f>(BC84-AP84)/12+AT84</f>
        <v>-9.5833333333333284E-2</v>
      </c>
      <c r="AV84" s="432">
        <f>(BC84-AP84)/12+AU84</f>
        <v>-9.4999999999999946E-2</v>
      </c>
      <c r="AW84" s="432">
        <f>(BC84-AP84)/12+AV84</f>
        <v>-9.4166666666666607E-2</v>
      </c>
      <c r="AX84" s="432">
        <f>(BC84-AP84)/12+AW84</f>
        <v>-9.3333333333333268E-2</v>
      </c>
      <c r="AY84" s="432">
        <f>(BC84-AP84)/12+AX84</f>
        <v>-9.249999999999993E-2</v>
      </c>
      <c r="AZ84" s="432">
        <f>(BC84-AP84)/12+AY84</f>
        <v>-9.1666666666666591E-2</v>
      </c>
      <c r="BA84" s="432">
        <f>(BC84-AP84)/12+AZ84</f>
        <v>-9.0833333333333252E-2</v>
      </c>
      <c r="BB84" s="432">
        <f>(BC84-AP84)/12+BA84</f>
        <v>-8.9999999999999913E-2</v>
      </c>
      <c r="BC84" s="431">
        <f>'packages (indiv)'!BC114</f>
        <v>-8.9999999999999969E-2</v>
      </c>
      <c r="BD84" s="432">
        <f>(BP84-BC84)/12+BC84</f>
        <v>-8.916666666666663E-2</v>
      </c>
      <c r="BE84" s="432">
        <f>(BP84-BC84)/12+BD84</f>
        <v>-8.8333333333333292E-2</v>
      </c>
      <c r="BF84" s="432">
        <f>(BP84-BC84)/12+BE84</f>
        <v>-8.7499999999999953E-2</v>
      </c>
      <c r="BG84" s="432">
        <f>(BP84-BC84)/12+BF84</f>
        <v>-8.6666666666666614E-2</v>
      </c>
      <c r="BH84" s="432">
        <f>(BP84-BC84)/12+BG84</f>
        <v>-8.5833333333333275E-2</v>
      </c>
      <c r="BI84" s="432">
        <f>(BP84-BC84)/12+BH84</f>
        <v>-8.4999999999999937E-2</v>
      </c>
      <c r="BJ84" s="432">
        <f>(BP84-BC84)/12+BI84</f>
        <v>-8.4166666666666598E-2</v>
      </c>
      <c r="BK84" s="432">
        <f>(BP84-BC84)/12+BJ84</f>
        <v>-8.3333333333333259E-2</v>
      </c>
      <c r="BL84" s="432">
        <f>(BP84-BC84)/12+BK84</f>
        <v>-8.2499999999999921E-2</v>
      </c>
      <c r="BM84" s="432">
        <f>(BP84-BC84)/12+BL84</f>
        <v>-8.1666666666666582E-2</v>
      </c>
      <c r="BN84" s="432">
        <f>(BP84-BC84)/12+BM84</f>
        <v>-8.0833333333333243E-2</v>
      </c>
      <c r="BO84" s="432">
        <f>(BP84-BC84)/12+BN84</f>
        <v>-7.9999999999999905E-2</v>
      </c>
      <c r="BP84" s="431">
        <f>'packages (indiv)'!BP114</f>
        <v>-7.999999999999996E-2</v>
      </c>
      <c r="BQ84" s="3"/>
      <c r="CF84" s="4" t="s">
        <v>1075</v>
      </c>
      <c r="CG84" s="445" t="s">
        <v>231</v>
      </c>
    </row>
    <row r="85" spans="1:85">
      <c r="A85" s="4" t="s">
        <v>701</v>
      </c>
      <c r="B85" s="295" t="s">
        <v>231</v>
      </c>
      <c r="D85" s="293">
        <f>P85</f>
        <v>1.2E-2</v>
      </c>
      <c r="E85" s="293">
        <f t="shared" ref="E85:O85" si="301">D85</f>
        <v>1.2E-2</v>
      </c>
      <c r="F85" s="293">
        <f t="shared" si="301"/>
        <v>1.2E-2</v>
      </c>
      <c r="G85" s="293">
        <f t="shared" si="301"/>
        <v>1.2E-2</v>
      </c>
      <c r="H85" s="293">
        <f t="shared" si="301"/>
        <v>1.2E-2</v>
      </c>
      <c r="I85" s="293">
        <f t="shared" si="301"/>
        <v>1.2E-2</v>
      </c>
      <c r="J85" s="293">
        <f t="shared" si="301"/>
        <v>1.2E-2</v>
      </c>
      <c r="K85" s="293">
        <f t="shared" si="301"/>
        <v>1.2E-2</v>
      </c>
      <c r="L85" s="293">
        <f t="shared" si="301"/>
        <v>1.2E-2</v>
      </c>
      <c r="M85" s="293">
        <f t="shared" si="301"/>
        <v>1.2E-2</v>
      </c>
      <c r="N85" s="293">
        <f t="shared" si="301"/>
        <v>1.2E-2</v>
      </c>
      <c r="O85" s="293">
        <f t="shared" si="301"/>
        <v>1.2E-2</v>
      </c>
      <c r="P85" s="350">
        <v>1.2E-2</v>
      </c>
      <c r="Q85" s="293">
        <f>AC85</f>
        <v>1.14E-2</v>
      </c>
      <c r="R85" s="293">
        <f t="shared" ref="R85:AB85" si="302">Q85</f>
        <v>1.14E-2</v>
      </c>
      <c r="S85" s="293">
        <f t="shared" si="302"/>
        <v>1.14E-2</v>
      </c>
      <c r="T85" s="293">
        <f t="shared" si="302"/>
        <v>1.14E-2</v>
      </c>
      <c r="U85" s="293">
        <f t="shared" si="302"/>
        <v>1.14E-2</v>
      </c>
      <c r="V85" s="293">
        <f t="shared" si="302"/>
        <v>1.14E-2</v>
      </c>
      <c r="W85" s="293">
        <f t="shared" si="302"/>
        <v>1.14E-2</v>
      </c>
      <c r="X85" s="293">
        <f t="shared" si="302"/>
        <v>1.14E-2</v>
      </c>
      <c r="Y85" s="293">
        <f t="shared" si="302"/>
        <v>1.14E-2</v>
      </c>
      <c r="Z85" s="293">
        <f t="shared" si="302"/>
        <v>1.14E-2</v>
      </c>
      <c r="AA85" s="293">
        <f t="shared" si="302"/>
        <v>1.14E-2</v>
      </c>
      <c r="AB85" s="293">
        <f t="shared" si="302"/>
        <v>1.14E-2</v>
      </c>
      <c r="AC85" s="350">
        <f>P85*95%</f>
        <v>1.14E-2</v>
      </c>
      <c r="AD85" s="293">
        <f>AP85</f>
        <v>1.0829999999999999E-2</v>
      </c>
      <c r="AE85" s="293">
        <f t="shared" ref="AE85:AO85" si="303">AD85</f>
        <v>1.0829999999999999E-2</v>
      </c>
      <c r="AF85" s="293">
        <f t="shared" si="303"/>
        <v>1.0829999999999999E-2</v>
      </c>
      <c r="AG85" s="293">
        <f t="shared" si="303"/>
        <v>1.0829999999999999E-2</v>
      </c>
      <c r="AH85" s="293">
        <f t="shared" si="303"/>
        <v>1.0829999999999999E-2</v>
      </c>
      <c r="AI85" s="293">
        <f t="shared" si="303"/>
        <v>1.0829999999999999E-2</v>
      </c>
      <c r="AJ85" s="293">
        <f t="shared" si="303"/>
        <v>1.0829999999999999E-2</v>
      </c>
      <c r="AK85" s="293">
        <f t="shared" si="303"/>
        <v>1.0829999999999999E-2</v>
      </c>
      <c r="AL85" s="293">
        <f t="shared" si="303"/>
        <v>1.0829999999999999E-2</v>
      </c>
      <c r="AM85" s="293">
        <f t="shared" si="303"/>
        <v>1.0829999999999999E-2</v>
      </c>
      <c r="AN85" s="293">
        <f t="shared" si="303"/>
        <v>1.0829999999999999E-2</v>
      </c>
      <c r="AO85" s="293">
        <f t="shared" si="303"/>
        <v>1.0829999999999999E-2</v>
      </c>
      <c r="AP85" s="350">
        <f>AC85*95%</f>
        <v>1.0829999999999999E-2</v>
      </c>
      <c r="AQ85" s="293">
        <f>BC85</f>
        <v>1.0288499999999999E-2</v>
      </c>
      <c r="AR85" s="293">
        <f t="shared" ref="AR85:BB85" si="304">AQ85</f>
        <v>1.0288499999999999E-2</v>
      </c>
      <c r="AS85" s="293">
        <f t="shared" si="304"/>
        <v>1.0288499999999999E-2</v>
      </c>
      <c r="AT85" s="293">
        <f t="shared" si="304"/>
        <v>1.0288499999999999E-2</v>
      </c>
      <c r="AU85" s="293">
        <f t="shared" si="304"/>
        <v>1.0288499999999999E-2</v>
      </c>
      <c r="AV85" s="293">
        <f t="shared" si="304"/>
        <v>1.0288499999999999E-2</v>
      </c>
      <c r="AW85" s="293">
        <f t="shared" si="304"/>
        <v>1.0288499999999999E-2</v>
      </c>
      <c r="AX85" s="293">
        <f t="shared" si="304"/>
        <v>1.0288499999999999E-2</v>
      </c>
      <c r="AY85" s="293">
        <f t="shared" si="304"/>
        <v>1.0288499999999999E-2</v>
      </c>
      <c r="AZ85" s="293">
        <f t="shared" si="304"/>
        <v>1.0288499999999999E-2</v>
      </c>
      <c r="BA85" s="293">
        <f t="shared" si="304"/>
        <v>1.0288499999999999E-2</v>
      </c>
      <c r="BB85" s="293">
        <f t="shared" si="304"/>
        <v>1.0288499999999999E-2</v>
      </c>
      <c r="BC85" s="350">
        <f>AP85*95%</f>
        <v>1.0288499999999999E-2</v>
      </c>
      <c r="BD85" s="293">
        <f>BP85</f>
        <v>9.7740749999999984E-3</v>
      </c>
      <c r="BE85" s="293">
        <f t="shared" ref="BE85:BO85" si="305">BD85</f>
        <v>9.7740749999999984E-3</v>
      </c>
      <c r="BF85" s="293">
        <f t="shared" si="305"/>
        <v>9.7740749999999984E-3</v>
      </c>
      <c r="BG85" s="293">
        <f t="shared" si="305"/>
        <v>9.7740749999999984E-3</v>
      </c>
      <c r="BH85" s="293">
        <f t="shared" si="305"/>
        <v>9.7740749999999984E-3</v>
      </c>
      <c r="BI85" s="293">
        <f t="shared" si="305"/>
        <v>9.7740749999999984E-3</v>
      </c>
      <c r="BJ85" s="293">
        <f t="shared" si="305"/>
        <v>9.7740749999999984E-3</v>
      </c>
      <c r="BK85" s="293">
        <f t="shared" si="305"/>
        <v>9.7740749999999984E-3</v>
      </c>
      <c r="BL85" s="293">
        <f t="shared" si="305"/>
        <v>9.7740749999999984E-3</v>
      </c>
      <c r="BM85" s="293">
        <f t="shared" si="305"/>
        <v>9.7740749999999984E-3</v>
      </c>
      <c r="BN85" s="293">
        <f t="shared" si="305"/>
        <v>9.7740749999999984E-3</v>
      </c>
      <c r="BO85" s="293">
        <f t="shared" si="305"/>
        <v>9.7740749999999984E-3</v>
      </c>
      <c r="BP85" s="350">
        <f>BC85*95%</f>
        <v>9.7740749999999984E-3</v>
      </c>
      <c r="CF85" s="4" t="s">
        <v>1076</v>
      </c>
      <c r="CG85" s="295" t="s">
        <v>231</v>
      </c>
    </row>
    <row r="86" spans="1:85">
      <c r="A86" s="294" t="s">
        <v>512</v>
      </c>
      <c r="B86" s="295" t="s">
        <v>231</v>
      </c>
      <c r="D86" s="293">
        <f>P86</f>
        <v>-0.02</v>
      </c>
      <c r="E86" s="293">
        <f t="shared" ref="E86:O86" si="306">D86</f>
        <v>-0.02</v>
      </c>
      <c r="F86" s="293">
        <f t="shared" si="306"/>
        <v>-0.02</v>
      </c>
      <c r="G86" s="293">
        <f t="shared" si="306"/>
        <v>-0.02</v>
      </c>
      <c r="H86" s="293">
        <f t="shared" si="306"/>
        <v>-0.02</v>
      </c>
      <c r="I86" s="293">
        <f t="shared" si="306"/>
        <v>-0.02</v>
      </c>
      <c r="J86" s="293">
        <f t="shared" si="306"/>
        <v>-0.02</v>
      </c>
      <c r="K86" s="293">
        <f t="shared" si="306"/>
        <v>-0.02</v>
      </c>
      <c r="L86" s="293">
        <f t="shared" si="306"/>
        <v>-0.02</v>
      </c>
      <c r="M86" s="293">
        <f t="shared" si="306"/>
        <v>-0.02</v>
      </c>
      <c r="N86" s="293">
        <f t="shared" si="306"/>
        <v>-0.02</v>
      </c>
      <c r="O86" s="293">
        <f t="shared" si="306"/>
        <v>-0.02</v>
      </c>
      <c r="P86" s="350">
        <f>'Debit card (indiv)'!P55</f>
        <v>-0.02</v>
      </c>
      <c r="Q86" s="293">
        <f>AC86</f>
        <v>-1.9E-2</v>
      </c>
      <c r="R86" s="293">
        <f t="shared" ref="R86:AB86" si="307">Q86</f>
        <v>-1.9E-2</v>
      </c>
      <c r="S86" s="293">
        <f t="shared" si="307"/>
        <v>-1.9E-2</v>
      </c>
      <c r="T86" s="293">
        <f t="shared" si="307"/>
        <v>-1.9E-2</v>
      </c>
      <c r="U86" s="293">
        <f t="shared" si="307"/>
        <v>-1.9E-2</v>
      </c>
      <c r="V86" s="293">
        <f t="shared" si="307"/>
        <v>-1.9E-2</v>
      </c>
      <c r="W86" s="293">
        <f t="shared" si="307"/>
        <v>-1.9E-2</v>
      </c>
      <c r="X86" s="293">
        <f t="shared" si="307"/>
        <v>-1.9E-2</v>
      </c>
      <c r="Y86" s="293">
        <f t="shared" si="307"/>
        <v>-1.9E-2</v>
      </c>
      <c r="Z86" s="293">
        <f t="shared" si="307"/>
        <v>-1.9E-2</v>
      </c>
      <c r="AA86" s="293">
        <f t="shared" si="307"/>
        <v>-1.9E-2</v>
      </c>
      <c r="AB86" s="293">
        <f t="shared" si="307"/>
        <v>-1.9E-2</v>
      </c>
      <c r="AC86" s="350">
        <f>'Debit card (indiv)'!AC55</f>
        <v>-1.9E-2</v>
      </c>
      <c r="AD86" s="293">
        <f>AP86</f>
        <v>-1.805E-2</v>
      </c>
      <c r="AE86" s="293">
        <f t="shared" ref="AE86:AO86" si="308">AD86</f>
        <v>-1.805E-2</v>
      </c>
      <c r="AF86" s="293">
        <f t="shared" si="308"/>
        <v>-1.805E-2</v>
      </c>
      <c r="AG86" s="293">
        <f t="shared" si="308"/>
        <v>-1.805E-2</v>
      </c>
      <c r="AH86" s="293">
        <f t="shared" si="308"/>
        <v>-1.805E-2</v>
      </c>
      <c r="AI86" s="293">
        <f t="shared" si="308"/>
        <v>-1.805E-2</v>
      </c>
      <c r="AJ86" s="293">
        <f t="shared" si="308"/>
        <v>-1.805E-2</v>
      </c>
      <c r="AK86" s="293">
        <f t="shared" si="308"/>
        <v>-1.805E-2</v>
      </c>
      <c r="AL86" s="293">
        <f t="shared" si="308"/>
        <v>-1.805E-2</v>
      </c>
      <c r="AM86" s="293">
        <f t="shared" si="308"/>
        <v>-1.805E-2</v>
      </c>
      <c r="AN86" s="293">
        <f t="shared" si="308"/>
        <v>-1.805E-2</v>
      </c>
      <c r="AO86" s="293">
        <f t="shared" si="308"/>
        <v>-1.805E-2</v>
      </c>
      <c r="AP86" s="350">
        <f>'Debit card (indiv)'!AP55</f>
        <v>-1.805E-2</v>
      </c>
      <c r="AQ86" s="293">
        <f>BC86</f>
        <v>-1.71475E-2</v>
      </c>
      <c r="AR86" s="293">
        <f t="shared" ref="AR86:BB86" si="309">AQ86</f>
        <v>-1.71475E-2</v>
      </c>
      <c r="AS86" s="293">
        <f t="shared" si="309"/>
        <v>-1.71475E-2</v>
      </c>
      <c r="AT86" s="293">
        <f t="shared" si="309"/>
        <v>-1.71475E-2</v>
      </c>
      <c r="AU86" s="293">
        <f t="shared" si="309"/>
        <v>-1.71475E-2</v>
      </c>
      <c r="AV86" s="293">
        <f t="shared" si="309"/>
        <v>-1.71475E-2</v>
      </c>
      <c r="AW86" s="293">
        <f t="shared" si="309"/>
        <v>-1.71475E-2</v>
      </c>
      <c r="AX86" s="293">
        <f t="shared" si="309"/>
        <v>-1.71475E-2</v>
      </c>
      <c r="AY86" s="293">
        <f t="shared" si="309"/>
        <v>-1.71475E-2</v>
      </c>
      <c r="AZ86" s="293">
        <f t="shared" si="309"/>
        <v>-1.71475E-2</v>
      </c>
      <c r="BA86" s="293">
        <f t="shared" si="309"/>
        <v>-1.71475E-2</v>
      </c>
      <c r="BB86" s="293">
        <f t="shared" si="309"/>
        <v>-1.71475E-2</v>
      </c>
      <c r="BC86" s="350">
        <f>'Debit card (indiv)'!BC55</f>
        <v>-1.71475E-2</v>
      </c>
      <c r="BD86" s="293">
        <f>BP86</f>
        <v>-1.6290124999999999E-2</v>
      </c>
      <c r="BE86" s="293">
        <f t="shared" ref="BE86:BO86" si="310">BD86</f>
        <v>-1.6290124999999999E-2</v>
      </c>
      <c r="BF86" s="293">
        <f t="shared" si="310"/>
        <v>-1.6290124999999999E-2</v>
      </c>
      <c r="BG86" s="293">
        <f t="shared" si="310"/>
        <v>-1.6290124999999999E-2</v>
      </c>
      <c r="BH86" s="293">
        <f t="shared" si="310"/>
        <v>-1.6290124999999999E-2</v>
      </c>
      <c r="BI86" s="293">
        <f t="shared" si="310"/>
        <v>-1.6290124999999999E-2</v>
      </c>
      <c r="BJ86" s="293">
        <f t="shared" si="310"/>
        <v>-1.6290124999999999E-2</v>
      </c>
      <c r="BK86" s="293">
        <f t="shared" si="310"/>
        <v>-1.6290124999999999E-2</v>
      </c>
      <c r="BL86" s="293">
        <f t="shared" si="310"/>
        <v>-1.6290124999999999E-2</v>
      </c>
      <c r="BM86" s="293">
        <f t="shared" si="310"/>
        <v>-1.6290124999999999E-2</v>
      </c>
      <c r="BN86" s="293">
        <f t="shared" si="310"/>
        <v>-1.6290124999999999E-2</v>
      </c>
      <c r="BO86" s="293">
        <f t="shared" si="310"/>
        <v>-1.6290124999999999E-2</v>
      </c>
      <c r="BP86" s="350">
        <f>'Debit card (indiv)'!BP55</f>
        <v>-1.6290124999999999E-2</v>
      </c>
      <c r="CF86" s="4" t="s">
        <v>1077</v>
      </c>
      <c r="CG86" s="295" t="s">
        <v>231</v>
      </c>
    </row>
    <row r="87" spans="1:85">
      <c r="A87" s="294" t="s">
        <v>511</v>
      </c>
      <c r="B87" s="295" t="s">
        <v>231</v>
      </c>
      <c r="D87" s="293">
        <f>P87</f>
        <v>0</v>
      </c>
      <c r="E87" s="293">
        <f t="shared" ref="E87:O87" si="311">D87</f>
        <v>0</v>
      </c>
      <c r="F87" s="293">
        <f t="shared" si="311"/>
        <v>0</v>
      </c>
      <c r="G87" s="293">
        <f t="shared" si="311"/>
        <v>0</v>
      </c>
      <c r="H87" s="293">
        <f t="shared" si="311"/>
        <v>0</v>
      </c>
      <c r="I87" s="293">
        <f t="shared" si="311"/>
        <v>0</v>
      </c>
      <c r="J87" s="293">
        <f t="shared" si="311"/>
        <v>0</v>
      </c>
      <c r="K87" s="293">
        <f t="shared" si="311"/>
        <v>0</v>
      </c>
      <c r="L87" s="293">
        <f t="shared" si="311"/>
        <v>0</v>
      </c>
      <c r="M87" s="293">
        <f t="shared" si="311"/>
        <v>0</v>
      </c>
      <c r="N87" s="293">
        <f t="shared" si="311"/>
        <v>0</v>
      </c>
      <c r="O87" s="293">
        <f t="shared" si="311"/>
        <v>0</v>
      </c>
      <c r="P87" s="350">
        <v>0</v>
      </c>
      <c r="Q87" s="293">
        <f>AC87</f>
        <v>0</v>
      </c>
      <c r="R87" s="293">
        <f t="shared" ref="R87:AB87" si="312">Q87</f>
        <v>0</v>
      </c>
      <c r="S87" s="293">
        <f t="shared" si="312"/>
        <v>0</v>
      </c>
      <c r="T87" s="293">
        <f t="shared" si="312"/>
        <v>0</v>
      </c>
      <c r="U87" s="293">
        <f t="shared" si="312"/>
        <v>0</v>
      </c>
      <c r="V87" s="293">
        <f t="shared" si="312"/>
        <v>0</v>
      </c>
      <c r="W87" s="293">
        <f t="shared" si="312"/>
        <v>0</v>
      </c>
      <c r="X87" s="293">
        <f t="shared" si="312"/>
        <v>0</v>
      </c>
      <c r="Y87" s="293">
        <f t="shared" si="312"/>
        <v>0</v>
      </c>
      <c r="Z87" s="293">
        <f t="shared" si="312"/>
        <v>0</v>
      </c>
      <c r="AA87" s="293">
        <f t="shared" si="312"/>
        <v>0</v>
      </c>
      <c r="AB87" s="293">
        <f t="shared" si="312"/>
        <v>0</v>
      </c>
      <c r="AC87" s="350">
        <f>P87</f>
        <v>0</v>
      </c>
      <c r="AD87" s="293">
        <f>AP87</f>
        <v>0</v>
      </c>
      <c r="AE87" s="293">
        <f t="shared" ref="AE87:AO87" si="313">AD87</f>
        <v>0</v>
      </c>
      <c r="AF87" s="293">
        <f t="shared" si="313"/>
        <v>0</v>
      </c>
      <c r="AG87" s="293">
        <f t="shared" si="313"/>
        <v>0</v>
      </c>
      <c r="AH87" s="293">
        <f t="shared" si="313"/>
        <v>0</v>
      </c>
      <c r="AI87" s="293">
        <f t="shared" si="313"/>
        <v>0</v>
      </c>
      <c r="AJ87" s="293">
        <f t="shared" si="313"/>
        <v>0</v>
      </c>
      <c r="AK87" s="293">
        <f t="shared" si="313"/>
        <v>0</v>
      </c>
      <c r="AL87" s="293">
        <f t="shared" si="313"/>
        <v>0</v>
      </c>
      <c r="AM87" s="293">
        <f t="shared" si="313"/>
        <v>0</v>
      </c>
      <c r="AN87" s="293">
        <f t="shared" si="313"/>
        <v>0</v>
      </c>
      <c r="AO87" s="293">
        <f t="shared" si="313"/>
        <v>0</v>
      </c>
      <c r="AP87" s="350">
        <f>AC87</f>
        <v>0</v>
      </c>
      <c r="AQ87" s="293">
        <f>BC87</f>
        <v>0</v>
      </c>
      <c r="AR87" s="293">
        <f t="shared" ref="AR87:BB87" si="314">AQ87</f>
        <v>0</v>
      </c>
      <c r="AS87" s="293">
        <f t="shared" si="314"/>
        <v>0</v>
      </c>
      <c r="AT87" s="293">
        <f t="shared" si="314"/>
        <v>0</v>
      </c>
      <c r="AU87" s="293">
        <f t="shared" si="314"/>
        <v>0</v>
      </c>
      <c r="AV87" s="293">
        <f t="shared" si="314"/>
        <v>0</v>
      </c>
      <c r="AW87" s="293">
        <f t="shared" si="314"/>
        <v>0</v>
      </c>
      <c r="AX87" s="293">
        <f t="shared" si="314"/>
        <v>0</v>
      </c>
      <c r="AY87" s="293">
        <f t="shared" si="314"/>
        <v>0</v>
      </c>
      <c r="AZ87" s="293">
        <f t="shared" si="314"/>
        <v>0</v>
      </c>
      <c r="BA87" s="293">
        <f t="shared" si="314"/>
        <v>0</v>
      </c>
      <c r="BB87" s="293">
        <f t="shared" si="314"/>
        <v>0</v>
      </c>
      <c r="BC87" s="350">
        <f>AP87</f>
        <v>0</v>
      </c>
      <c r="BD87" s="293">
        <f>BP87</f>
        <v>0</v>
      </c>
      <c r="BE87" s="293">
        <f t="shared" ref="BE87:BO87" si="315">BD87</f>
        <v>0</v>
      </c>
      <c r="BF87" s="293">
        <f t="shared" si="315"/>
        <v>0</v>
      </c>
      <c r="BG87" s="293">
        <f t="shared" si="315"/>
        <v>0</v>
      </c>
      <c r="BH87" s="293">
        <f t="shared" si="315"/>
        <v>0</v>
      </c>
      <c r="BI87" s="293">
        <f t="shared" si="315"/>
        <v>0</v>
      </c>
      <c r="BJ87" s="293">
        <f t="shared" si="315"/>
        <v>0</v>
      </c>
      <c r="BK87" s="293">
        <f t="shared" si="315"/>
        <v>0</v>
      </c>
      <c r="BL87" s="293">
        <f t="shared" si="315"/>
        <v>0</v>
      </c>
      <c r="BM87" s="293">
        <f t="shared" si="315"/>
        <v>0</v>
      </c>
      <c r="BN87" s="293">
        <f t="shared" si="315"/>
        <v>0</v>
      </c>
      <c r="BO87" s="293">
        <f t="shared" si="315"/>
        <v>0</v>
      </c>
      <c r="BP87" s="350">
        <f>BC87</f>
        <v>0</v>
      </c>
      <c r="CF87" s="4" t="s">
        <v>1078</v>
      </c>
      <c r="CG87" s="295" t="s">
        <v>231</v>
      </c>
    </row>
    <row r="88" spans="1:85" s="3" customFormat="1">
      <c r="A88" s="300" t="s">
        <v>700</v>
      </c>
      <c r="B88" s="402" t="s">
        <v>130</v>
      </c>
      <c r="C88" s="5"/>
      <c r="P88" s="397"/>
      <c r="AC88" s="397"/>
      <c r="AP88" s="397"/>
      <c r="BC88" s="397"/>
      <c r="BP88" s="397"/>
      <c r="CF88" s="300" t="s">
        <v>1079</v>
      </c>
      <c r="CG88" s="402" t="s">
        <v>966</v>
      </c>
    </row>
    <row r="89" spans="1:85" s="3" customFormat="1">
      <c r="A89" s="398" t="s">
        <v>699</v>
      </c>
      <c r="B89" s="12" t="s">
        <v>130</v>
      </c>
      <c r="C89" s="5"/>
      <c r="D89" s="3">
        <f>P89</f>
        <v>0</v>
      </c>
      <c r="E89" s="3">
        <f t="shared" ref="E89:O89" si="316">D89</f>
        <v>0</v>
      </c>
      <c r="F89" s="3">
        <f t="shared" si="316"/>
        <v>0</v>
      </c>
      <c r="G89" s="3">
        <f t="shared" si="316"/>
        <v>0</v>
      </c>
      <c r="H89" s="3">
        <f t="shared" si="316"/>
        <v>0</v>
      </c>
      <c r="I89" s="3">
        <f t="shared" si="316"/>
        <v>0</v>
      </c>
      <c r="J89" s="3">
        <f t="shared" si="316"/>
        <v>0</v>
      </c>
      <c r="K89" s="3">
        <f t="shared" si="316"/>
        <v>0</v>
      </c>
      <c r="L89" s="3">
        <f t="shared" si="316"/>
        <v>0</v>
      </c>
      <c r="M89" s="3">
        <f t="shared" si="316"/>
        <v>0</v>
      </c>
      <c r="N89" s="3">
        <f t="shared" si="316"/>
        <v>0</v>
      </c>
      <c r="O89" s="3">
        <f t="shared" si="316"/>
        <v>0</v>
      </c>
      <c r="P89" s="443">
        <v>0</v>
      </c>
      <c r="Q89" s="3">
        <f>AC89</f>
        <v>0</v>
      </c>
      <c r="R89" s="3">
        <f t="shared" ref="R89:AB89" si="317">Q89</f>
        <v>0</v>
      </c>
      <c r="S89" s="3">
        <f t="shared" si="317"/>
        <v>0</v>
      </c>
      <c r="T89" s="3">
        <f t="shared" si="317"/>
        <v>0</v>
      </c>
      <c r="U89" s="3">
        <f t="shared" si="317"/>
        <v>0</v>
      </c>
      <c r="V89" s="3">
        <f t="shared" si="317"/>
        <v>0</v>
      </c>
      <c r="W89" s="3">
        <f t="shared" si="317"/>
        <v>0</v>
      </c>
      <c r="X89" s="3">
        <f t="shared" si="317"/>
        <v>0</v>
      </c>
      <c r="Y89" s="3">
        <f t="shared" si="317"/>
        <v>0</v>
      </c>
      <c r="Z89" s="3">
        <f t="shared" si="317"/>
        <v>0</v>
      </c>
      <c r="AA89" s="3">
        <f t="shared" si="317"/>
        <v>0</v>
      </c>
      <c r="AB89" s="3">
        <f t="shared" si="317"/>
        <v>0</v>
      </c>
      <c r="AC89" s="443">
        <f>P89</f>
        <v>0</v>
      </c>
      <c r="AD89" s="3">
        <f>AP89</f>
        <v>0</v>
      </c>
      <c r="AE89" s="3">
        <f t="shared" ref="AE89:AO89" si="318">AD89</f>
        <v>0</v>
      </c>
      <c r="AF89" s="3">
        <f t="shared" si="318"/>
        <v>0</v>
      </c>
      <c r="AG89" s="3">
        <f t="shared" si="318"/>
        <v>0</v>
      </c>
      <c r="AH89" s="3">
        <f t="shared" si="318"/>
        <v>0</v>
      </c>
      <c r="AI89" s="3">
        <f t="shared" si="318"/>
        <v>0</v>
      </c>
      <c r="AJ89" s="3">
        <f t="shared" si="318"/>
        <v>0</v>
      </c>
      <c r="AK89" s="3">
        <f t="shared" si="318"/>
        <v>0</v>
      </c>
      <c r="AL89" s="3">
        <f t="shared" si="318"/>
        <v>0</v>
      </c>
      <c r="AM89" s="3">
        <f t="shared" si="318"/>
        <v>0</v>
      </c>
      <c r="AN89" s="3">
        <f t="shared" si="318"/>
        <v>0</v>
      </c>
      <c r="AO89" s="3">
        <f t="shared" si="318"/>
        <v>0</v>
      </c>
      <c r="AP89" s="443">
        <f>AC89</f>
        <v>0</v>
      </c>
      <c r="AQ89" s="3">
        <f>BC89</f>
        <v>0</v>
      </c>
      <c r="AR89" s="3">
        <f t="shared" ref="AR89:BB89" si="319">AQ89</f>
        <v>0</v>
      </c>
      <c r="AS89" s="3">
        <f t="shared" si="319"/>
        <v>0</v>
      </c>
      <c r="AT89" s="3">
        <f t="shared" si="319"/>
        <v>0</v>
      </c>
      <c r="AU89" s="3">
        <f t="shared" si="319"/>
        <v>0</v>
      </c>
      <c r="AV89" s="3">
        <f t="shared" si="319"/>
        <v>0</v>
      </c>
      <c r="AW89" s="3">
        <f t="shared" si="319"/>
        <v>0</v>
      </c>
      <c r="AX89" s="3">
        <f t="shared" si="319"/>
        <v>0</v>
      </c>
      <c r="AY89" s="3">
        <f t="shared" si="319"/>
        <v>0</v>
      </c>
      <c r="AZ89" s="3">
        <f t="shared" si="319"/>
        <v>0</v>
      </c>
      <c r="BA89" s="3">
        <f t="shared" si="319"/>
        <v>0</v>
      </c>
      <c r="BB89" s="3">
        <f t="shared" si="319"/>
        <v>0</v>
      </c>
      <c r="BC89" s="443">
        <f>AP89</f>
        <v>0</v>
      </c>
      <c r="BD89" s="3">
        <f>BP89</f>
        <v>0</v>
      </c>
      <c r="BE89" s="3">
        <f t="shared" ref="BE89:BO89" si="320">BD89</f>
        <v>0</v>
      </c>
      <c r="BF89" s="3">
        <f t="shared" si="320"/>
        <v>0</v>
      </c>
      <c r="BG89" s="3">
        <f t="shared" si="320"/>
        <v>0</v>
      </c>
      <c r="BH89" s="3">
        <f t="shared" si="320"/>
        <v>0</v>
      </c>
      <c r="BI89" s="3">
        <f t="shared" si="320"/>
        <v>0</v>
      </c>
      <c r="BJ89" s="3">
        <f t="shared" si="320"/>
        <v>0</v>
      </c>
      <c r="BK89" s="3">
        <f t="shared" si="320"/>
        <v>0</v>
      </c>
      <c r="BL89" s="3">
        <f t="shared" si="320"/>
        <v>0</v>
      </c>
      <c r="BM89" s="3">
        <f t="shared" si="320"/>
        <v>0</v>
      </c>
      <c r="BN89" s="3">
        <f t="shared" si="320"/>
        <v>0</v>
      </c>
      <c r="BO89" s="3">
        <f t="shared" si="320"/>
        <v>0</v>
      </c>
      <c r="BP89" s="443">
        <f>BC89</f>
        <v>0</v>
      </c>
      <c r="CF89" s="398" t="s">
        <v>1073</v>
      </c>
      <c r="CG89" s="12" t="s">
        <v>966</v>
      </c>
    </row>
    <row r="90" spans="1:85" s="3" customFormat="1">
      <c r="A90" s="398" t="s">
        <v>698</v>
      </c>
      <c r="B90" s="12" t="s">
        <v>130</v>
      </c>
      <c r="C90" s="5"/>
      <c r="P90" s="397"/>
      <c r="AC90" s="397"/>
      <c r="AP90" s="397"/>
      <c r="BC90" s="397"/>
      <c r="BP90" s="397"/>
      <c r="CF90" s="398" t="s">
        <v>1074</v>
      </c>
      <c r="CG90" s="12" t="s">
        <v>966</v>
      </c>
    </row>
    <row r="91" spans="1:85" s="440" customFormat="1" ht="10.199999999999999">
      <c r="A91" s="442" t="s">
        <v>138</v>
      </c>
      <c r="B91" s="12" t="s">
        <v>130</v>
      </c>
      <c r="D91" s="440">
        <f>P91</f>
        <v>0</v>
      </c>
      <c r="E91" s="440">
        <f t="shared" ref="E91:O91" si="321">D91</f>
        <v>0</v>
      </c>
      <c r="F91" s="440">
        <f t="shared" si="321"/>
        <v>0</v>
      </c>
      <c r="G91" s="440">
        <f t="shared" si="321"/>
        <v>0</v>
      </c>
      <c r="H91" s="440">
        <f t="shared" si="321"/>
        <v>0</v>
      </c>
      <c r="I91" s="440">
        <f t="shared" si="321"/>
        <v>0</v>
      </c>
      <c r="J91" s="440">
        <f t="shared" si="321"/>
        <v>0</v>
      </c>
      <c r="K91" s="440">
        <f t="shared" si="321"/>
        <v>0</v>
      </c>
      <c r="L91" s="440">
        <f t="shared" si="321"/>
        <v>0</v>
      </c>
      <c r="M91" s="440">
        <f t="shared" si="321"/>
        <v>0</v>
      </c>
      <c r="N91" s="440">
        <f t="shared" si="321"/>
        <v>0</v>
      </c>
      <c r="O91" s="440">
        <f t="shared" si="321"/>
        <v>0</v>
      </c>
      <c r="P91" s="441">
        <v>0</v>
      </c>
      <c r="Q91" s="440">
        <f>AC91</f>
        <v>0</v>
      </c>
      <c r="R91" s="440">
        <f t="shared" ref="R91:AB91" si="322">Q91</f>
        <v>0</v>
      </c>
      <c r="S91" s="440">
        <f t="shared" si="322"/>
        <v>0</v>
      </c>
      <c r="T91" s="440">
        <f t="shared" si="322"/>
        <v>0</v>
      </c>
      <c r="U91" s="440">
        <f t="shared" si="322"/>
        <v>0</v>
      </c>
      <c r="V91" s="440">
        <f t="shared" si="322"/>
        <v>0</v>
      </c>
      <c r="W91" s="440">
        <f t="shared" si="322"/>
        <v>0</v>
      </c>
      <c r="X91" s="440">
        <f t="shared" si="322"/>
        <v>0</v>
      </c>
      <c r="Y91" s="440">
        <f t="shared" si="322"/>
        <v>0</v>
      </c>
      <c r="Z91" s="440">
        <f t="shared" si="322"/>
        <v>0</v>
      </c>
      <c r="AA91" s="440">
        <f t="shared" si="322"/>
        <v>0</v>
      </c>
      <c r="AB91" s="440">
        <f t="shared" si="322"/>
        <v>0</v>
      </c>
      <c r="AC91" s="441">
        <f>P91</f>
        <v>0</v>
      </c>
      <c r="AD91" s="440">
        <f>AP91</f>
        <v>0</v>
      </c>
      <c r="AE91" s="440">
        <f t="shared" ref="AE91:AO91" si="323">AD91</f>
        <v>0</v>
      </c>
      <c r="AF91" s="440">
        <f t="shared" si="323"/>
        <v>0</v>
      </c>
      <c r="AG91" s="440">
        <f t="shared" si="323"/>
        <v>0</v>
      </c>
      <c r="AH91" s="440">
        <f t="shared" si="323"/>
        <v>0</v>
      </c>
      <c r="AI91" s="440">
        <f t="shared" si="323"/>
        <v>0</v>
      </c>
      <c r="AJ91" s="440">
        <f t="shared" si="323"/>
        <v>0</v>
      </c>
      <c r="AK91" s="440">
        <f t="shared" si="323"/>
        <v>0</v>
      </c>
      <c r="AL91" s="440">
        <f t="shared" si="323"/>
        <v>0</v>
      </c>
      <c r="AM91" s="440">
        <f t="shared" si="323"/>
        <v>0</v>
      </c>
      <c r="AN91" s="440">
        <f t="shared" si="323"/>
        <v>0</v>
      </c>
      <c r="AO91" s="440">
        <f t="shared" si="323"/>
        <v>0</v>
      </c>
      <c r="AP91" s="441">
        <f>AC91</f>
        <v>0</v>
      </c>
      <c r="AQ91" s="440">
        <f>BC91</f>
        <v>0</v>
      </c>
      <c r="AR91" s="440">
        <f t="shared" ref="AR91:BB91" si="324">AQ91</f>
        <v>0</v>
      </c>
      <c r="AS91" s="440">
        <f t="shared" si="324"/>
        <v>0</v>
      </c>
      <c r="AT91" s="440">
        <f t="shared" si="324"/>
        <v>0</v>
      </c>
      <c r="AU91" s="440">
        <f t="shared" si="324"/>
        <v>0</v>
      </c>
      <c r="AV91" s="440">
        <f t="shared" si="324"/>
        <v>0</v>
      </c>
      <c r="AW91" s="440">
        <f t="shared" si="324"/>
        <v>0</v>
      </c>
      <c r="AX91" s="440">
        <f t="shared" si="324"/>
        <v>0</v>
      </c>
      <c r="AY91" s="440">
        <f t="shared" si="324"/>
        <v>0</v>
      </c>
      <c r="AZ91" s="440">
        <f t="shared" si="324"/>
        <v>0</v>
      </c>
      <c r="BA91" s="440">
        <f t="shared" si="324"/>
        <v>0</v>
      </c>
      <c r="BB91" s="440">
        <f t="shared" si="324"/>
        <v>0</v>
      </c>
      <c r="BC91" s="441">
        <f>AP91</f>
        <v>0</v>
      </c>
      <c r="BD91" s="440">
        <f>BP91</f>
        <v>0</v>
      </c>
      <c r="BE91" s="440">
        <f t="shared" ref="BE91:BO91" si="325">BD91</f>
        <v>0</v>
      </c>
      <c r="BF91" s="440">
        <f t="shared" si="325"/>
        <v>0</v>
      </c>
      <c r="BG91" s="440">
        <f t="shared" si="325"/>
        <v>0</v>
      </c>
      <c r="BH91" s="440">
        <f t="shared" si="325"/>
        <v>0</v>
      </c>
      <c r="BI91" s="440">
        <f t="shared" si="325"/>
        <v>0</v>
      </c>
      <c r="BJ91" s="440">
        <f t="shared" si="325"/>
        <v>0</v>
      </c>
      <c r="BK91" s="440">
        <f t="shared" si="325"/>
        <v>0</v>
      </c>
      <c r="BL91" s="440">
        <f t="shared" si="325"/>
        <v>0</v>
      </c>
      <c r="BM91" s="440">
        <f t="shared" si="325"/>
        <v>0</v>
      </c>
      <c r="BN91" s="440">
        <f t="shared" si="325"/>
        <v>0</v>
      </c>
      <c r="BO91" s="440">
        <f t="shared" si="325"/>
        <v>0</v>
      </c>
      <c r="BP91" s="441">
        <f>BC91</f>
        <v>0</v>
      </c>
      <c r="CF91" s="442" t="s">
        <v>1002</v>
      </c>
      <c r="CG91" s="12" t="s">
        <v>966</v>
      </c>
    </row>
    <row r="92" spans="1:85" s="440" customFormat="1" ht="10.199999999999999">
      <c r="A92" s="442" t="s">
        <v>142</v>
      </c>
      <c r="B92" s="12" t="s">
        <v>130</v>
      </c>
      <c r="D92" s="440">
        <f>P92</f>
        <v>0</v>
      </c>
      <c r="E92" s="440">
        <f t="shared" ref="E92:O92" si="326">D92</f>
        <v>0</v>
      </c>
      <c r="F92" s="440">
        <f t="shared" si="326"/>
        <v>0</v>
      </c>
      <c r="G92" s="440">
        <f t="shared" si="326"/>
        <v>0</v>
      </c>
      <c r="H92" s="440">
        <f t="shared" si="326"/>
        <v>0</v>
      </c>
      <c r="I92" s="440">
        <f t="shared" si="326"/>
        <v>0</v>
      </c>
      <c r="J92" s="440">
        <f t="shared" si="326"/>
        <v>0</v>
      </c>
      <c r="K92" s="440">
        <f t="shared" si="326"/>
        <v>0</v>
      </c>
      <c r="L92" s="440">
        <f t="shared" si="326"/>
        <v>0</v>
      </c>
      <c r="M92" s="440">
        <f t="shared" si="326"/>
        <v>0</v>
      </c>
      <c r="N92" s="440">
        <f t="shared" si="326"/>
        <v>0</v>
      </c>
      <c r="O92" s="440">
        <f t="shared" si="326"/>
        <v>0</v>
      </c>
      <c r="P92" s="441">
        <v>0</v>
      </c>
      <c r="Q92" s="440">
        <f>AC92</f>
        <v>0</v>
      </c>
      <c r="R92" s="440">
        <f t="shared" ref="R92:AB92" si="327">Q92</f>
        <v>0</v>
      </c>
      <c r="S92" s="440">
        <f t="shared" si="327"/>
        <v>0</v>
      </c>
      <c r="T92" s="440">
        <f t="shared" si="327"/>
        <v>0</v>
      </c>
      <c r="U92" s="440">
        <f t="shared" si="327"/>
        <v>0</v>
      </c>
      <c r="V92" s="440">
        <f t="shared" si="327"/>
        <v>0</v>
      </c>
      <c r="W92" s="440">
        <f t="shared" si="327"/>
        <v>0</v>
      </c>
      <c r="X92" s="440">
        <f t="shared" si="327"/>
        <v>0</v>
      </c>
      <c r="Y92" s="440">
        <f t="shared" si="327"/>
        <v>0</v>
      </c>
      <c r="Z92" s="440">
        <f t="shared" si="327"/>
        <v>0</v>
      </c>
      <c r="AA92" s="440">
        <f t="shared" si="327"/>
        <v>0</v>
      </c>
      <c r="AB92" s="440">
        <f t="shared" si="327"/>
        <v>0</v>
      </c>
      <c r="AC92" s="441">
        <f>P92</f>
        <v>0</v>
      </c>
      <c r="AD92" s="440">
        <f>AP92</f>
        <v>0</v>
      </c>
      <c r="AE92" s="440">
        <f t="shared" ref="AE92:AO92" si="328">AD92</f>
        <v>0</v>
      </c>
      <c r="AF92" s="440">
        <f t="shared" si="328"/>
        <v>0</v>
      </c>
      <c r="AG92" s="440">
        <f t="shared" si="328"/>
        <v>0</v>
      </c>
      <c r="AH92" s="440">
        <f t="shared" si="328"/>
        <v>0</v>
      </c>
      <c r="AI92" s="440">
        <f t="shared" si="328"/>
        <v>0</v>
      </c>
      <c r="AJ92" s="440">
        <f t="shared" si="328"/>
        <v>0</v>
      </c>
      <c r="AK92" s="440">
        <f t="shared" si="328"/>
        <v>0</v>
      </c>
      <c r="AL92" s="440">
        <f t="shared" si="328"/>
        <v>0</v>
      </c>
      <c r="AM92" s="440">
        <f t="shared" si="328"/>
        <v>0</v>
      </c>
      <c r="AN92" s="440">
        <f t="shared" si="328"/>
        <v>0</v>
      </c>
      <c r="AO92" s="440">
        <f t="shared" si="328"/>
        <v>0</v>
      </c>
      <c r="AP92" s="441">
        <f>AC92</f>
        <v>0</v>
      </c>
      <c r="AQ92" s="440">
        <f>BC92</f>
        <v>0</v>
      </c>
      <c r="AR92" s="440">
        <f t="shared" ref="AR92:BB92" si="329">AQ92</f>
        <v>0</v>
      </c>
      <c r="AS92" s="440">
        <f t="shared" si="329"/>
        <v>0</v>
      </c>
      <c r="AT92" s="440">
        <f t="shared" si="329"/>
        <v>0</v>
      </c>
      <c r="AU92" s="440">
        <f t="shared" si="329"/>
        <v>0</v>
      </c>
      <c r="AV92" s="440">
        <f t="shared" si="329"/>
        <v>0</v>
      </c>
      <c r="AW92" s="440">
        <f t="shared" si="329"/>
        <v>0</v>
      </c>
      <c r="AX92" s="440">
        <f t="shared" si="329"/>
        <v>0</v>
      </c>
      <c r="AY92" s="440">
        <f t="shared" si="329"/>
        <v>0</v>
      </c>
      <c r="AZ92" s="440">
        <f t="shared" si="329"/>
        <v>0</v>
      </c>
      <c r="BA92" s="440">
        <f t="shared" si="329"/>
        <v>0</v>
      </c>
      <c r="BB92" s="440">
        <f t="shared" si="329"/>
        <v>0</v>
      </c>
      <c r="BC92" s="441">
        <f>AP92</f>
        <v>0</v>
      </c>
      <c r="BD92" s="440">
        <f>BP92</f>
        <v>0</v>
      </c>
      <c r="BE92" s="440">
        <f t="shared" ref="BE92:BO92" si="330">BD92</f>
        <v>0</v>
      </c>
      <c r="BF92" s="440">
        <f t="shared" si="330"/>
        <v>0</v>
      </c>
      <c r="BG92" s="440">
        <f t="shared" si="330"/>
        <v>0</v>
      </c>
      <c r="BH92" s="440">
        <f t="shared" si="330"/>
        <v>0</v>
      </c>
      <c r="BI92" s="440">
        <f t="shared" si="330"/>
        <v>0</v>
      </c>
      <c r="BJ92" s="440">
        <f t="shared" si="330"/>
        <v>0</v>
      </c>
      <c r="BK92" s="440">
        <f t="shared" si="330"/>
        <v>0</v>
      </c>
      <c r="BL92" s="440">
        <f t="shared" si="330"/>
        <v>0</v>
      </c>
      <c r="BM92" s="440">
        <f t="shared" si="330"/>
        <v>0</v>
      </c>
      <c r="BN92" s="440">
        <f t="shared" si="330"/>
        <v>0</v>
      </c>
      <c r="BO92" s="440">
        <f t="shared" si="330"/>
        <v>0</v>
      </c>
      <c r="BP92" s="441">
        <f>BC92</f>
        <v>0</v>
      </c>
      <c r="CF92" s="442" t="s">
        <v>1003</v>
      </c>
      <c r="CG92" s="12" t="s">
        <v>966</v>
      </c>
    </row>
    <row r="93" spans="1:85" s="440" customFormat="1" ht="10.199999999999999">
      <c r="A93" s="442" t="s">
        <v>145</v>
      </c>
      <c r="B93" s="12" t="s">
        <v>130</v>
      </c>
      <c r="D93" s="440">
        <f>P93</f>
        <v>0</v>
      </c>
      <c r="E93" s="440">
        <f t="shared" ref="E93:O93" si="331">D93</f>
        <v>0</v>
      </c>
      <c r="F93" s="440">
        <f t="shared" si="331"/>
        <v>0</v>
      </c>
      <c r="G93" s="440">
        <f t="shared" si="331"/>
        <v>0</v>
      </c>
      <c r="H93" s="440">
        <f t="shared" si="331"/>
        <v>0</v>
      </c>
      <c r="I93" s="440">
        <f t="shared" si="331"/>
        <v>0</v>
      </c>
      <c r="J93" s="440">
        <f t="shared" si="331"/>
        <v>0</v>
      </c>
      <c r="K93" s="440">
        <f t="shared" si="331"/>
        <v>0</v>
      </c>
      <c r="L93" s="440">
        <f t="shared" si="331"/>
        <v>0</v>
      </c>
      <c r="M93" s="440">
        <f t="shared" si="331"/>
        <v>0</v>
      </c>
      <c r="N93" s="440">
        <f t="shared" si="331"/>
        <v>0</v>
      </c>
      <c r="O93" s="440">
        <f t="shared" si="331"/>
        <v>0</v>
      </c>
      <c r="P93" s="441">
        <v>0</v>
      </c>
      <c r="Q93" s="440">
        <f>AC93</f>
        <v>0</v>
      </c>
      <c r="R93" s="440">
        <f t="shared" ref="R93:AB93" si="332">Q93</f>
        <v>0</v>
      </c>
      <c r="S93" s="440">
        <f t="shared" si="332"/>
        <v>0</v>
      </c>
      <c r="T93" s="440">
        <f t="shared" si="332"/>
        <v>0</v>
      </c>
      <c r="U93" s="440">
        <f t="shared" si="332"/>
        <v>0</v>
      </c>
      <c r="V93" s="440">
        <f t="shared" si="332"/>
        <v>0</v>
      </c>
      <c r="W93" s="440">
        <f t="shared" si="332"/>
        <v>0</v>
      </c>
      <c r="X93" s="440">
        <f t="shared" si="332"/>
        <v>0</v>
      </c>
      <c r="Y93" s="440">
        <f t="shared" si="332"/>
        <v>0</v>
      </c>
      <c r="Z93" s="440">
        <f t="shared" si="332"/>
        <v>0</v>
      </c>
      <c r="AA93" s="440">
        <f t="shared" si="332"/>
        <v>0</v>
      </c>
      <c r="AB93" s="440">
        <f t="shared" si="332"/>
        <v>0</v>
      </c>
      <c r="AC93" s="441">
        <f>P93</f>
        <v>0</v>
      </c>
      <c r="AD93" s="440">
        <f>AP93</f>
        <v>0</v>
      </c>
      <c r="AE93" s="440">
        <f t="shared" ref="AE93:AO93" si="333">AD93</f>
        <v>0</v>
      </c>
      <c r="AF93" s="440">
        <f t="shared" si="333"/>
        <v>0</v>
      </c>
      <c r="AG93" s="440">
        <f t="shared" si="333"/>
        <v>0</v>
      </c>
      <c r="AH93" s="440">
        <f t="shared" si="333"/>
        <v>0</v>
      </c>
      <c r="AI93" s="440">
        <f t="shared" si="333"/>
        <v>0</v>
      </c>
      <c r="AJ93" s="440">
        <f t="shared" si="333"/>
        <v>0</v>
      </c>
      <c r="AK93" s="440">
        <f t="shared" si="333"/>
        <v>0</v>
      </c>
      <c r="AL93" s="440">
        <f t="shared" si="333"/>
        <v>0</v>
      </c>
      <c r="AM93" s="440">
        <f t="shared" si="333"/>
        <v>0</v>
      </c>
      <c r="AN93" s="440">
        <f t="shared" si="333"/>
        <v>0</v>
      </c>
      <c r="AO93" s="440">
        <f t="shared" si="333"/>
        <v>0</v>
      </c>
      <c r="AP93" s="441">
        <f>AC93</f>
        <v>0</v>
      </c>
      <c r="AQ93" s="440">
        <f>BC93</f>
        <v>0</v>
      </c>
      <c r="AR93" s="440">
        <f t="shared" ref="AR93:BB93" si="334">AQ93</f>
        <v>0</v>
      </c>
      <c r="AS93" s="440">
        <f t="shared" si="334"/>
        <v>0</v>
      </c>
      <c r="AT93" s="440">
        <f t="shared" si="334"/>
        <v>0</v>
      </c>
      <c r="AU93" s="440">
        <f t="shared" si="334"/>
        <v>0</v>
      </c>
      <c r="AV93" s="440">
        <f t="shared" si="334"/>
        <v>0</v>
      </c>
      <c r="AW93" s="440">
        <f t="shared" si="334"/>
        <v>0</v>
      </c>
      <c r="AX93" s="440">
        <f t="shared" si="334"/>
        <v>0</v>
      </c>
      <c r="AY93" s="440">
        <f t="shared" si="334"/>
        <v>0</v>
      </c>
      <c r="AZ93" s="440">
        <f t="shared" si="334"/>
        <v>0</v>
      </c>
      <c r="BA93" s="440">
        <f t="shared" si="334"/>
        <v>0</v>
      </c>
      <c r="BB93" s="440">
        <f t="shared" si="334"/>
        <v>0</v>
      </c>
      <c r="BC93" s="441">
        <f>AP93</f>
        <v>0</v>
      </c>
      <c r="BD93" s="440">
        <f>BP93</f>
        <v>0</v>
      </c>
      <c r="BE93" s="440">
        <f t="shared" ref="BE93:BO93" si="335">BD93</f>
        <v>0</v>
      </c>
      <c r="BF93" s="440">
        <f t="shared" si="335"/>
        <v>0</v>
      </c>
      <c r="BG93" s="440">
        <f t="shared" si="335"/>
        <v>0</v>
      </c>
      <c r="BH93" s="440">
        <f t="shared" si="335"/>
        <v>0</v>
      </c>
      <c r="BI93" s="440">
        <f t="shared" si="335"/>
        <v>0</v>
      </c>
      <c r="BJ93" s="440">
        <f t="shared" si="335"/>
        <v>0</v>
      </c>
      <c r="BK93" s="440">
        <f t="shared" si="335"/>
        <v>0</v>
      </c>
      <c r="BL93" s="440">
        <f t="shared" si="335"/>
        <v>0</v>
      </c>
      <c r="BM93" s="440">
        <f t="shared" si="335"/>
        <v>0</v>
      </c>
      <c r="BN93" s="440">
        <f t="shared" si="335"/>
        <v>0</v>
      </c>
      <c r="BO93" s="440">
        <f t="shared" si="335"/>
        <v>0</v>
      </c>
      <c r="BP93" s="441">
        <f>BC93</f>
        <v>0</v>
      </c>
      <c r="CF93" s="442" t="s">
        <v>1004</v>
      </c>
      <c r="CG93" s="12" t="s">
        <v>966</v>
      </c>
    </row>
    <row r="94" spans="1:85" s="440" customFormat="1" ht="10.199999999999999">
      <c r="A94" s="442" t="s">
        <v>620</v>
      </c>
      <c r="B94" s="12" t="s">
        <v>130</v>
      </c>
      <c r="D94" s="440">
        <f>P94</f>
        <v>0</v>
      </c>
      <c r="E94" s="440">
        <f t="shared" ref="E94:O94" si="336">D94</f>
        <v>0</v>
      </c>
      <c r="F94" s="440">
        <f t="shared" si="336"/>
        <v>0</v>
      </c>
      <c r="G94" s="440">
        <f t="shared" si="336"/>
        <v>0</v>
      </c>
      <c r="H94" s="440">
        <f t="shared" si="336"/>
        <v>0</v>
      </c>
      <c r="I94" s="440">
        <f t="shared" si="336"/>
        <v>0</v>
      </c>
      <c r="J94" s="440">
        <f t="shared" si="336"/>
        <v>0</v>
      </c>
      <c r="K94" s="440">
        <f t="shared" si="336"/>
        <v>0</v>
      </c>
      <c r="L94" s="440">
        <f t="shared" si="336"/>
        <v>0</v>
      </c>
      <c r="M94" s="440">
        <f t="shared" si="336"/>
        <v>0</v>
      </c>
      <c r="N94" s="440">
        <f t="shared" si="336"/>
        <v>0</v>
      </c>
      <c r="O94" s="440">
        <f t="shared" si="336"/>
        <v>0</v>
      </c>
      <c r="P94" s="441">
        <v>0</v>
      </c>
      <c r="Q94" s="440">
        <f>AC94</f>
        <v>0</v>
      </c>
      <c r="R94" s="440">
        <f t="shared" ref="R94:AB94" si="337">Q94</f>
        <v>0</v>
      </c>
      <c r="S94" s="440">
        <f t="shared" si="337"/>
        <v>0</v>
      </c>
      <c r="T94" s="440">
        <f t="shared" si="337"/>
        <v>0</v>
      </c>
      <c r="U94" s="440">
        <f t="shared" si="337"/>
        <v>0</v>
      </c>
      <c r="V94" s="440">
        <f t="shared" si="337"/>
        <v>0</v>
      </c>
      <c r="W94" s="440">
        <f t="shared" si="337"/>
        <v>0</v>
      </c>
      <c r="X94" s="440">
        <f t="shared" si="337"/>
        <v>0</v>
      </c>
      <c r="Y94" s="440">
        <f t="shared" si="337"/>
        <v>0</v>
      </c>
      <c r="Z94" s="440">
        <f t="shared" si="337"/>
        <v>0</v>
      </c>
      <c r="AA94" s="440">
        <f t="shared" si="337"/>
        <v>0</v>
      </c>
      <c r="AB94" s="440">
        <f t="shared" si="337"/>
        <v>0</v>
      </c>
      <c r="AC94" s="441">
        <f>P94</f>
        <v>0</v>
      </c>
      <c r="AD94" s="440">
        <f>AP94</f>
        <v>0</v>
      </c>
      <c r="AE94" s="440">
        <f t="shared" ref="AE94:AO94" si="338">AD94</f>
        <v>0</v>
      </c>
      <c r="AF94" s="440">
        <f t="shared" si="338"/>
        <v>0</v>
      </c>
      <c r="AG94" s="440">
        <f t="shared" si="338"/>
        <v>0</v>
      </c>
      <c r="AH94" s="440">
        <f t="shared" si="338"/>
        <v>0</v>
      </c>
      <c r="AI94" s="440">
        <f t="shared" si="338"/>
        <v>0</v>
      </c>
      <c r="AJ94" s="440">
        <f t="shared" si="338"/>
        <v>0</v>
      </c>
      <c r="AK94" s="440">
        <f t="shared" si="338"/>
        <v>0</v>
      </c>
      <c r="AL94" s="440">
        <f t="shared" si="338"/>
        <v>0</v>
      </c>
      <c r="AM94" s="440">
        <f t="shared" si="338"/>
        <v>0</v>
      </c>
      <c r="AN94" s="440">
        <f t="shared" si="338"/>
        <v>0</v>
      </c>
      <c r="AO94" s="440">
        <f t="shared" si="338"/>
        <v>0</v>
      </c>
      <c r="AP94" s="441">
        <f>AC94</f>
        <v>0</v>
      </c>
      <c r="AQ94" s="440">
        <f>BC94</f>
        <v>0</v>
      </c>
      <c r="AR94" s="440">
        <f t="shared" ref="AR94:BB94" si="339">AQ94</f>
        <v>0</v>
      </c>
      <c r="AS94" s="440">
        <f t="shared" si="339"/>
        <v>0</v>
      </c>
      <c r="AT94" s="440">
        <f t="shared" si="339"/>
        <v>0</v>
      </c>
      <c r="AU94" s="440">
        <f t="shared" si="339"/>
        <v>0</v>
      </c>
      <c r="AV94" s="440">
        <f t="shared" si="339"/>
        <v>0</v>
      </c>
      <c r="AW94" s="440">
        <f t="shared" si="339"/>
        <v>0</v>
      </c>
      <c r="AX94" s="440">
        <f t="shared" si="339"/>
        <v>0</v>
      </c>
      <c r="AY94" s="440">
        <f t="shared" si="339"/>
        <v>0</v>
      </c>
      <c r="AZ94" s="440">
        <f t="shared" si="339"/>
        <v>0</v>
      </c>
      <c r="BA94" s="440">
        <f t="shared" si="339"/>
        <v>0</v>
      </c>
      <c r="BB94" s="440">
        <f t="shared" si="339"/>
        <v>0</v>
      </c>
      <c r="BC94" s="441">
        <f>AP94</f>
        <v>0</v>
      </c>
      <c r="BD94" s="440">
        <f>BP94</f>
        <v>0</v>
      </c>
      <c r="BE94" s="440">
        <f t="shared" ref="BE94:BO94" si="340">BD94</f>
        <v>0</v>
      </c>
      <c r="BF94" s="440">
        <f t="shared" si="340"/>
        <v>0</v>
      </c>
      <c r="BG94" s="440">
        <f t="shared" si="340"/>
        <v>0</v>
      </c>
      <c r="BH94" s="440">
        <f t="shared" si="340"/>
        <v>0</v>
      </c>
      <c r="BI94" s="440">
        <f t="shared" si="340"/>
        <v>0</v>
      </c>
      <c r="BJ94" s="440">
        <f t="shared" si="340"/>
        <v>0</v>
      </c>
      <c r="BK94" s="440">
        <f t="shared" si="340"/>
        <v>0</v>
      </c>
      <c r="BL94" s="440">
        <f t="shared" si="340"/>
        <v>0</v>
      </c>
      <c r="BM94" s="440">
        <f t="shared" si="340"/>
        <v>0</v>
      </c>
      <c r="BN94" s="440">
        <f t="shared" si="340"/>
        <v>0</v>
      </c>
      <c r="BO94" s="440">
        <f t="shared" si="340"/>
        <v>0</v>
      </c>
      <c r="BP94" s="441">
        <f>BC94</f>
        <v>0</v>
      </c>
      <c r="CF94" s="442" t="s">
        <v>1005</v>
      </c>
      <c r="CG94" s="12" t="s">
        <v>966</v>
      </c>
    </row>
    <row r="95" spans="1:85">
      <c r="P95" s="465"/>
      <c r="AC95" s="465"/>
      <c r="AP95" s="349"/>
      <c r="BC95" s="349"/>
      <c r="BP95" s="349"/>
    </row>
    <row r="96" spans="1:85" s="1" customFormat="1">
      <c r="A96" s="421"/>
      <c r="B96" s="423" t="s">
        <v>665</v>
      </c>
      <c r="C96" s="422"/>
      <c r="D96" s="421" t="s">
        <v>107</v>
      </c>
      <c r="E96" s="421" t="s">
        <v>135</v>
      </c>
      <c r="F96" s="421" t="s">
        <v>136</v>
      </c>
      <c r="G96" s="421" t="s">
        <v>137</v>
      </c>
      <c r="H96" s="421" t="s">
        <v>138</v>
      </c>
      <c r="I96" s="421" t="s">
        <v>139</v>
      </c>
      <c r="J96" s="421" t="s">
        <v>140</v>
      </c>
      <c r="K96" s="421" t="s">
        <v>141</v>
      </c>
      <c r="L96" s="421" t="s">
        <v>142</v>
      </c>
      <c r="M96" s="421" t="s">
        <v>143</v>
      </c>
      <c r="N96" s="421" t="s">
        <v>144</v>
      </c>
      <c r="O96" s="421" t="s">
        <v>145</v>
      </c>
      <c r="P96" s="420" t="s">
        <v>146</v>
      </c>
      <c r="Q96" s="421" t="s">
        <v>107</v>
      </c>
      <c r="R96" s="421" t="s">
        <v>135</v>
      </c>
      <c r="S96" s="421" t="s">
        <v>136</v>
      </c>
      <c r="T96" s="421" t="s">
        <v>137</v>
      </c>
      <c r="U96" s="421" t="s">
        <v>138</v>
      </c>
      <c r="V96" s="421" t="s">
        <v>139</v>
      </c>
      <c r="W96" s="421" t="s">
        <v>140</v>
      </c>
      <c r="X96" s="421" t="s">
        <v>141</v>
      </c>
      <c r="Y96" s="421" t="s">
        <v>142</v>
      </c>
      <c r="Z96" s="421" t="s">
        <v>143</v>
      </c>
      <c r="AA96" s="421" t="s">
        <v>144</v>
      </c>
      <c r="AB96" s="421" t="s">
        <v>145</v>
      </c>
      <c r="AC96" s="420" t="s">
        <v>151</v>
      </c>
      <c r="AD96" s="421" t="s">
        <v>107</v>
      </c>
      <c r="AE96" s="421" t="s">
        <v>135</v>
      </c>
      <c r="AF96" s="421" t="s">
        <v>136</v>
      </c>
      <c r="AG96" s="421" t="s">
        <v>137</v>
      </c>
      <c r="AH96" s="421" t="s">
        <v>138</v>
      </c>
      <c r="AI96" s="421" t="s">
        <v>139</v>
      </c>
      <c r="AJ96" s="421" t="s">
        <v>140</v>
      </c>
      <c r="AK96" s="421" t="s">
        <v>141</v>
      </c>
      <c r="AL96" s="421" t="s">
        <v>142</v>
      </c>
      <c r="AM96" s="421" t="s">
        <v>143</v>
      </c>
      <c r="AN96" s="421" t="s">
        <v>144</v>
      </c>
      <c r="AO96" s="421" t="s">
        <v>145</v>
      </c>
      <c r="AP96" s="420" t="s">
        <v>152</v>
      </c>
      <c r="AQ96" s="421" t="s">
        <v>107</v>
      </c>
      <c r="AR96" s="421" t="s">
        <v>135</v>
      </c>
      <c r="AS96" s="421" t="s">
        <v>136</v>
      </c>
      <c r="AT96" s="421" t="s">
        <v>137</v>
      </c>
      <c r="AU96" s="421" t="s">
        <v>138</v>
      </c>
      <c r="AV96" s="421" t="s">
        <v>139</v>
      </c>
      <c r="AW96" s="421" t="s">
        <v>140</v>
      </c>
      <c r="AX96" s="421" t="s">
        <v>141</v>
      </c>
      <c r="AY96" s="421" t="s">
        <v>142</v>
      </c>
      <c r="AZ96" s="421" t="s">
        <v>143</v>
      </c>
      <c r="BA96" s="421" t="s">
        <v>144</v>
      </c>
      <c r="BB96" s="421" t="s">
        <v>145</v>
      </c>
      <c r="BC96" s="420" t="s">
        <v>153</v>
      </c>
      <c r="BD96" s="421" t="s">
        <v>107</v>
      </c>
      <c r="BE96" s="421" t="s">
        <v>135</v>
      </c>
      <c r="BF96" s="421" t="s">
        <v>136</v>
      </c>
      <c r="BG96" s="421" t="s">
        <v>137</v>
      </c>
      <c r="BH96" s="421" t="s">
        <v>138</v>
      </c>
      <c r="BI96" s="421" t="s">
        <v>139</v>
      </c>
      <c r="BJ96" s="421" t="s">
        <v>140</v>
      </c>
      <c r="BK96" s="421" t="s">
        <v>141</v>
      </c>
      <c r="BL96" s="421" t="s">
        <v>142</v>
      </c>
      <c r="BM96" s="421" t="s">
        <v>143</v>
      </c>
      <c r="BN96" s="421" t="s">
        <v>144</v>
      </c>
      <c r="BO96" s="421" t="s">
        <v>145</v>
      </c>
      <c r="BP96" s="420" t="s">
        <v>154</v>
      </c>
      <c r="CF96" s="421"/>
      <c r="CG96" s="423"/>
    </row>
    <row r="97" spans="1:85" s="3" customFormat="1">
      <c r="A97" s="296" t="s">
        <v>513</v>
      </c>
      <c r="B97" s="12" t="s">
        <v>502</v>
      </c>
      <c r="C97" s="5"/>
      <c r="D97" s="3">
        <f t="shared" ref="D97:O97" si="341">D98+D99</f>
        <v>0</v>
      </c>
      <c r="E97" s="3">
        <f t="shared" si="341"/>
        <v>0</v>
      </c>
      <c r="F97" s="3">
        <f t="shared" si="341"/>
        <v>0</v>
      </c>
      <c r="G97" s="3">
        <f t="shared" si="341"/>
        <v>0</v>
      </c>
      <c r="H97" s="3">
        <f t="shared" si="341"/>
        <v>0</v>
      </c>
      <c r="I97" s="3">
        <f t="shared" si="341"/>
        <v>0</v>
      </c>
      <c r="J97" s="3">
        <f t="shared" si="341"/>
        <v>0</v>
      </c>
      <c r="K97" s="3">
        <f t="shared" si="341"/>
        <v>0</v>
      </c>
      <c r="L97" s="3">
        <f t="shared" si="341"/>
        <v>0</v>
      </c>
      <c r="M97" s="3">
        <f t="shared" si="341"/>
        <v>0</v>
      </c>
      <c r="N97" s="3">
        <f t="shared" si="341"/>
        <v>0</v>
      </c>
      <c r="O97" s="3">
        <f t="shared" si="341"/>
        <v>0</v>
      </c>
      <c r="P97" s="397">
        <f t="shared" ref="P97:P120" si="342">SUM(D97:O97)</f>
        <v>0</v>
      </c>
      <c r="Q97" s="3">
        <f t="shared" ref="Q97:AB97" si="343">Q98+Q99</f>
        <v>0</v>
      </c>
      <c r="R97" s="3">
        <f t="shared" si="343"/>
        <v>0</v>
      </c>
      <c r="S97" s="3">
        <f t="shared" si="343"/>
        <v>0</v>
      </c>
      <c r="T97" s="3">
        <f t="shared" si="343"/>
        <v>0</v>
      </c>
      <c r="U97" s="3">
        <f t="shared" si="343"/>
        <v>0</v>
      </c>
      <c r="V97" s="3">
        <f t="shared" si="343"/>
        <v>0</v>
      </c>
      <c r="W97" s="3">
        <f t="shared" si="343"/>
        <v>-4.0040821238453379</v>
      </c>
      <c r="X97" s="3">
        <f t="shared" si="343"/>
        <v>-12.066397557358023</v>
      </c>
      <c r="Y97" s="3">
        <f t="shared" si="343"/>
        <v>-19.576428844873821</v>
      </c>
      <c r="Z97" s="3">
        <f t="shared" si="343"/>
        <v>-28.473807810241041</v>
      </c>
      <c r="AA97" s="3">
        <f t="shared" si="343"/>
        <v>-35.596497854431171</v>
      </c>
      <c r="AB97" s="3">
        <f t="shared" si="343"/>
        <v>-44.951681138248041</v>
      </c>
      <c r="AC97" s="397">
        <f t="shared" ref="AC97:AC120" si="344">SUM(Q97:AB97)</f>
        <v>-144.66889532899742</v>
      </c>
      <c r="AD97" s="3">
        <f t="shared" ref="AD97:AO97" si="345">AD98+AD99</f>
        <v>-48.801224538419305</v>
      </c>
      <c r="AE97" s="3">
        <f t="shared" si="345"/>
        <v>-51.493466906486354</v>
      </c>
      <c r="AF97" s="3">
        <f t="shared" si="345"/>
        <v>-64.283258899192646</v>
      </c>
      <c r="AG97" s="3">
        <f t="shared" si="345"/>
        <v>-69.387227347385306</v>
      </c>
      <c r="AH97" s="3">
        <f t="shared" si="345"/>
        <v>-79.237861802475436</v>
      </c>
      <c r="AI97" s="3">
        <f t="shared" si="345"/>
        <v>-84.07096987320196</v>
      </c>
      <c r="AJ97" s="3">
        <f t="shared" si="345"/>
        <v>-94.583783723805595</v>
      </c>
      <c r="AK97" s="3">
        <f t="shared" si="345"/>
        <v>-102.34680900228931</v>
      </c>
      <c r="AL97" s="3">
        <f t="shared" si="345"/>
        <v>-106.58751347271721</v>
      </c>
      <c r="AM97" s="3">
        <f t="shared" si="345"/>
        <v>-117.94312383048286</v>
      </c>
      <c r="AN97" s="3">
        <f t="shared" si="345"/>
        <v>-121.67792677772292</v>
      </c>
      <c r="AO97" s="3">
        <f t="shared" si="345"/>
        <v>-133.25563154020153</v>
      </c>
      <c r="AP97" s="397">
        <f t="shared" ref="AP97:AP120" si="346">SUM(AD97:AO97)</f>
        <v>-1073.6687977143806</v>
      </c>
      <c r="AQ97" s="3">
        <f t="shared" ref="AQ97:BB97" si="347">AQ98+AQ99</f>
        <v>-124.46378684007936</v>
      </c>
      <c r="AR97" s="3">
        <f t="shared" si="347"/>
        <v>-117.99684850201857</v>
      </c>
      <c r="AS97" s="3">
        <f t="shared" si="347"/>
        <v>-133.9267735183995</v>
      </c>
      <c r="AT97" s="3">
        <f t="shared" si="347"/>
        <v>-132.87282842572347</v>
      </c>
      <c r="AU97" s="3">
        <f t="shared" si="347"/>
        <v>-140.74379914574047</v>
      </c>
      <c r="AV97" s="3">
        <f t="shared" si="347"/>
        <v>-139.57921667013397</v>
      </c>
      <c r="AW97" s="3">
        <f t="shared" si="347"/>
        <v>-147.7460558013932</v>
      </c>
      <c r="AX97" s="3">
        <f t="shared" si="347"/>
        <v>-151.26688958392063</v>
      </c>
      <c r="AY97" s="3">
        <f t="shared" si="347"/>
        <v>-149.78266278233841</v>
      </c>
      <c r="AZ97" s="3">
        <f t="shared" si="347"/>
        <v>-158.25329293925839</v>
      </c>
      <c r="BA97" s="3">
        <f t="shared" si="347"/>
        <v>-156.46720740868818</v>
      </c>
      <c r="BB97" s="3">
        <f t="shared" si="347"/>
        <v>-164.84395294090942</v>
      </c>
      <c r="BC97" s="397">
        <f t="shared" ref="BC97:BC120" si="348">SUM(AQ97:BB97)</f>
        <v>-1717.9433145586036</v>
      </c>
      <c r="BD97" s="3">
        <f t="shared" ref="BD97:BO97" si="349">BD98+BD99</f>
        <v>-140.99061493818147</v>
      </c>
      <c r="BE97" s="3">
        <f t="shared" si="349"/>
        <v>-129.95218834217499</v>
      </c>
      <c r="BF97" s="3">
        <f t="shared" si="349"/>
        <v>-143.41192519081866</v>
      </c>
      <c r="BG97" s="3">
        <f t="shared" si="349"/>
        <v>-138.41037792060206</v>
      </c>
      <c r="BH97" s="3">
        <f t="shared" si="349"/>
        <v>-142.69142107935284</v>
      </c>
      <c r="BI97" s="3">
        <f t="shared" si="349"/>
        <v>-137.80067343422428</v>
      </c>
      <c r="BJ97" s="3">
        <f t="shared" si="349"/>
        <v>-142.11254352764894</v>
      </c>
      <c r="BK97" s="3">
        <f t="shared" si="349"/>
        <v>-141.82829813937741</v>
      </c>
      <c r="BL97" s="3">
        <f t="shared" si="349"/>
        <v>-136.95805093413065</v>
      </c>
      <c r="BM97" s="3">
        <f t="shared" si="349"/>
        <v>-141.18034267681691</v>
      </c>
      <c r="BN97" s="3">
        <f t="shared" si="349"/>
        <v>-136.24144650749383</v>
      </c>
      <c r="BO97" s="3">
        <f t="shared" si="349"/>
        <v>-140.1638594993093</v>
      </c>
      <c r="BP97" s="397">
        <f t="shared" ref="BP97:BP120" si="350">SUM(BD97:BO97)</f>
        <v>-1671.7417421901314</v>
      </c>
      <c r="CF97" s="296" t="s">
        <v>871</v>
      </c>
      <c r="CG97" s="12" t="s">
        <v>965</v>
      </c>
    </row>
    <row r="98" spans="1:85" s="5" customFormat="1">
      <c r="A98" s="297" t="s">
        <v>466</v>
      </c>
      <c r="B98" s="12" t="s">
        <v>502</v>
      </c>
      <c r="D98" s="5">
        <f t="shared" ref="D98:O98" si="351">AVERAGE(C45:D45)*D75/365*D1</f>
        <v>0</v>
      </c>
      <c r="E98" s="5">
        <f t="shared" si="351"/>
        <v>0</v>
      </c>
      <c r="F98" s="5">
        <f t="shared" si="351"/>
        <v>0</v>
      </c>
      <c r="G98" s="5">
        <f t="shared" si="351"/>
        <v>0</v>
      </c>
      <c r="H98" s="5">
        <f t="shared" si="351"/>
        <v>0</v>
      </c>
      <c r="I98" s="5">
        <f t="shared" si="351"/>
        <v>0</v>
      </c>
      <c r="J98" s="5">
        <f t="shared" si="351"/>
        <v>0</v>
      </c>
      <c r="K98" s="5">
        <f t="shared" si="351"/>
        <v>0</v>
      </c>
      <c r="L98" s="5">
        <f t="shared" si="351"/>
        <v>0</v>
      </c>
      <c r="M98" s="5">
        <f t="shared" si="351"/>
        <v>0</v>
      </c>
      <c r="N98" s="5">
        <f t="shared" si="351"/>
        <v>0</v>
      </c>
      <c r="O98" s="5">
        <f t="shared" si="351"/>
        <v>0</v>
      </c>
      <c r="P98" s="383">
        <f t="shared" si="342"/>
        <v>0</v>
      </c>
      <c r="Q98" s="5">
        <f t="shared" ref="Q98:AB98" si="352">AVERAGE(P45:Q45)*Q75/365*Q1</f>
        <v>0</v>
      </c>
      <c r="R98" s="5">
        <f t="shared" si="352"/>
        <v>0</v>
      </c>
      <c r="S98" s="5">
        <f t="shared" si="352"/>
        <v>0</v>
      </c>
      <c r="T98" s="5">
        <f t="shared" si="352"/>
        <v>0</v>
      </c>
      <c r="U98" s="5">
        <f t="shared" si="352"/>
        <v>0</v>
      </c>
      <c r="V98" s="5">
        <f t="shared" si="352"/>
        <v>0</v>
      </c>
      <c r="W98" s="5">
        <f t="shared" si="352"/>
        <v>1.7448800790026406</v>
      </c>
      <c r="X98" s="5">
        <f t="shared" si="352"/>
        <v>5.3672653596085107</v>
      </c>
      <c r="Y98" s="5">
        <f t="shared" si="352"/>
        <v>8.957491630859078</v>
      </c>
      <c r="Z98" s="5">
        <f t="shared" si="352"/>
        <v>13.413391472943879</v>
      </c>
      <c r="AA98" s="5">
        <f t="shared" si="352"/>
        <v>17.265261745111104</v>
      </c>
      <c r="AB98" s="5">
        <f t="shared" si="352"/>
        <v>22.444443027581677</v>
      </c>
      <c r="AC98" s="383">
        <f t="shared" si="344"/>
        <v>69.192733315106892</v>
      </c>
      <c r="AD98" s="5">
        <f t="shared" ref="AD98:AO98" si="353">AVERAGE(AC45:AD45)*AD75/365*AD1</f>
        <v>27.80815137220679</v>
      </c>
      <c r="AE98" s="5">
        <f t="shared" si="353"/>
        <v>30.218934581471835</v>
      </c>
      <c r="AF98" s="5">
        <f t="shared" si="353"/>
        <v>38.857812544545205</v>
      </c>
      <c r="AG98" s="5">
        <f t="shared" si="353"/>
        <v>43.194523972115022</v>
      </c>
      <c r="AH98" s="5">
        <f t="shared" si="353"/>
        <v>50.789128949905567</v>
      </c>
      <c r="AI98" s="5">
        <f t="shared" si="353"/>
        <v>55.475118412582297</v>
      </c>
      <c r="AJ98" s="5">
        <f t="shared" si="353"/>
        <v>64.241188025585927</v>
      </c>
      <c r="AK98" s="5">
        <f t="shared" si="353"/>
        <v>71.540450044630305</v>
      </c>
      <c r="AL98" s="5">
        <f t="shared" si="353"/>
        <v>76.666417124109131</v>
      </c>
      <c r="AM98" s="5">
        <f t="shared" si="353"/>
        <v>87.284894943374994</v>
      </c>
      <c r="AN98" s="5">
        <f t="shared" si="353"/>
        <v>92.639701896023155</v>
      </c>
      <c r="AO98" s="5">
        <f t="shared" si="353"/>
        <v>104.36036152539198</v>
      </c>
      <c r="AP98" s="383">
        <f t="shared" si="346"/>
        <v>743.07668339194231</v>
      </c>
      <c r="AQ98" s="5">
        <f t="shared" ref="AQ98:BB98" si="354">AVERAGE(AP45:AQ45)*AQ75/365*AQ1</f>
        <v>114.58540405971243</v>
      </c>
      <c r="AR98" s="5">
        <f t="shared" si="354"/>
        <v>111.89436243214507</v>
      </c>
      <c r="AS98" s="5">
        <f t="shared" si="354"/>
        <v>130.85970448143371</v>
      </c>
      <c r="AT98" s="5">
        <f t="shared" si="354"/>
        <v>133.77440871686957</v>
      </c>
      <c r="AU98" s="5">
        <f t="shared" si="354"/>
        <v>146.00507437927996</v>
      </c>
      <c r="AV98" s="5">
        <f t="shared" si="354"/>
        <v>149.20062358515634</v>
      </c>
      <c r="AW98" s="5">
        <f t="shared" si="354"/>
        <v>162.73923689404256</v>
      </c>
      <c r="AX98" s="5">
        <f t="shared" si="354"/>
        <v>171.69909297820837</v>
      </c>
      <c r="AY98" s="5">
        <f t="shared" si="354"/>
        <v>175.21071704483413</v>
      </c>
      <c r="AZ98" s="5">
        <f t="shared" si="354"/>
        <v>190.79201567691044</v>
      </c>
      <c r="BA98" s="5">
        <f t="shared" si="354"/>
        <v>194.43685115692364</v>
      </c>
      <c r="BB98" s="5">
        <f t="shared" si="354"/>
        <v>211.16106381943243</v>
      </c>
      <c r="BC98" s="383">
        <f t="shared" si="348"/>
        <v>1892.358555224949</v>
      </c>
      <c r="BD98" s="5">
        <f t="shared" ref="BD98:BO98" si="355">AVERAGE(BC45:BD45)*BD75/365*BD1</f>
        <v>225.10450282620906</v>
      </c>
      <c r="BE98" s="5">
        <f t="shared" si="355"/>
        <v>214.64710811922097</v>
      </c>
      <c r="BF98" s="5">
        <f t="shared" si="355"/>
        <v>245.23582799866412</v>
      </c>
      <c r="BG98" s="5">
        <f t="shared" si="355"/>
        <v>245.11251111238397</v>
      </c>
      <c r="BH98" s="5">
        <f t="shared" si="355"/>
        <v>261.78530776684556</v>
      </c>
      <c r="BI98" s="5">
        <f t="shared" si="355"/>
        <v>262.00754571218357</v>
      </c>
      <c r="BJ98" s="5">
        <f t="shared" si="355"/>
        <v>280.14775296333698</v>
      </c>
      <c r="BK98" s="5">
        <f t="shared" si="355"/>
        <v>290.00174956088563</v>
      </c>
      <c r="BL98" s="5">
        <f t="shared" si="355"/>
        <v>290.6118777664845</v>
      </c>
      <c r="BM98" s="5">
        <f t="shared" si="355"/>
        <v>311.03441944745884</v>
      </c>
      <c r="BN98" s="5">
        <f t="shared" si="355"/>
        <v>311.80895333523074</v>
      </c>
      <c r="BO98" s="5">
        <f t="shared" si="355"/>
        <v>333.43073823510105</v>
      </c>
      <c r="BP98" s="383">
        <f t="shared" si="350"/>
        <v>3270.928294844005</v>
      </c>
      <c r="CF98" s="297" t="s">
        <v>861</v>
      </c>
      <c r="CG98" s="12" t="s">
        <v>965</v>
      </c>
    </row>
    <row r="99" spans="1:85" s="5" customFormat="1">
      <c r="A99" s="297" t="s">
        <v>158</v>
      </c>
      <c r="B99" s="12" t="s">
        <v>502</v>
      </c>
      <c r="D99" s="5">
        <f t="shared" ref="D99:O99" si="356">AVERAGE(C36:D36)*D77/365*D1</f>
        <v>0</v>
      </c>
      <c r="E99" s="5">
        <f t="shared" si="356"/>
        <v>0</v>
      </c>
      <c r="F99" s="5">
        <f t="shared" si="356"/>
        <v>0</v>
      </c>
      <c r="G99" s="5">
        <f t="shared" si="356"/>
        <v>0</v>
      </c>
      <c r="H99" s="5">
        <f t="shared" si="356"/>
        <v>0</v>
      </c>
      <c r="I99" s="5">
        <f t="shared" si="356"/>
        <v>0</v>
      </c>
      <c r="J99" s="5">
        <f t="shared" si="356"/>
        <v>0</v>
      </c>
      <c r="K99" s="5">
        <f t="shared" si="356"/>
        <v>0</v>
      </c>
      <c r="L99" s="5">
        <f t="shared" si="356"/>
        <v>0</v>
      </c>
      <c r="M99" s="5">
        <f t="shared" si="356"/>
        <v>0</v>
      </c>
      <c r="N99" s="5">
        <f t="shared" si="356"/>
        <v>0</v>
      </c>
      <c r="O99" s="5">
        <f t="shared" si="356"/>
        <v>0</v>
      </c>
      <c r="P99" s="383">
        <f t="shared" si="342"/>
        <v>0</v>
      </c>
      <c r="Q99" s="5">
        <f t="shared" ref="Q99:AB99" si="357">AVERAGE(P36:Q36)*Q77/365*Q1</f>
        <v>0</v>
      </c>
      <c r="R99" s="5">
        <f t="shared" si="357"/>
        <v>0</v>
      </c>
      <c r="S99" s="5">
        <f t="shared" si="357"/>
        <v>0</v>
      </c>
      <c r="T99" s="5">
        <f t="shared" si="357"/>
        <v>0</v>
      </c>
      <c r="U99" s="5">
        <f t="shared" si="357"/>
        <v>0</v>
      </c>
      <c r="V99" s="5">
        <f t="shared" si="357"/>
        <v>0</v>
      </c>
      <c r="W99" s="5">
        <f t="shared" si="357"/>
        <v>-5.748962202847979</v>
      </c>
      <c r="X99" s="5">
        <f t="shared" si="357"/>
        <v>-17.433662916966533</v>
      </c>
      <c r="Y99" s="5">
        <f t="shared" si="357"/>
        <v>-28.533920475732899</v>
      </c>
      <c r="Z99" s="5">
        <f t="shared" si="357"/>
        <v>-41.88719928318492</v>
      </c>
      <c r="AA99" s="5">
        <f t="shared" si="357"/>
        <v>-52.861759599542275</v>
      </c>
      <c r="AB99" s="5">
        <f t="shared" si="357"/>
        <v>-67.396124165829718</v>
      </c>
      <c r="AC99" s="383">
        <f t="shared" si="344"/>
        <v>-213.86162864410431</v>
      </c>
      <c r="AD99" s="5">
        <f t="shared" ref="AD99:AO99" si="358">AVERAGE(AC36:AD36)*AD77/365*AD1</f>
        <v>-76.609375910626099</v>
      </c>
      <c r="AE99" s="5">
        <f t="shared" si="358"/>
        <v>-81.712401487958189</v>
      </c>
      <c r="AF99" s="5">
        <f t="shared" si="358"/>
        <v>-103.14107144373786</v>
      </c>
      <c r="AG99" s="5">
        <f t="shared" si="358"/>
        <v>-112.58175131950033</v>
      </c>
      <c r="AH99" s="5">
        <f t="shared" si="358"/>
        <v>-130.02699075238101</v>
      </c>
      <c r="AI99" s="5">
        <f t="shared" si="358"/>
        <v>-139.54608828578426</v>
      </c>
      <c r="AJ99" s="5">
        <f t="shared" si="358"/>
        <v>-158.82497174939152</v>
      </c>
      <c r="AK99" s="5">
        <f t="shared" si="358"/>
        <v>-173.88725904691961</v>
      </c>
      <c r="AL99" s="5">
        <f t="shared" si="358"/>
        <v>-183.25393059682634</v>
      </c>
      <c r="AM99" s="5">
        <f t="shared" si="358"/>
        <v>-205.22801877385785</v>
      </c>
      <c r="AN99" s="5">
        <f t="shared" si="358"/>
        <v>-214.31762867374607</v>
      </c>
      <c r="AO99" s="5">
        <f t="shared" si="358"/>
        <v>-237.61599306559353</v>
      </c>
      <c r="AP99" s="383">
        <f t="shared" si="346"/>
        <v>-1816.745481106323</v>
      </c>
      <c r="AQ99" s="5">
        <f t="shared" ref="AQ99:BB99" si="359">AVERAGE(AP36:AQ36)*AQ77/365*AQ1</f>
        <v>-239.0491908997918</v>
      </c>
      <c r="AR99" s="5">
        <f t="shared" si="359"/>
        <v>-229.89121093416364</v>
      </c>
      <c r="AS99" s="5">
        <f t="shared" si="359"/>
        <v>-264.78647799983321</v>
      </c>
      <c r="AT99" s="5">
        <f t="shared" si="359"/>
        <v>-266.64723714259304</v>
      </c>
      <c r="AU99" s="5">
        <f t="shared" si="359"/>
        <v>-286.74887352502043</v>
      </c>
      <c r="AV99" s="5">
        <f t="shared" si="359"/>
        <v>-288.77984025529031</v>
      </c>
      <c r="AW99" s="5">
        <f t="shared" si="359"/>
        <v>-310.48529269543576</v>
      </c>
      <c r="AX99" s="5">
        <f t="shared" si="359"/>
        <v>-322.965982562129</v>
      </c>
      <c r="AY99" s="5">
        <f t="shared" si="359"/>
        <v>-324.99337982717253</v>
      </c>
      <c r="AZ99" s="5">
        <f t="shared" si="359"/>
        <v>-349.04530861616882</v>
      </c>
      <c r="BA99" s="5">
        <f t="shared" si="359"/>
        <v>-350.90405856561182</v>
      </c>
      <c r="BB99" s="5">
        <f t="shared" si="359"/>
        <v>-376.00501676034185</v>
      </c>
      <c r="BC99" s="383">
        <f t="shared" si="348"/>
        <v>-3610.3018697835519</v>
      </c>
      <c r="BD99" s="5">
        <f t="shared" ref="BD99:BO99" si="360">AVERAGE(BC36:BD36)*BD77/365*BD1</f>
        <v>-366.09511776439052</v>
      </c>
      <c r="BE99" s="5">
        <f t="shared" si="360"/>
        <v>-344.59929646139597</v>
      </c>
      <c r="BF99" s="5">
        <f t="shared" si="360"/>
        <v>-388.64775318948278</v>
      </c>
      <c r="BG99" s="5">
        <f t="shared" si="360"/>
        <v>-383.52288903298603</v>
      </c>
      <c r="BH99" s="5">
        <f t="shared" si="360"/>
        <v>-404.4767288461984</v>
      </c>
      <c r="BI99" s="5">
        <f t="shared" si="360"/>
        <v>-399.80821914640785</v>
      </c>
      <c r="BJ99" s="5">
        <f t="shared" si="360"/>
        <v>-422.26029649098592</v>
      </c>
      <c r="BK99" s="5">
        <f t="shared" si="360"/>
        <v>-431.83004770026304</v>
      </c>
      <c r="BL99" s="5">
        <f t="shared" si="360"/>
        <v>-427.56992870061515</v>
      </c>
      <c r="BM99" s="5">
        <f t="shared" si="360"/>
        <v>-452.21476212427575</v>
      </c>
      <c r="BN99" s="5">
        <f t="shared" si="360"/>
        <v>-448.05039984272457</v>
      </c>
      <c r="BO99" s="5">
        <f t="shared" si="360"/>
        <v>-473.59459773441034</v>
      </c>
      <c r="BP99" s="383">
        <f t="shared" si="350"/>
        <v>-4942.6700370341359</v>
      </c>
      <c r="CF99" s="297" t="s">
        <v>867</v>
      </c>
      <c r="CG99" s="12" t="s">
        <v>965</v>
      </c>
    </row>
    <row r="100" spans="1:85" s="3" customFormat="1">
      <c r="A100" s="296" t="s">
        <v>514</v>
      </c>
      <c r="B100" s="12" t="s">
        <v>502</v>
      </c>
      <c r="C100" s="5"/>
      <c r="D100" s="3">
        <f t="shared" ref="D100:O100" si="361">D101+D102+D103</f>
        <v>0</v>
      </c>
      <c r="E100" s="3">
        <f t="shared" si="361"/>
        <v>0</v>
      </c>
      <c r="F100" s="3">
        <f t="shared" si="361"/>
        <v>0</v>
      </c>
      <c r="G100" s="3">
        <f t="shared" si="361"/>
        <v>0</v>
      </c>
      <c r="H100" s="3">
        <f t="shared" si="361"/>
        <v>0</v>
      </c>
      <c r="I100" s="3">
        <f t="shared" si="361"/>
        <v>0</v>
      </c>
      <c r="J100" s="3">
        <f t="shared" si="361"/>
        <v>0</v>
      </c>
      <c r="K100" s="3">
        <f t="shared" si="361"/>
        <v>0</v>
      </c>
      <c r="L100" s="3">
        <f t="shared" si="361"/>
        <v>0</v>
      </c>
      <c r="M100" s="3">
        <f t="shared" si="361"/>
        <v>0</v>
      </c>
      <c r="N100" s="3">
        <f t="shared" si="361"/>
        <v>0</v>
      </c>
      <c r="O100" s="3">
        <f t="shared" si="361"/>
        <v>0</v>
      </c>
      <c r="P100" s="397">
        <f t="shared" si="342"/>
        <v>0</v>
      </c>
      <c r="Q100" s="3">
        <f t="shared" ref="Q100:AB100" si="362">Q101+Q102+Q103</f>
        <v>0</v>
      </c>
      <c r="R100" s="3">
        <f t="shared" si="362"/>
        <v>0</v>
      </c>
      <c r="S100" s="3">
        <f t="shared" si="362"/>
        <v>0</v>
      </c>
      <c r="T100" s="3">
        <f t="shared" si="362"/>
        <v>0</v>
      </c>
      <c r="U100" s="3">
        <f t="shared" si="362"/>
        <v>0</v>
      </c>
      <c r="V100" s="3">
        <f t="shared" si="362"/>
        <v>0</v>
      </c>
      <c r="W100" s="3">
        <f t="shared" si="362"/>
        <v>0</v>
      </c>
      <c r="X100" s="3">
        <f t="shared" si="362"/>
        <v>0</v>
      </c>
      <c r="Y100" s="3">
        <f t="shared" si="362"/>
        <v>0</v>
      </c>
      <c r="Z100" s="3">
        <f t="shared" si="362"/>
        <v>0</v>
      </c>
      <c r="AA100" s="3">
        <f t="shared" si="362"/>
        <v>0</v>
      </c>
      <c r="AB100" s="3">
        <f t="shared" si="362"/>
        <v>0</v>
      </c>
      <c r="AC100" s="397">
        <f t="shared" si="344"/>
        <v>0</v>
      </c>
      <c r="AD100" s="3">
        <f t="shared" ref="AD100:AO100" si="363">AD101+AD102+AD103</f>
        <v>0</v>
      </c>
      <c r="AE100" s="3">
        <f t="shared" si="363"/>
        <v>0</v>
      </c>
      <c r="AF100" s="3">
        <f t="shared" si="363"/>
        <v>0</v>
      </c>
      <c r="AG100" s="3">
        <f t="shared" si="363"/>
        <v>0</v>
      </c>
      <c r="AH100" s="3">
        <f t="shared" si="363"/>
        <v>0</v>
      </c>
      <c r="AI100" s="3">
        <f t="shared" si="363"/>
        <v>0</v>
      </c>
      <c r="AJ100" s="3">
        <f t="shared" si="363"/>
        <v>0</v>
      </c>
      <c r="AK100" s="3">
        <f t="shared" si="363"/>
        <v>0</v>
      </c>
      <c r="AL100" s="3">
        <f t="shared" si="363"/>
        <v>0</v>
      </c>
      <c r="AM100" s="3">
        <f t="shared" si="363"/>
        <v>0</v>
      </c>
      <c r="AN100" s="3">
        <f t="shared" si="363"/>
        <v>0</v>
      </c>
      <c r="AO100" s="3">
        <f t="shared" si="363"/>
        <v>0</v>
      </c>
      <c r="AP100" s="397">
        <f t="shared" si="346"/>
        <v>0</v>
      </c>
      <c r="AQ100" s="3">
        <f t="shared" ref="AQ100:BB100" si="364">AQ101+AQ102+AQ103</f>
        <v>0</v>
      </c>
      <c r="AR100" s="3">
        <f t="shared" si="364"/>
        <v>0</v>
      </c>
      <c r="AS100" s="3">
        <f t="shared" si="364"/>
        <v>0</v>
      </c>
      <c r="AT100" s="3">
        <f t="shared" si="364"/>
        <v>0</v>
      </c>
      <c r="AU100" s="3">
        <f t="shared" si="364"/>
        <v>0</v>
      </c>
      <c r="AV100" s="3">
        <f t="shared" si="364"/>
        <v>0</v>
      </c>
      <c r="AW100" s="3">
        <f t="shared" si="364"/>
        <v>0</v>
      </c>
      <c r="AX100" s="3">
        <f t="shared" si="364"/>
        <v>0</v>
      </c>
      <c r="AY100" s="3">
        <f t="shared" si="364"/>
        <v>0</v>
      </c>
      <c r="AZ100" s="3">
        <f t="shared" si="364"/>
        <v>0</v>
      </c>
      <c r="BA100" s="3">
        <f t="shared" si="364"/>
        <v>0</v>
      </c>
      <c r="BB100" s="3">
        <f t="shared" si="364"/>
        <v>0</v>
      </c>
      <c r="BC100" s="397">
        <f t="shared" si="348"/>
        <v>0</v>
      </c>
      <c r="BD100" s="3">
        <f t="shared" ref="BD100:BO100" si="365">BD101+BD102+BD103</f>
        <v>0</v>
      </c>
      <c r="BE100" s="3">
        <f t="shared" si="365"/>
        <v>0</v>
      </c>
      <c r="BF100" s="3">
        <f t="shared" si="365"/>
        <v>0</v>
      </c>
      <c r="BG100" s="3">
        <f t="shared" si="365"/>
        <v>0</v>
      </c>
      <c r="BH100" s="3">
        <f t="shared" si="365"/>
        <v>0</v>
      </c>
      <c r="BI100" s="3">
        <f t="shared" si="365"/>
        <v>0</v>
      </c>
      <c r="BJ100" s="3">
        <f t="shared" si="365"/>
        <v>0</v>
      </c>
      <c r="BK100" s="3">
        <f t="shared" si="365"/>
        <v>0</v>
      </c>
      <c r="BL100" s="3">
        <f t="shared" si="365"/>
        <v>0</v>
      </c>
      <c r="BM100" s="3">
        <f t="shared" si="365"/>
        <v>0</v>
      </c>
      <c r="BN100" s="3">
        <f t="shared" si="365"/>
        <v>0</v>
      </c>
      <c r="BO100" s="3">
        <f t="shared" si="365"/>
        <v>0</v>
      </c>
      <c r="BP100" s="397">
        <f t="shared" si="350"/>
        <v>0</v>
      </c>
      <c r="CF100" s="296" t="s">
        <v>870</v>
      </c>
      <c r="CG100" s="12" t="s">
        <v>965</v>
      </c>
    </row>
    <row r="101" spans="1:85" s="5" customFormat="1">
      <c r="A101" s="297" t="s">
        <v>275</v>
      </c>
      <c r="B101" s="12" t="s">
        <v>502</v>
      </c>
      <c r="P101" s="383">
        <f t="shared" si="342"/>
        <v>0</v>
      </c>
      <c r="AC101" s="383">
        <f t="shared" si="344"/>
        <v>0</v>
      </c>
      <c r="AP101" s="383">
        <f t="shared" si="346"/>
        <v>0</v>
      </c>
      <c r="BC101" s="383">
        <f t="shared" si="348"/>
        <v>0</v>
      </c>
      <c r="BP101" s="383">
        <f t="shared" si="350"/>
        <v>0</v>
      </c>
      <c r="CF101" s="297" t="s">
        <v>862</v>
      </c>
      <c r="CG101" s="12" t="s">
        <v>965</v>
      </c>
    </row>
    <row r="102" spans="1:85" s="5" customFormat="1">
      <c r="A102" s="297" t="s">
        <v>274</v>
      </c>
      <c r="B102" s="12" t="s">
        <v>502</v>
      </c>
      <c r="P102" s="383">
        <f t="shared" si="342"/>
        <v>0</v>
      </c>
      <c r="AC102" s="383">
        <f t="shared" si="344"/>
        <v>0</v>
      </c>
      <c r="AP102" s="383">
        <f t="shared" si="346"/>
        <v>0</v>
      </c>
      <c r="BC102" s="383">
        <f t="shared" si="348"/>
        <v>0</v>
      </c>
      <c r="BP102" s="383">
        <f t="shared" si="350"/>
        <v>0</v>
      </c>
      <c r="CF102" s="297" t="s">
        <v>874</v>
      </c>
      <c r="CG102" s="12" t="s">
        <v>965</v>
      </c>
    </row>
    <row r="103" spans="1:85" s="5" customFormat="1">
      <c r="A103" s="297" t="s">
        <v>515</v>
      </c>
      <c r="B103" s="12" t="s">
        <v>502</v>
      </c>
      <c r="P103" s="383">
        <f t="shared" si="342"/>
        <v>0</v>
      </c>
      <c r="AC103" s="383">
        <f t="shared" si="344"/>
        <v>0</v>
      </c>
      <c r="AP103" s="383">
        <f t="shared" si="346"/>
        <v>0</v>
      </c>
      <c r="BC103" s="383">
        <f t="shared" si="348"/>
        <v>0</v>
      </c>
      <c r="BP103" s="383">
        <f t="shared" si="350"/>
        <v>0</v>
      </c>
      <c r="CF103" s="297" t="s">
        <v>869</v>
      </c>
      <c r="CG103" s="12" t="s">
        <v>965</v>
      </c>
    </row>
    <row r="104" spans="1:85" s="63" customFormat="1">
      <c r="A104" s="298" t="s">
        <v>516</v>
      </c>
      <c r="B104" s="12" t="s">
        <v>502</v>
      </c>
      <c r="C104" s="299"/>
      <c r="D104" s="63">
        <f t="shared" ref="D104:O104" si="366">D97+D100</f>
        <v>0</v>
      </c>
      <c r="E104" s="63">
        <f t="shared" si="366"/>
        <v>0</v>
      </c>
      <c r="F104" s="63">
        <f t="shared" si="366"/>
        <v>0</v>
      </c>
      <c r="G104" s="63">
        <f t="shared" si="366"/>
        <v>0</v>
      </c>
      <c r="H104" s="63">
        <f t="shared" si="366"/>
        <v>0</v>
      </c>
      <c r="I104" s="63">
        <f t="shared" si="366"/>
        <v>0</v>
      </c>
      <c r="J104" s="63">
        <f t="shared" si="366"/>
        <v>0</v>
      </c>
      <c r="K104" s="63">
        <f t="shared" si="366"/>
        <v>0</v>
      </c>
      <c r="L104" s="63">
        <f t="shared" si="366"/>
        <v>0</v>
      </c>
      <c r="M104" s="63">
        <f t="shared" si="366"/>
        <v>0</v>
      </c>
      <c r="N104" s="63">
        <f t="shared" si="366"/>
        <v>0</v>
      </c>
      <c r="O104" s="63">
        <f t="shared" si="366"/>
        <v>0</v>
      </c>
      <c r="P104" s="419">
        <f t="shared" si="342"/>
        <v>0</v>
      </c>
      <c r="Q104" s="63">
        <f t="shared" ref="Q104:AB104" si="367">Q97+Q100</f>
        <v>0</v>
      </c>
      <c r="R104" s="63">
        <f t="shared" si="367"/>
        <v>0</v>
      </c>
      <c r="S104" s="63">
        <f t="shared" si="367"/>
        <v>0</v>
      </c>
      <c r="T104" s="63">
        <f t="shared" si="367"/>
        <v>0</v>
      </c>
      <c r="U104" s="63">
        <f t="shared" si="367"/>
        <v>0</v>
      </c>
      <c r="V104" s="63">
        <f t="shared" si="367"/>
        <v>0</v>
      </c>
      <c r="W104" s="63">
        <f t="shared" si="367"/>
        <v>-4.0040821238453379</v>
      </c>
      <c r="X104" s="63">
        <f t="shared" si="367"/>
        <v>-12.066397557358023</v>
      </c>
      <c r="Y104" s="63">
        <f t="shared" si="367"/>
        <v>-19.576428844873821</v>
      </c>
      <c r="Z104" s="63">
        <f t="shared" si="367"/>
        <v>-28.473807810241041</v>
      </c>
      <c r="AA104" s="63">
        <f t="shared" si="367"/>
        <v>-35.596497854431171</v>
      </c>
      <c r="AB104" s="63">
        <f t="shared" si="367"/>
        <v>-44.951681138248041</v>
      </c>
      <c r="AC104" s="419">
        <f t="shared" si="344"/>
        <v>-144.66889532899742</v>
      </c>
      <c r="AD104" s="63">
        <f t="shared" ref="AD104:AO104" si="368">AD97+AD100</f>
        <v>-48.801224538419305</v>
      </c>
      <c r="AE104" s="63">
        <f t="shared" si="368"/>
        <v>-51.493466906486354</v>
      </c>
      <c r="AF104" s="63">
        <f t="shared" si="368"/>
        <v>-64.283258899192646</v>
      </c>
      <c r="AG104" s="63">
        <f t="shared" si="368"/>
        <v>-69.387227347385306</v>
      </c>
      <c r="AH104" s="63">
        <f t="shared" si="368"/>
        <v>-79.237861802475436</v>
      </c>
      <c r="AI104" s="63">
        <f t="shared" si="368"/>
        <v>-84.07096987320196</v>
      </c>
      <c r="AJ104" s="63">
        <f t="shared" si="368"/>
        <v>-94.583783723805595</v>
      </c>
      <c r="AK104" s="63">
        <f t="shared" si="368"/>
        <v>-102.34680900228931</v>
      </c>
      <c r="AL104" s="63">
        <f t="shared" si="368"/>
        <v>-106.58751347271721</v>
      </c>
      <c r="AM104" s="63">
        <f t="shared" si="368"/>
        <v>-117.94312383048286</v>
      </c>
      <c r="AN104" s="63">
        <f t="shared" si="368"/>
        <v>-121.67792677772292</v>
      </c>
      <c r="AO104" s="63">
        <f t="shared" si="368"/>
        <v>-133.25563154020153</v>
      </c>
      <c r="AP104" s="419">
        <f t="shared" si="346"/>
        <v>-1073.6687977143806</v>
      </c>
      <c r="AQ104" s="63">
        <f t="shared" ref="AQ104:BB104" si="369">AQ97+AQ100</f>
        <v>-124.46378684007936</v>
      </c>
      <c r="AR104" s="63">
        <f t="shared" si="369"/>
        <v>-117.99684850201857</v>
      </c>
      <c r="AS104" s="63">
        <f t="shared" si="369"/>
        <v>-133.9267735183995</v>
      </c>
      <c r="AT104" s="63">
        <f t="shared" si="369"/>
        <v>-132.87282842572347</v>
      </c>
      <c r="AU104" s="63">
        <f t="shared" si="369"/>
        <v>-140.74379914574047</v>
      </c>
      <c r="AV104" s="63">
        <f t="shared" si="369"/>
        <v>-139.57921667013397</v>
      </c>
      <c r="AW104" s="63">
        <f t="shared" si="369"/>
        <v>-147.7460558013932</v>
      </c>
      <c r="AX104" s="63">
        <f t="shared" si="369"/>
        <v>-151.26688958392063</v>
      </c>
      <c r="AY104" s="63">
        <f t="shared" si="369"/>
        <v>-149.78266278233841</v>
      </c>
      <c r="AZ104" s="63">
        <f t="shared" si="369"/>
        <v>-158.25329293925839</v>
      </c>
      <c r="BA104" s="63">
        <f t="shared" si="369"/>
        <v>-156.46720740868818</v>
      </c>
      <c r="BB104" s="63">
        <f t="shared" si="369"/>
        <v>-164.84395294090942</v>
      </c>
      <c r="BC104" s="419">
        <f t="shared" si="348"/>
        <v>-1717.9433145586036</v>
      </c>
      <c r="BD104" s="63">
        <f t="shared" ref="BD104:BO104" si="370">BD97+BD100</f>
        <v>-140.99061493818147</v>
      </c>
      <c r="BE104" s="63">
        <f t="shared" si="370"/>
        <v>-129.95218834217499</v>
      </c>
      <c r="BF104" s="63">
        <f t="shared" si="370"/>
        <v>-143.41192519081866</v>
      </c>
      <c r="BG104" s="63">
        <f t="shared" si="370"/>
        <v>-138.41037792060206</v>
      </c>
      <c r="BH104" s="63">
        <f t="shared" si="370"/>
        <v>-142.69142107935284</v>
      </c>
      <c r="BI104" s="63">
        <f t="shared" si="370"/>
        <v>-137.80067343422428</v>
      </c>
      <c r="BJ104" s="63">
        <f t="shared" si="370"/>
        <v>-142.11254352764894</v>
      </c>
      <c r="BK104" s="63">
        <f t="shared" si="370"/>
        <v>-141.82829813937741</v>
      </c>
      <c r="BL104" s="63">
        <f t="shared" si="370"/>
        <v>-136.95805093413065</v>
      </c>
      <c r="BM104" s="63">
        <f t="shared" si="370"/>
        <v>-141.18034267681691</v>
      </c>
      <c r="BN104" s="63">
        <f t="shared" si="370"/>
        <v>-136.24144650749383</v>
      </c>
      <c r="BO104" s="63">
        <f t="shared" si="370"/>
        <v>-140.1638594993093</v>
      </c>
      <c r="BP104" s="419">
        <f t="shared" si="350"/>
        <v>-1671.7417421901314</v>
      </c>
      <c r="CF104" s="298" t="s">
        <v>868</v>
      </c>
      <c r="CG104" s="12" t="s">
        <v>965</v>
      </c>
    </row>
    <row r="105" spans="1:85" s="3" customFormat="1">
      <c r="A105" s="296" t="s">
        <v>517</v>
      </c>
      <c r="B105" s="12" t="s">
        <v>502</v>
      </c>
      <c r="C105" s="5"/>
      <c r="D105" s="3">
        <f t="shared" ref="D105:O105" si="371">AVERAGE(C36:D36)*D84/365*D1</f>
        <v>0</v>
      </c>
      <c r="E105" s="3">
        <f t="shared" si="371"/>
        <v>0</v>
      </c>
      <c r="F105" s="3">
        <f t="shared" si="371"/>
        <v>0</v>
      </c>
      <c r="G105" s="3">
        <f t="shared" si="371"/>
        <v>0</v>
      </c>
      <c r="H105" s="3">
        <f t="shared" si="371"/>
        <v>0</v>
      </c>
      <c r="I105" s="3">
        <f t="shared" si="371"/>
        <v>0</v>
      </c>
      <c r="J105" s="3">
        <f t="shared" si="371"/>
        <v>0</v>
      </c>
      <c r="K105" s="3">
        <f t="shared" si="371"/>
        <v>0</v>
      </c>
      <c r="L105" s="3">
        <f t="shared" si="371"/>
        <v>0</v>
      </c>
      <c r="M105" s="3">
        <f t="shared" si="371"/>
        <v>0</v>
      </c>
      <c r="N105" s="3">
        <f t="shared" si="371"/>
        <v>0</v>
      </c>
      <c r="O105" s="3">
        <f t="shared" si="371"/>
        <v>0</v>
      </c>
      <c r="P105" s="397">
        <f t="shared" si="342"/>
        <v>0</v>
      </c>
      <c r="Q105" s="3">
        <f t="shared" ref="Q105:AB105" si="372">AVERAGE(P36:Q36)*Q84/365*Q1</f>
        <v>0</v>
      </c>
      <c r="R105" s="3">
        <f t="shared" si="372"/>
        <v>0</v>
      </c>
      <c r="S105" s="3">
        <f t="shared" si="372"/>
        <v>0</v>
      </c>
      <c r="T105" s="3">
        <f t="shared" si="372"/>
        <v>0</v>
      </c>
      <c r="U105" s="3">
        <f t="shared" si="372"/>
        <v>0</v>
      </c>
      <c r="V105" s="3">
        <f t="shared" si="372"/>
        <v>0</v>
      </c>
      <c r="W105" s="3">
        <f t="shared" si="372"/>
        <v>-4.1611058621605519</v>
      </c>
      <c r="X105" s="3">
        <f t="shared" si="372"/>
        <v>-12.572713935210091</v>
      </c>
      <c r="Y105" s="3">
        <f t="shared" si="372"/>
        <v>-20.502974482203665</v>
      </c>
      <c r="Z105" s="3">
        <f t="shared" si="372"/>
        <v>-29.987875142853429</v>
      </c>
      <c r="AA105" s="3">
        <f t="shared" si="372"/>
        <v>-37.705855435629353</v>
      </c>
      <c r="AB105" s="3">
        <f t="shared" si="372"/>
        <v>-47.895943781640803</v>
      </c>
      <c r="AC105" s="397">
        <f t="shared" si="344"/>
        <v>-152.82646863969788</v>
      </c>
      <c r="AD105" s="3">
        <f t="shared" ref="AD105:AO105" si="373">AVERAGE(AC36:AD36)*AD84/365*AD1</f>
        <v>-57.768308304146586</v>
      </c>
      <c r="AE105" s="3">
        <f t="shared" si="373"/>
        <v>-61.1517664222036</v>
      </c>
      <c r="AF105" s="3">
        <f t="shared" si="373"/>
        <v>-76.602030693565823</v>
      </c>
      <c r="AG105" s="3">
        <f t="shared" si="373"/>
        <v>-82.973261526612987</v>
      </c>
      <c r="AH105" s="3">
        <f t="shared" si="373"/>
        <v>-95.090840556101938</v>
      </c>
      <c r="AI105" s="3">
        <f t="shared" si="373"/>
        <v>-101.25836989690809</v>
      </c>
      <c r="AJ105" s="3">
        <f t="shared" si="373"/>
        <v>-114.34384422121008</v>
      </c>
      <c r="AK105" s="3">
        <f t="shared" si="373"/>
        <v>-124.19803076906872</v>
      </c>
      <c r="AL105" s="3">
        <f t="shared" si="373"/>
        <v>-129.84491621754057</v>
      </c>
      <c r="AM105" s="3">
        <f t="shared" si="373"/>
        <v>-144.24617484119815</v>
      </c>
      <c r="AN105" s="3">
        <f t="shared" si="373"/>
        <v>-149.41437175810887</v>
      </c>
      <c r="AO105" s="3">
        <f t="shared" si="373"/>
        <v>-164.30368764043243</v>
      </c>
      <c r="AP105" s="397">
        <f t="shared" si="346"/>
        <v>-1301.1956028470977</v>
      </c>
      <c r="AQ105" s="3">
        <f t="shared" ref="AQ105:BB105" si="374">AVERAGE(AP36:AQ36)*AQ84/365*AQ1</f>
        <v>-176.11152105415621</v>
      </c>
      <c r="AR105" s="3">
        <f t="shared" si="374"/>
        <v>-167.95860895066784</v>
      </c>
      <c r="AS105" s="3">
        <f t="shared" si="374"/>
        <v>-191.83326940533874</v>
      </c>
      <c r="AT105" s="3">
        <f t="shared" si="374"/>
        <v>-191.54980559915765</v>
      </c>
      <c r="AU105" s="3">
        <f t="shared" si="374"/>
        <v>-204.23519201405497</v>
      </c>
      <c r="AV105" s="3">
        <f t="shared" si="374"/>
        <v>-203.91403753044742</v>
      </c>
      <c r="AW105" s="3">
        <f t="shared" si="374"/>
        <v>-217.33980105485847</v>
      </c>
      <c r="AX105" s="3">
        <f t="shared" si="374"/>
        <v>-224.09851836888478</v>
      </c>
      <c r="AY105" s="3">
        <f t="shared" si="374"/>
        <v>-223.51469006766686</v>
      </c>
      <c r="AZ105" s="3">
        <f t="shared" si="374"/>
        <v>-237.91809310863582</v>
      </c>
      <c r="BA105" s="3">
        <f t="shared" si="374"/>
        <v>-237.03488966551495</v>
      </c>
      <c r="BB105" s="3">
        <f t="shared" si="374"/>
        <v>-251.68607718887901</v>
      </c>
      <c r="BC105" s="397">
        <f t="shared" si="348"/>
        <v>-2527.1945040082628</v>
      </c>
      <c r="BD105" s="3">
        <f t="shared" ref="BD105:BO105" si="375">AVERAGE(BC36:BD36)*BD84/365*BD1</f>
        <v>-262.32042296257453</v>
      </c>
      <c r="BE105" s="3">
        <f t="shared" si="375"/>
        <v>-244.63727488502639</v>
      </c>
      <c r="BF105" s="3">
        <f t="shared" si="375"/>
        <v>-273.33537011849353</v>
      </c>
      <c r="BG105" s="3">
        <f t="shared" si="375"/>
        <v>-267.19172333487762</v>
      </c>
      <c r="BH105" s="3">
        <f t="shared" si="375"/>
        <v>-279.11112275377707</v>
      </c>
      <c r="BI105" s="3">
        <f t="shared" si="375"/>
        <v>-273.2412601454875</v>
      </c>
      <c r="BJ105" s="3">
        <f t="shared" si="375"/>
        <v>-285.78802554162553</v>
      </c>
      <c r="BK105" s="3">
        <f t="shared" si="375"/>
        <v>-289.40317108331834</v>
      </c>
      <c r="BL105" s="3">
        <f t="shared" si="375"/>
        <v>-283.71402296526992</v>
      </c>
      <c r="BM105" s="3">
        <f t="shared" si="375"/>
        <v>-297.06897452208375</v>
      </c>
      <c r="BN105" s="3">
        <f t="shared" si="375"/>
        <v>-291.36214571660304</v>
      </c>
      <c r="BO105" s="3">
        <f t="shared" si="375"/>
        <v>-304.83198824324387</v>
      </c>
      <c r="BP105" s="397">
        <f t="shared" si="350"/>
        <v>-3352.0055022723818</v>
      </c>
      <c r="CF105" s="296" t="s">
        <v>873</v>
      </c>
      <c r="CG105" s="12" t="s">
        <v>965</v>
      </c>
    </row>
    <row r="106" spans="1:85" s="63" customFormat="1">
      <c r="A106" s="298" t="s">
        <v>518</v>
      </c>
      <c r="B106" s="12" t="s">
        <v>502</v>
      </c>
      <c r="C106" s="299"/>
      <c r="D106" s="63">
        <f t="shared" ref="D106:O106" si="376">D104+D105</f>
        <v>0</v>
      </c>
      <c r="E106" s="63">
        <f t="shared" si="376"/>
        <v>0</v>
      </c>
      <c r="F106" s="63">
        <f t="shared" si="376"/>
        <v>0</v>
      </c>
      <c r="G106" s="63">
        <f t="shared" si="376"/>
        <v>0</v>
      </c>
      <c r="H106" s="63">
        <f t="shared" si="376"/>
        <v>0</v>
      </c>
      <c r="I106" s="63">
        <f t="shared" si="376"/>
        <v>0</v>
      </c>
      <c r="J106" s="63">
        <f t="shared" si="376"/>
        <v>0</v>
      </c>
      <c r="K106" s="63">
        <f t="shared" si="376"/>
        <v>0</v>
      </c>
      <c r="L106" s="63">
        <f t="shared" si="376"/>
        <v>0</v>
      </c>
      <c r="M106" s="63">
        <f t="shared" si="376"/>
        <v>0</v>
      </c>
      <c r="N106" s="63">
        <f t="shared" si="376"/>
        <v>0</v>
      </c>
      <c r="O106" s="63">
        <f t="shared" si="376"/>
        <v>0</v>
      </c>
      <c r="P106" s="419">
        <f t="shared" si="342"/>
        <v>0</v>
      </c>
      <c r="Q106" s="63">
        <f t="shared" ref="Q106:AB106" si="377">Q104+Q105</f>
        <v>0</v>
      </c>
      <c r="R106" s="63">
        <f t="shared" si="377"/>
        <v>0</v>
      </c>
      <c r="S106" s="63">
        <f t="shared" si="377"/>
        <v>0</v>
      </c>
      <c r="T106" s="63">
        <f t="shared" si="377"/>
        <v>0</v>
      </c>
      <c r="U106" s="63">
        <f t="shared" si="377"/>
        <v>0</v>
      </c>
      <c r="V106" s="63">
        <f t="shared" si="377"/>
        <v>0</v>
      </c>
      <c r="W106" s="63">
        <f t="shared" si="377"/>
        <v>-8.1651879860058898</v>
      </c>
      <c r="X106" s="63">
        <f t="shared" si="377"/>
        <v>-24.639111492568112</v>
      </c>
      <c r="Y106" s="63">
        <f t="shared" si="377"/>
        <v>-40.079403327077486</v>
      </c>
      <c r="Z106" s="63">
        <f t="shared" si="377"/>
        <v>-58.461682953094467</v>
      </c>
      <c r="AA106" s="63">
        <f t="shared" si="377"/>
        <v>-73.302353290060523</v>
      </c>
      <c r="AB106" s="63">
        <f t="shared" si="377"/>
        <v>-92.847624919888844</v>
      </c>
      <c r="AC106" s="419">
        <f t="shared" si="344"/>
        <v>-297.49536396869536</v>
      </c>
      <c r="AD106" s="63">
        <f t="shared" ref="AD106:AO106" si="378">AD104+AD105</f>
        <v>-106.56953284256589</v>
      </c>
      <c r="AE106" s="63">
        <f t="shared" si="378"/>
        <v>-112.64523332868995</v>
      </c>
      <c r="AF106" s="63">
        <f t="shared" si="378"/>
        <v>-140.88528959275845</v>
      </c>
      <c r="AG106" s="63">
        <f t="shared" si="378"/>
        <v>-152.36048887399829</v>
      </c>
      <c r="AH106" s="63">
        <f t="shared" si="378"/>
        <v>-174.32870235857737</v>
      </c>
      <c r="AI106" s="63">
        <f t="shared" si="378"/>
        <v>-185.32933977011004</v>
      </c>
      <c r="AJ106" s="63">
        <f t="shared" si="378"/>
        <v>-208.92762794501567</v>
      </c>
      <c r="AK106" s="63">
        <f t="shared" si="378"/>
        <v>-226.54483977135803</v>
      </c>
      <c r="AL106" s="63">
        <f t="shared" si="378"/>
        <v>-236.43242969025778</v>
      </c>
      <c r="AM106" s="63">
        <f t="shared" si="378"/>
        <v>-262.189298671681</v>
      </c>
      <c r="AN106" s="63">
        <f t="shared" si="378"/>
        <v>-271.09229853583179</v>
      </c>
      <c r="AO106" s="63">
        <f t="shared" si="378"/>
        <v>-297.55931918063396</v>
      </c>
      <c r="AP106" s="419">
        <f t="shared" si="346"/>
        <v>-2374.8644005614779</v>
      </c>
      <c r="AQ106" s="63">
        <f t="shared" ref="AQ106:BB106" si="379">AQ104+AQ105</f>
        <v>-300.57530789423561</v>
      </c>
      <c r="AR106" s="63">
        <f t="shared" si="379"/>
        <v>-285.9554574526864</v>
      </c>
      <c r="AS106" s="63">
        <f t="shared" si="379"/>
        <v>-325.76004292373824</v>
      </c>
      <c r="AT106" s="63">
        <f t="shared" si="379"/>
        <v>-324.42263402488112</v>
      </c>
      <c r="AU106" s="63">
        <f t="shared" si="379"/>
        <v>-344.97899115979544</v>
      </c>
      <c r="AV106" s="63">
        <f t="shared" si="379"/>
        <v>-343.49325420058142</v>
      </c>
      <c r="AW106" s="63">
        <f t="shared" si="379"/>
        <v>-365.08585685625167</v>
      </c>
      <c r="AX106" s="63">
        <f t="shared" si="379"/>
        <v>-375.36540795280541</v>
      </c>
      <c r="AY106" s="63">
        <f t="shared" si="379"/>
        <v>-373.29735285000527</v>
      </c>
      <c r="AZ106" s="63">
        <f t="shared" si="379"/>
        <v>-396.1713860478942</v>
      </c>
      <c r="BA106" s="63">
        <f t="shared" si="379"/>
        <v>-393.50209707420311</v>
      </c>
      <c r="BB106" s="63">
        <f t="shared" si="379"/>
        <v>-416.53003012978843</v>
      </c>
      <c r="BC106" s="419">
        <f t="shared" si="348"/>
        <v>-4245.1378185668655</v>
      </c>
      <c r="BD106" s="63">
        <f t="shared" ref="BD106:BO106" si="380">BD104+BD105</f>
        <v>-403.31103790075599</v>
      </c>
      <c r="BE106" s="63">
        <f t="shared" si="380"/>
        <v>-374.58946322720135</v>
      </c>
      <c r="BF106" s="63">
        <f t="shared" si="380"/>
        <v>-416.74729530931222</v>
      </c>
      <c r="BG106" s="63">
        <f t="shared" si="380"/>
        <v>-405.60210125547968</v>
      </c>
      <c r="BH106" s="63">
        <f t="shared" si="380"/>
        <v>-421.8025438331299</v>
      </c>
      <c r="BI106" s="63">
        <f t="shared" si="380"/>
        <v>-411.04193357971178</v>
      </c>
      <c r="BJ106" s="63">
        <f t="shared" si="380"/>
        <v>-427.90056906927447</v>
      </c>
      <c r="BK106" s="63">
        <f t="shared" si="380"/>
        <v>-431.23146922269575</v>
      </c>
      <c r="BL106" s="63">
        <f t="shared" si="380"/>
        <v>-420.67207389940057</v>
      </c>
      <c r="BM106" s="63">
        <f t="shared" si="380"/>
        <v>-438.24931719890066</v>
      </c>
      <c r="BN106" s="63">
        <f t="shared" si="380"/>
        <v>-427.60359222409687</v>
      </c>
      <c r="BO106" s="63">
        <f t="shared" si="380"/>
        <v>-444.99584774255317</v>
      </c>
      <c r="BP106" s="419">
        <f t="shared" si="350"/>
        <v>-5023.7472444625128</v>
      </c>
      <c r="CF106" s="298" t="s">
        <v>872</v>
      </c>
      <c r="CG106" s="12" t="s">
        <v>965</v>
      </c>
    </row>
    <row r="107" spans="1:85" s="3" customFormat="1">
      <c r="A107" s="296" t="s">
        <v>471</v>
      </c>
      <c r="B107" s="12" t="s">
        <v>502</v>
      </c>
      <c r="C107" s="5"/>
      <c r="D107" s="3">
        <f t="shared" ref="D107:O107" si="381">D108+D109+D110</f>
        <v>0</v>
      </c>
      <c r="E107" s="3">
        <f t="shared" si="381"/>
        <v>0</v>
      </c>
      <c r="F107" s="3">
        <f t="shared" si="381"/>
        <v>0</v>
      </c>
      <c r="G107" s="3">
        <f t="shared" si="381"/>
        <v>0</v>
      </c>
      <c r="H107" s="3">
        <f t="shared" si="381"/>
        <v>0</v>
      </c>
      <c r="I107" s="3">
        <f t="shared" si="381"/>
        <v>0</v>
      </c>
      <c r="J107" s="3">
        <f t="shared" si="381"/>
        <v>0</v>
      </c>
      <c r="K107" s="3">
        <f t="shared" si="381"/>
        <v>0</v>
      </c>
      <c r="L107" s="3">
        <f t="shared" si="381"/>
        <v>0</v>
      </c>
      <c r="M107" s="3">
        <f t="shared" si="381"/>
        <v>0</v>
      </c>
      <c r="N107" s="3">
        <f t="shared" si="381"/>
        <v>0</v>
      </c>
      <c r="O107" s="3">
        <f t="shared" si="381"/>
        <v>0</v>
      </c>
      <c r="P107" s="397">
        <f t="shared" si="342"/>
        <v>0</v>
      </c>
      <c r="Q107" s="3">
        <f t="shared" ref="Q107:AB107" si="382">Q108+Q109+Q110</f>
        <v>0</v>
      </c>
      <c r="R107" s="3">
        <f t="shared" si="382"/>
        <v>0</v>
      </c>
      <c r="S107" s="3">
        <f t="shared" si="382"/>
        <v>0</v>
      </c>
      <c r="T107" s="3">
        <f t="shared" si="382"/>
        <v>0</v>
      </c>
      <c r="U107" s="3">
        <f t="shared" si="382"/>
        <v>0</v>
      </c>
      <c r="V107" s="3">
        <f t="shared" si="382"/>
        <v>0</v>
      </c>
      <c r="W107" s="3">
        <f t="shared" si="382"/>
        <v>4.397627730064662</v>
      </c>
      <c r="X107" s="3">
        <f t="shared" si="382"/>
        <v>4.8669499938247016</v>
      </c>
      <c r="Y107" s="3">
        <f t="shared" si="382"/>
        <v>5.3385653147518539</v>
      </c>
      <c r="Z107" s="3">
        <f t="shared" si="382"/>
        <v>5.8118236224770623</v>
      </c>
      <c r="AA107" s="3">
        <f t="shared" si="382"/>
        <v>6.2860842709666089</v>
      </c>
      <c r="AB107" s="3">
        <f t="shared" si="382"/>
        <v>6.5478362512466806</v>
      </c>
      <c r="AC107" s="397">
        <f t="shared" si="344"/>
        <v>33.248887183331568</v>
      </c>
      <c r="AD107" s="3">
        <f t="shared" ref="AD107:AO107" si="383">AD108+AD109+AD110</f>
        <v>7.8810752440584348</v>
      </c>
      <c r="AE107" s="3">
        <f t="shared" si="383"/>
        <v>7.2046149438141223</v>
      </c>
      <c r="AF107" s="3">
        <f t="shared" si="383"/>
        <v>7.7492020244411748</v>
      </c>
      <c r="AG107" s="3">
        <f t="shared" si="383"/>
        <v>8.2983424129804177</v>
      </c>
      <c r="AH107" s="3">
        <f t="shared" si="383"/>
        <v>8.8511891863989032</v>
      </c>
      <c r="AI107" s="3">
        <f t="shared" si="383"/>
        <v>9.4069083419262327</v>
      </c>
      <c r="AJ107" s="3">
        <f t="shared" si="383"/>
        <v>9.9646803156441202</v>
      </c>
      <c r="AK107" s="3">
        <f t="shared" si="383"/>
        <v>10.52370142954466</v>
      </c>
      <c r="AL107" s="3">
        <f t="shared" si="383"/>
        <v>11.083185263919537</v>
      </c>
      <c r="AM107" s="3">
        <f t="shared" si="383"/>
        <v>11.642363952286569</v>
      </c>
      <c r="AN107" s="3">
        <f t="shared" si="383"/>
        <v>12.200489396409694</v>
      </c>
      <c r="AO107" s="3">
        <f t="shared" si="383"/>
        <v>12.442621268416833</v>
      </c>
      <c r="AP107" s="397">
        <f t="shared" si="346"/>
        <v>117.24837377984069</v>
      </c>
      <c r="AQ107" s="3">
        <f t="shared" ref="AQ107:BB107" si="384">AQ108+AQ109+AQ110</f>
        <v>14.527434901503565</v>
      </c>
      <c r="AR107" s="3">
        <f t="shared" si="384"/>
        <v>10.989620638842455</v>
      </c>
      <c r="AS107" s="3">
        <f t="shared" si="384"/>
        <v>11.431781324111078</v>
      </c>
      <c r="AT107" s="3">
        <f t="shared" si="384"/>
        <v>11.877755331450739</v>
      </c>
      <c r="AU107" s="3">
        <f t="shared" si="384"/>
        <v>12.326777834400186</v>
      </c>
      <c r="AV107" s="3">
        <f t="shared" si="384"/>
        <v>12.778101132093358</v>
      </c>
      <c r="AW107" s="3">
        <f t="shared" si="384"/>
        <v>13.230995786744971</v>
      </c>
      <c r="AX107" s="3">
        <f t="shared" si="384"/>
        <v>13.684751680001501</v>
      </c>
      <c r="AY107" s="3">
        <f t="shared" si="384"/>
        <v>14.138678986982594</v>
      </c>
      <c r="AZ107" s="3">
        <f t="shared" si="384"/>
        <v>14.592109067177846</v>
      </c>
      <c r="BA107" s="3">
        <f t="shared" si="384"/>
        <v>15.04439527170063</v>
      </c>
      <c r="BB107" s="3">
        <f t="shared" si="384"/>
        <v>15.154436182139206</v>
      </c>
      <c r="BC107" s="397">
        <f t="shared" si="348"/>
        <v>159.77683813714813</v>
      </c>
      <c r="BD107" s="3">
        <f t="shared" ref="BD107:BO107" si="385">BD108+BD109+BD110</f>
        <v>19.138055792114773</v>
      </c>
      <c r="BE107" s="3">
        <f t="shared" si="385"/>
        <v>13.386031547679282</v>
      </c>
      <c r="BF107" s="3">
        <f t="shared" si="385"/>
        <v>13.742018613352107</v>
      </c>
      <c r="BG107" s="3">
        <f t="shared" si="385"/>
        <v>14.103065014545566</v>
      </c>
      <c r="BH107" s="3">
        <f t="shared" si="385"/>
        <v>14.468400961539675</v>
      </c>
      <c r="BI107" s="3">
        <f t="shared" si="385"/>
        <v>14.837276953723046</v>
      </c>
      <c r="BJ107" s="3">
        <f t="shared" si="385"/>
        <v>15.208964708167679</v>
      </c>
      <c r="BK107" s="3">
        <f t="shared" si="385"/>
        <v>15.582757998614962</v>
      </c>
      <c r="BL107" s="3">
        <f t="shared" si="385"/>
        <v>15.957973405192208</v>
      </c>
      <c r="BM107" s="3">
        <f t="shared" si="385"/>
        <v>16.333950975508362</v>
      </c>
      <c r="BN107" s="3">
        <f t="shared" si="385"/>
        <v>16.710054798088883</v>
      </c>
      <c r="BO107" s="3">
        <f t="shared" si="385"/>
        <v>16.711895868538107</v>
      </c>
      <c r="BP107" s="397">
        <f t="shared" si="350"/>
        <v>186.18044663706468</v>
      </c>
      <c r="CF107" s="296" t="s">
        <v>863</v>
      </c>
      <c r="CG107" s="12" t="s">
        <v>965</v>
      </c>
    </row>
    <row r="108" spans="1:85" s="5" customFormat="1" outlineLevel="1">
      <c r="A108" s="297" t="s">
        <v>519</v>
      </c>
      <c r="B108" s="12" t="s">
        <v>502</v>
      </c>
      <c r="D108" s="5">
        <f t="shared" ref="D108:O108" si="386">D53*D76</f>
        <v>0</v>
      </c>
      <c r="E108" s="5">
        <f t="shared" si="386"/>
        <v>0</v>
      </c>
      <c r="F108" s="5">
        <f t="shared" si="386"/>
        <v>0</v>
      </c>
      <c r="G108" s="5">
        <f t="shared" si="386"/>
        <v>0</v>
      </c>
      <c r="H108" s="5">
        <f t="shared" si="386"/>
        <v>0</v>
      </c>
      <c r="I108" s="5">
        <f t="shared" si="386"/>
        <v>0</v>
      </c>
      <c r="J108" s="5">
        <f t="shared" si="386"/>
        <v>0</v>
      </c>
      <c r="K108" s="5">
        <f t="shared" si="386"/>
        <v>0</v>
      </c>
      <c r="L108" s="5">
        <f t="shared" si="386"/>
        <v>0</v>
      </c>
      <c r="M108" s="5">
        <f t="shared" si="386"/>
        <v>0</v>
      </c>
      <c r="N108" s="5">
        <f t="shared" si="386"/>
        <v>0</v>
      </c>
      <c r="O108" s="5">
        <f t="shared" si="386"/>
        <v>0</v>
      </c>
      <c r="P108" s="383">
        <f t="shared" si="342"/>
        <v>0</v>
      </c>
      <c r="Q108" s="5">
        <f t="shared" ref="Q108:AB108" si="387">Q53*Q76</f>
        <v>0</v>
      </c>
      <c r="R108" s="5">
        <f t="shared" si="387"/>
        <v>0</v>
      </c>
      <c r="S108" s="5">
        <f t="shared" si="387"/>
        <v>0</v>
      </c>
      <c r="T108" s="5">
        <f t="shared" si="387"/>
        <v>0</v>
      </c>
      <c r="U108" s="5">
        <f t="shared" si="387"/>
        <v>0</v>
      </c>
      <c r="V108" s="5">
        <f t="shared" si="387"/>
        <v>0</v>
      </c>
      <c r="W108" s="5">
        <f t="shared" si="387"/>
        <v>0</v>
      </c>
      <c r="X108" s="5">
        <f t="shared" si="387"/>
        <v>0</v>
      </c>
      <c r="Y108" s="5">
        <f t="shared" si="387"/>
        <v>0</v>
      </c>
      <c r="Z108" s="5">
        <f t="shared" si="387"/>
        <v>0</v>
      </c>
      <c r="AA108" s="5">
        <f t="shared" si="387"/>
        <v>0</v>
      </c>
      <c r="AB108" s="5">
        <f t="shared" si="387"/>
        <v>0</v>
      </c>
      <c r="AC108" s="383">
        <f t="shared" si="344"/>
        <v>0</v>
      </c>
      <c r="AD108" s="5">
        <f t="shared" ref="AD108:AO108" si="388">AD53*AD76</f>
        <v>0</v>
      </c>
      <c r="AE108" s="5">
        <f t="shared" si="388"/>
        <v>0</v>
      </c>
      <c r="AF108" s="5">
        <f t="shared" si="388"/>
        <v>0</v>
      </c>
      <c r="AG108" s="5">
        <f t="shared" si="388"/>
        <v>0</v>
      </c>
      <c r="AH108" s="5">
        <f t="shared" si="388"/>
        <v>0</v>
      </c>
      <c r="AI108" s="5">
        <f t="shared" si="388"/>
        <v>0</v>
      </c>
      <c r="AJ108" s="5">
        <f t="shared" si="388"/>
        <v>0</v>
      </c>
      <c r="AK108" s="5">
        <f t="shared" si="388"/>
        <v>0</v>
      </c>
      <c r="AL108" s="5">
        <f t="shared" si="388"/>
        <v>0</v>
      </c>
      <c r="AM108" s="5">
        <f t="shared" si="388"/>
        <v>0</v>
      </c>
      <c r="AN108" s="5">
        <f t="shared" si="388"/>
        <v>0</v>
      </c>
      <c r="AO108" s="5">
        <f t="shared" si="388"/>
        <v>0</v>
      </c>
      <c r="AP108" s="383">
        <f t="shared" si="346"/>
        <v>0</v>
      </c>
      <c r="AQ108" s="5">
        <f t="shared" ref="AQ108:BB108" si="389">AQ53*AQ76</f>
        <v>0</v>
      </c>
      <c r="AR108" s="5">
        <f t="shared" si="389"/>
        <v>0</v>
      </c>
      <c r="AS108" s="5">
        <f t="shared" si="389"/>
        <v>0</v>
      </c>
      <c r="AT108" s="5">
        <f t="shared" si="389"/>
        <v>0</v>
      </c>
      <c r="AU108" s="5">
        <f t="shared" si="389"/>
        <v>0</v>
      </c>
      <c r="AV108" s="5">
        <f t="shared" si="389"/>
        <v>0</v>
      </c>
      <c r="AW108" s="5">
        <f t="shared" si="389"/>
        <v>0</v>
      </c>
      <c r="AX108" s="5">
        <f t="shared" si="389"/>
        <v>0</v>
      </c>
      <c r="AY108" s="5">
        <f t="shared" si="389"/>
        <v>0</v>
      </c>
      <c r="AZ108" s="5">
        <f t="shared" si="389"/>
        <v>0</v>
      </c>
      <c r="BA108" s="5">
        <f t="shared" si="389"/>
        <v>0</v>
      </c>
      <c r="BB108" s="5">
        <f t="shared" si="389"/>
        <v>0</v>
      </c>
      <c r="BC108" s="383">
        <f t="shared" si="348"/>
        <v>0</v>
      </c>
      <c r="BD108" s="5">
        <f t="shared" ref="BD108:BO108" si="390">BD53*BD76</f>
        <v>0</v>
      </c>
      <c r="BE108" s="5">
        <f t="shared" si="390"/>
        <v>0</v>
      </c>
      <c r="BF108" s="5">
        <f t="shared" si="390"/>
        <v>0</v>
      </c>
      <c r="BG108" s="5">
        <f t="shared" si="390"/>
        <v>0</v>
      </c>
      <c r="BH108" s="5">
        <f t="shared" si="390"/>
        <v>0</v>
      </c>
      <c r="BI108" s="5">
        <f t="shared" si="390"/>
        <v>0</v>
      </c>
      <c r="BJ108" s="5">
        <f t="shared" si="390"/>
        <v>0</v>
      </c>
      <c r="BK108" s="5">
        <f t="shared" si="390"/>
        <v>0</v>
      </c>
      <c r="BL108" s="5">
        <f t="shared" si="390"/>
        <v>0</v>
      </c>
      <c r="BM108" s="5">
        <f t="shared" si="390"/>
        <v>0</v>
      </c>
      <c r="BN108" s="5">
        <f t="shared" si="390"/>
        <v>0</v>
      </c>
      <c r="BO108" s="5">
        <f t="shared" si="390"/>
        <v>0</v>
      </c>
      <c r="BP108" s="383">
        <f t="shared" si="350"/>
        <v>0</v>
      </c>
      <c r="CF108" s="297" t="s">
        <v>1031</v>
      </c>
      <c r="CG108" s="12" t="s">
        <v>965</v>
      </c>
    </row>
    <row r="109" spans="1:85" s="5" customFormat="1" outlineLevel="1">
      <c r="A109" s="297" t="s">
        <v>520</v>
      </c>
      <c r="B109" s="12" t="s">
        <v>502</v>
      </c>
      <c r="D109" s="5">
        <f t="shared" ref="D109:O109" si="391">D54*(100%-D74)*D85</f>
        <v>0</v>
      </c>
      <c r="E109" s="5">
        <f t="shared" si="391"/>
        <v>0</v>
      </c>
      <c r="F109" s="5">
        <f t="shared" si="391"/>
        <v>0</v>
      </c>
      <c r="G109" s="5">
        <f t="shared" si="391"/>
        <v>0</v>
      </c>
      <c r="H109" s="5">
        <f t="shared" si="391"/>
        <v>0</v>
      </c>
      <c r="I109" s="5">
        <f t="shared" si="391"/>
        <v>0</v>
      </c>
      <c r="J109" s="5">
        <f t="shared" si="391"/>
        <v>0</v>
      </c>
      <c r="K109" s="5">
        <f t="shared" si="391"/>
        <v>0</v>
      </c>
      <c r="L109" s="5">
        <f t="shared" si="391"/>
        <v>0</v>
      </c>
      <c r="M109" s="5">
        <f t="shared" si="391"/>
        <v>0</v>
      </c>
      <c r="N109" s="5">
        <f t="shared" si="391"/>
        <v>0</v>
      </c>
      <c r="O109" s="5">
        <f t="shared" si="391"/>
        <v>0</v>
      </c>
      <c r="P109" s="383">
        <f t="shared" si="342"/>
        <v>0</v>
      </c>
      <c r="Q109" s="5">
        <f t="shared" ref="Q109:AB109" si="392">Q54*(100%-Q74)*Q85</f>
        <v>0</v>
      </c>
      <c r="R109" s="5">
        <f t="shared" si="392"/>
        <v>0</v>
      </c>
      <c r="S109" s="5">
        <f t="shared" si="392"/>
        <v>0</v>
      </c>
      <c r="T109" s="5">
        <f t="shared" si="392"/>
        <v>0</v>
      </c>
      <c r="U109" s="5">
        <f t="shared" si="392"/>
        <v>0</v>
      </c>
      <c r="V109" s="5">
        <f t="shared" si="392"/>
        <v>0</v>
      </c>
      <c r="W109" s="5">
        <f t="shared" si="392"/>
        <v>4.397627730064662</v>
      </c>
      <c r="X109" s="5">
        <f t="shared" si="392"/>
        <v>4.8669499938247016</v>
      </c>
      <c r="Y109" s="5">
        <f t="shared" si="392"/>
        <v>5.3385653147518539</v>
      </c>
      <c r="Z109" s="5">
        <f t="shared" si="392"/>
        <v>5.8118236224770623</v>
      </c>
      <c r="AA109" s="5">
        <f t="shared" si="392"/>
        <v>6.2860842709666089</v>
      </c>
      <c r="AB109" s="5">
        <f t="shared" si="392"/>
        <v>6.5478362512466806</v>
      </c>
      <c r="AC109" s="383">
        <f t="shared" si="344"/>
        <v>33.248887183331568</v>
      </c>
      <c r="AD109" s="5">
        <f t="shared" ref="AD109:AO109" si="393">AD54*(100%-AD74)*AD85</f>
        <v>7.8810752440584348</v>
      </c>
      <c r="AE109" s="5">
        <f t="shared" si="393"/>
        <v>7.2046149438141223</v>
      </c>
      <c r="AF109" s="5">
        <f t="shared" si="393"/>
        <v>7.7492020244411748</v>
      </c>
      <c r="AG109" s="5">
        <f t="shared" si="393"/>
        <v>8.2983424129804177</v>
      </c>
      <c r="AH109" s="5">
        <f t="shared" si="393"/>
        <v>8.8511891863989032</v>
      </c>
      <c r="AI109" s="5">
        <f t="shared" si="393"/>
        <v>9.4069083419262327</v>
      </c>
      <c r="AJ109" s="5">
        <f t="shared" si="393"/>
        <v>9.9646803156441202</v>
      </c>
      <c r="AK109" s="5">
        <f t="shared" si="393"/>
        <v>10.52370142954466</v>
      </c>
      <c r="AL109" s="5">
        <f t="shared" si="393"/>
        <v>11.083185263919537</v>
      </c>
      <c r="AM109" s="5">
        <f t="shared" si="393"/>
        <v>11.642363952286569</v>
      </c>
      <c r="AN109" s="5">
        <f t="shared" si="393"/>
        <v>12.200489396409694</v>
      </c>
      <c r="AO109" s="5">
        <f t="shared" si="393"/>
        <v>12.442621268416833</v>
      </c>
      <c r="AP109" s="383">
        <f t="shared" si="346"/>
        <v>117.24837377984069</v>
      </c>
      <c r="AQ109" s="5">
        <f t="shared" ref="AQ109:BB109" si="394">AQ54*(100%-AQ74)*AQ85</f>
        <v>14.527434901503565</v>
      </c>
      <c r="AR109" s="5">
        <f t="shared" si="394"/>
        <v>10.989620638842455</v>
      </c>
      <c r="AS109" s="5">
        <f t="shared" si="394"/>
        <v>11.431781324111078</v>
      </c>
      <c r="AT109" s="5">
        <f t="shared" si="394"/>
        <v>11.877755331450739</v>
      </c>
      <c r="AU109" s="5">
        <f t="shared" si="394"/>
        <v>12.326777834400186</v>
      </c>
      <c r="AV109" s="5">
        <f t="shared" si="394"/>
        <v>12.778101132093358</v>
      </c>
      <c r="AW109" s="5">
        <f t="shared" si="394"/>
        <v>13.230995786744971</v>
      </c>
      <c r="AX109" s="5">
        <f t="shared" si="394"/>
        <v>13.684751680001501</v>
      </c>
      <c r="AY109" s="5">
        <f t="shared" si="394"/>
        <v>14.138678986982594</v>
      </c>
      <c r="AZ109" s="5">
        <f t="shared" si="394"/>
        <v>14.592109067177846</v>
      </c>
      <c r="BA109" s="5">
        <f t="shared" si="394"/>
        <v>15.04439527170063</v>
      </c>
      <c r="BB109" s="5">
        <f t="shared" si="394"/>
        <v>15.154436182139206</v>
      </c>
      <c r="BC109" s="383">
        <f t="shared" si="348"/>
        <v>159.77683813714813</v>
      </c>
      <c r="BD109" s="5">
        <f t="shared" ref="BD109:BO109" si="395">BD54*(100%-BD74)*BD85</f>
        <v>19.138055792114773</v>
      </c>
      <c r="BE109" s="5">
        <f t="shared" si="395"/>
        <v>13.386031547679282</v>
      </c>
      <c r="BF109" s="5">
        <f t="shared" si="395"/>
        <v>13.742018613352107</v>
      </c>
      <c r="BG109" s="5">
        <f t="shared" si="395"/>
        <v>14.103065014545566</v>
      </c>
      <c r="BH109" s="5">
        <f t="shared" si="395"/>
        <v>14.468400961539675</v>
      </c>
      <c r="BI109" s="5">
        <f t="shared" si="395"/>
        <v>14.837276953723046</v>
      </c>
      <c r="BJ109" s="5">
        <f t="shared" si="395"/>
        <v>15.208964708167679</v>
      </c>
      <c r="BK109" s="5">
        <f t="shared" si="395"/>
        <v>15.582757998614962</v>
      </c>
      <c r="BL109" s="5">
        <f t="shared" si="395"/>
        <v>15.957973405192208</v>
      </c>
      <c r="BM109" s="5">
        <f t="shared" si="395"/>
        <v>16.333950975508362</v>
      </c>
      <c r="BN109" s="5">
        <f t="shared" si="395"/>
        <v>16.710054798088883</v>
      </c>
      <c r="BO109" s="5">
        <f t="shared" si="395"/>
        <v>16.711895868538107</v>
      </c>
      <c r="BP109" s="383">
        <f t="shared" si="350"/>
        <v>186.18044663706468</v>
      </c>
      <c r="CF109" s="297" t="s">
        <v>1033</v>
      </c>
      <c r="CG109" s="12" t="s">
        <v>965</v>
      </c>
    </row>
    <row r="110" spans="1:85" s="5" customFormat="1" outlineLevel="1">
      <c r="A110" s="297" t="s">
        <v>521</v>
      </c>
      <c r="B110" s="12" t="s">
        <v>502</v>
      </c>
      <c r="D110" s="5">
        <f t="shared" ref="D110:O110" si="396">(D31*D91+D32*D92+D33*D93+D34*D94)/1000000</f>
        <v>0</v>
      </c>
      <c r="E110" s="5">
        <f t="shared" si="396"/>
        <v>0</v>
      </c>
      <c r="F110" s="5">
        <f t="shared" si="396"/>
        <v>0</v>
      </c>
      <c r="G110" s="5">
        <f t="shared" si="396"/>
        <v>0</v>
      </c>
      <c r="H110" s="5">
        <f t="shared" si="396"/>
        <v>0</v>
      </c>
      <c r="I110" s="5">
        <f t="shared" si="396"/>
        <v>0</v>
      </c>
      <c r="J110" s="5">
        <f t="shared" si="396"/>
        <v>0</v>
      </c>
      <c r="K110" s="5">
        <f t="shared" si="396"/>
        <v>0</v>
      </c>
      <c r="L110" s="5">
        <f t="shared" si="396"/>
        <v>0</v>
      </c>
      <c r="M110" s="5">
        <f t="shared" si="396"/>
        <v>0</v>
      </c>
      <c r="N110" s="5">
        <f t="shared" si="396"/>
        <v>0</v>
      </c>
      <c r="O110" s="5">
        <f t="shared" si="396"/>
        <v>0</v>
      </c>
      <c r="P110" s="383">
        <f t="shared" si="342"/>
        <v>0</v>
      </c>
      <c r="Q110" s="5">
        <f t="shared" ref="Q110:AB110" si="397">(Q31*Q91+Q32*Q92+Q33*Q93+Q34*Q94)/1000000</f>
        <v>0</v>
      </c>
      <c r="R110" s="5">
        <f t="shared" si="397"/>
        <v>0</v>
      </c>
      <c r="S110" s="5">
        <f t="shared" si="397"/>
        <v>0</v>
      </c>
      <c r="T110" s="5">
        <f t="shared" si="397"/>
        <v>0</v>
      </c>
      <c r="U110" s="5">
        <f t="shared" si="397"/>
        <v>0</v>
      </c>
      <c r="V110" s="5">
        <f t="shared" si="397"/>
        <v>0</v>
      </c>
      <c r="W110" s="5">
        <f t="shared" si="397"/>
        <v>0</v>
      </c>
      <c r="X110" s="5">
        <f t="shared" si="397"/>
        <v>0</v>
      </c>
      <c r="Y110" s="5">
        <f t="shared" si="397"/>
        <v>0</v>
      </c>
      <c r="Z110" s="5">
        <f t="shared" si="397"/>
        <v>0</v>
      </c>
      <c r="AA110" s="5">
        <f t="shared" si="397"/>
        <v>0</v>
      </c>
      <c r="AB110" s="5">
        <f t="shared" si="397"/>
        <v>0</v>
      </c>
      <c r="AC110" s="383">
        <f t="shared" si="344"/>
        <v>0</v>
      </c>
      <c r="AD110" s="5">
        <f t="shared" ref="AD110:AO110" si="398">(AD31*AD91+AD32*AD92+AD33*AD93+AD34*AD94)/1000000</f>
        <v>0</v>
      </c>
      <c r="AE110" s="5">
        <f t="shared" si="398"/>
        <v>0</v>
      </c>
      <c r="AF110" s="5">
        <f t="shared" si="398"/>
        <v>0</v>
      </c>
      <c r="AG110" s="5">
        <f t="shared" si="398"/>
        <v>0</v>
      </c>
      <c r="AH110" s="5">
        <f t="shared" si="398"/>
        <v>0</v>
      </c>
      <c r="AI110" s="5">
        <f t="shared" si="398"/>
        <v>0</v>
      </c>
      <c r="AJ110" s="5">
        <f t="shared" si="398"/>
        <v>0</v>
      </c>
      <c r="AK110" s="5">
        <f t="shared" si="398"/>
        <v>0</v>
      </c>
      <c r="AL110" s="5">
        <f t="shared" si="398"/>
        <v>0</v>
      </c>
      <c r="AM110" s="5">
        <f t="shared" si="398"/>
        <v>0</v>
      </c>
      <c r="AN110" s="5">
        <f t="shared" si="398"/>
        <v>0</v>
      </c>
      <c r="AO110" s="5">
        <f t="shared" si="398"/>
        <v>0</v>
      </c>
      <c r="AP110" s="383">
        <f t="shared" si="346"/>
        <v>0</v>
      </c>
      <c r="AQ110" s="5">
        <f t="shared" ref="AQ110:BB110" si="399">(AQ31*AQ91+AQ32*AQ92+AQ33*AQ93+AQ34*AQ94)/1000000</f>
        <v>0</v>
      </c>
      <c r="AR110" s="5">
        <f t="shared" si="399"/>
        <v>0</v>
      </c>
      <c r="AS110" s="5">
        <f t="shared" si="399"/>
        <v>0</v>
      </c>
      <c r="AT110" s="5">
        <f t="shared" si="399"/>
        <v>0</v>
      </c>
      <c r="AU110" s="5">
        <f t="shared" si="399"/>
        <v>0</v>
      </c>
      <c r="AV110" s="5">
        <f t="shared" si="399"/>
        <v>0</v>
      </c>
      <c r="AW110" s="5">
        <f t="shared" si="399"/>
        <v>0</v>
      </c>
      <c r="AX110" s="5">
        <f t="shared" si="399"/>
        <v>0</v>
      </c>
      <c r="AY110" s="5">
        <f t="shared" si="399"/>
        <v>0</v>
      </c>
      <c r="AZ110" s="5">
        <f t="shared" si="399"/>
        <v>0</v>
      </c>
      <c r="BA110" s="5">
        <f t="shared" si="399"/>
        <v>0</v>
      </c>
      <c r="BB110" s="5">
        <f t="shared" si="399"/>
        <v>0</v>
      </c>
      <c r="BC110" s="383">
        <f t="shared" si="348"/>
        <v>0</v>
      </c>
      <c r="BD110" s="5">
        <f t="shared" ref="BD110:BO110" si="400">(BD31*BD91+BD32*BD92+BD33*BD93+BD34*BD94)/1000000</f>
        <v>0</v>
      </c>
      <c r="BE110" s="5">
        <f t="shared" si="400"/>
        <v>0</v>
      </c>
      <c r="BF110" s="5">
        <f t="shared" si="400"/>
        <v>0</v>
      </c>
      <c r="BG110" s="5">
        <f t="shared" si="400"/>
        <v>0</v>
      </c>
      <c r="BH110" s="5">
        <f t="shared" si="400"/>
        <v>0</v>
      </c>
      <c r="BI110" s="5">
        <f t="shared" si="400"/>
        <v>0</v>
      </c>
      <c r="BJ110" s="5">
        <f t="shared" si="400"/>
        <v>0</v>
      </c>
      <c r="BK110" s="5">
        <f t="shared" si="400"/>
        <v>0</v>
      </c>
      <c r="BL110" s="5">
        <f t="shared" si="400"/>
        <v>0</v>
      </c>
      <c r="BM110" s="5">
        <f t="shared" si="400"/>
        <v>0</v>
      </c>
      <c r="BN110" s="5">
        <f t="shared" si="400"/>
        <v>0</v>
      </c>
      <c r="BO110" s="5">
        <f t="shared" si="400"/>
        <v>0</v>
      </c>
      <c r="BP110" s="383">
        <f t="shared" si="350"/>
        <v>0</v>
      </c>
      <c r="CF110" s="297" t="s">
        <v>1032</v>
      </c>
      <c r="CG110" s="12" t="s">
        <v>965</v>
      </c>
    </row>
    <row r="111" spans="1:85" s="3" customFormat="1">
      <c r="A111" s="296" t="s">
        <v>472</v>
      </c>
      <c r="B111" s="12" t="s">
        <v>502</v>
      </c>
      <c r="C111" s="5"/>
      <c r="D111" s="3">
        <f t="shared" ref="D111:O111" si="401">D112+D113+D114</f>
        <v>0</v>
      </c>
      <c r="E111" s="3">
        <f t="shared" si="401"/>
        <v>0</v>
      </c>
      <c r="F111" s="3">
        <f t="shared" si="401"/>
        <v>0</v>
      </c>
      <c r="G111" s="3">
        <f t="shared" si="401"/>
        <v>0</v>
      </c>
      <c r="H111" s="3">
        <f t="shared" si="401"/>
        <v>0</v>
      </c>
      <c r="I111" s="3">
        <f t="shared" si="401"/>
        <v>0</v>
      </c>
      <c r="J111" s="3">
        <f t="shared" si="401"/>
        <v>0</v>
      </c>
      <c r="K111" s="3">
        <f t="shared" si="401"/>
        <v>0</v>
      </c>
      <c r="L111" s="3">
        <f t="shared" si="401"/>
        <v>0</v>
      </c>
      <c r="M111" s="3">
        <f t="shared" si="401"/>
        <v>0</v>
      </c>
      <c r="N111" s="3">
        <f t="shared" si="401"/>
        <v>0</v>
      </c>
      <c r="O111" s="3">
        <f t="shared" si="401"/>
        <v>0</v>
      </c>
      <c r="P111" s="397">
        <f t="shared" si="342"/>
        <v>0</v>
      </c>
      <c r="Q111" s="3">
        <f t="shared" ref="Q111:AB111" si="402">Q112+Q113+Q114</f>
        <v>0</v>
      </c>
      <c r="R111" s="3">
        <f t="shared" si="402"/>
        <v>0</v>
      </c>
      <c r="S111" s="3">
        <f t="shared" si="402"/>
        <v>0</v>
      </c>
      <c r="T111" s="3">
        <f t="shared" si="402"/>
        <v>0</v>
      </c>
      <c r="U111" s="3">
        <f t="shared" si="402"/>
        <v>0</v>
      </c>
      <c r="V111" s="3">
        <f t="shared" si="402"/>
        <v>0</v>
      </c>
      <c r="W111" s="3">
        <f t="shared" si="402"/>
        <v>-16.610491898261234</v>
      </c>
      <c r="X111" s="3">
        <f t="shared" si="402"/>
        <v>-18.485891460938578</v>
      </c>
      <c r="Y111" s="3">
        <f t="shared" si="402"/>
        <v>-20.382609800799941</v>
      </c>
      <c r="Z111" s="3">
        <f t="shared" si="402"/>
        <v>-22.298293928354266</v>
      </c>
      <c r="AA111" s="3">
        <f t="shared" si="402"/>
        <v>-24.23059730241981</v>
      </c>
      <c r="AB111" s="3">
        <f t="shared" si="402"/>
        <v>-25.361548705164189</v>
      </c>
      <c r="AC111" s="397">
        <f t="shared" si="344"/>
        <v>-127.36943309593801</v>
      </c>
      <c r="AD111" s="3">
        <f t="shared" ref="AD111:AO111" si="403">AD112+AD113+AD114</f>
        <v>-30.598677938620785</v>
      </c>
      <c r="AE111" s="3">
        <f t="shared" si="403"/>
        <v>-28.151658791580413</v>
      </c>
      <c r="AF111" s="3">
        <f t="shared" si="403"/>
        <v>-30.396404298615522</v>
      </c>
      <c r="AG111" s="3">
        <f t="shared" si="403"/>
        <v>-32.674598413119853</v>
      </c>
      <c r="AH111" s="3">
        <f t="shared" si="403"/>
        <v>-34.983162104883242</v>
      </c>
      <c r="AI111" s="3">
        <f t="shared" si="403"/>
        <v>-37.319027227257713</v>
      </c>
      <c r="AJ111" s="3">
        <f t="shared" si="403"/>
        <v>-39.679142829690889</v>
      </c>
      <c r="AK111" s="3">
        <f t="shared" si="403"/>
        <v>-42.060481307137259</v>
      </c>
      <c r="AL111" s="3">
        <f t="shared" si="403"/>
        <v>-44.460044369869976</v>
      </c>
      <c r="AM111" s="3">
        <f t="shared" si="403"/>
        <v>-46.874868818173908</v>
      </c>
      <c r="AN111" s="3">
        <f t="shared" si="403"/>
        <v>-49.302032107408927</v>
      </c>
      <c r="AO111" s="3">
        <f t="shared" si="403"/>
        <v>-50.491780186395047</v>
      </c>
      <c r="AP111" s="397">
        <f t="shared" si="346"/>
        <v>-466.99187839275356</v>
      </c>
      <c r="AQ111" s="3">
        <f t="shared" ref="AQ111:BB111" si="404">AQ112+AQ113+AQ114</f>
        <v>-58.960530952969997</v>
      </c>
      <c r="AR111" s="3">
        <f t="shared" si="404"/>
        <v>-45.121595622772666</v>
      </c>
      <c r="AS111" s="3">
        <f t="shared" si="404"/>
        <v>-47.080836243006978</v>
      </c>
      <c r="AT111" s="3">
        <f t="shared" si="404"/>
        <v>-49.069910431663615</v>
      </c>
      <c r="AU111" s="3">
        <f t="shared" si="404"/>
        <v>-51.085918326262536</v>
      </c>
      <c r="AV111" s="3">
        <f t="shared" si="404"/>
        <v>-53.12599135125096</v>
      </c>
      <c r="AW111" s="3">
        <f t="shared" si="404"/>
        <v>-55.187297546526125</v>
      </c>
      <c r="AX111" s="3">
        <f t="shared" si="404"/>
        <v>-57.267046665800571</v>
      </c>
      <c r="AY111" s="3">
        <f t="shared" si="404"/>
        <v>-59.362495034281231</v>
      </c>
      <c r="AZ111" s="3">
        <f t="shared" si="404"/>
        <v>-61.470950156275762</v>
      </c>
      <c r="BA111" s="3">
        <f t="shared" si="404"/>
        <v>-63.589775064502341</v>
      </c>
      <c r="BB111" s="3">
        <f t="shared" si="404"/>
        <v>-64.315250492152458</v>
      </c>
      <c r="BC111" s="397">
        <f t="shared" si="348"/>
        <v>-665.63759788746518</v>
      </c>
      <c r="BD111" s="3">
        <f t="shared" ref="BD111:BO111" si="405">BD112+BD113+BD114</f>
        <v>-80.930612063973186</v>
      </c>
      <c r="BE111" s="3">
        <f t="shared" si="405"/>
        <v>-57.499445494742943</v>
      </c>
      <c r="BF111" s="3">
        <f t="shared" si="405"/>
        <v>-59.199200151299536</v>
      </c>
      <c r="BG111" s="3">
        <f t="shared" si="405"/>
        <v>-60.93378355133521</v>
      </c>
      <c r="BH111" s="3">
        <f t="shared" si="405"/>
        <v>-62.700202438842233</v>
      </c>
      <c r="BI111" s="3">
        <f t="shared" si="405"/>
        <v>-64.495508455712596</v>
      </c>
      <c r="BJ111" s="3">
        <f t="shared" si="405"/>
        <v>-66.316803038589597</v>
      </c>
      <c r="BK111" s="3">
        <f t="shared" si="405"/>
        <v>-68.161242029662176</v>
      </c>
      <c r="BL111" s="3">
        <f t="shared" si="405"/>
        <v>-70.026039995536934</v>
      </c>
      <c r="BM111" s="3">
        <f t="shared" si="405"/>
        <v>-71.90847424960009</v>
      </c>
      <c r="BN111" s="3">
        <f t="shared" si="405"/>
        <v>-73.805888574519486</v>
      </c>
      <c r="BO111" s="3">
        <f t="shared" si="405"/>
        <v>-74.118356382634317</v>
      </c>
      <c r="BP111" s="397">
        <f t="shared" si="350"/>
        <v>-810.09555642644841</v>
      </c>
      <c r="CF111" s="296" t="s">
        <v>864</v>
      </c>
      <c r="CG111" s="12" t="s">
        <v>965</v>
      </c>
    </row>
    <row r="112" spans="1:85" s="5" customFormat="1" outlineLevel="1">
      <c r="A112" s="297" t="s">
        <v>522</v>
      </c>
      <c r="B112" s="12" t="s">
        <v>502</v>
      </c>
      <c r="D112" s="5">
        <f t="shared" ref="D112:O112" si="406">D52*D86</f>
        <v>0</v>
      </c>
      <c r="E112" s="5">
        <f t="shared" si="406"/>
        <v>0</v>
      </c>
      <c r="F112" s="5">
        <f t="shared" si="406"/>
        <v>0</v>
      </c>
      <c r="G112" s="5">
        <f t="shared" si="406"/>
        <v>0</v>
      </c>
      <c r="H112" s="5">
        <f t="shared" si="406"/>
        <v>0</v>
      </c>
      <c r="I112" s="5">
        <f t="shared" si="406"/>
        <v>0</v>
      </c>
      <c r="J112" s="5">
        <f t="shared" si="406"/>
        <v>0</v>
      </c>
      <c r="K112" s="5">
        <f t="shared" si="406"/>
        <v>0</v>
      </c>
      <c r="L112" s="5">
        <f t="shared" si="406"/>
        <v>0</v>
      </c>
      <c r="M112" s="5">
        <f t="shared" si="406"/>
        <v>0</v>
      </c>
      <c r="N112" s="5">
        <f t="shared" si="406"/>
        <v>0</v>
      </c>
      <c r="O112" s="5">
        <f t="shared" si="406"/>
        <v>0</v>
      </c>
      <c r="P112" s="383">
        <f t="shared" si="342"/>
        <v>0</v>
      </c>
      <c r="Q112" s="5">
        <f t="shared" ref="Q112:AB112" si="407">Q52*Q86</f>
        <v>0</v>
      </c>
      <c r="R112" s="5">
        <f t="shared" si="407"/>
        <v>0</v>
      </c>
      <c r="S112" s="5">
        <f t="shared" si="407"/>
        <v>0</v>
      </c>
      <c r="T112" s="5">
        <f t="shared" si="407"/>
        <v>0</v>
      </c>
      <c r="U112" s="5">
        <f t="shared" si="407"/>
        <v>0</v>
      </c>
      <c r="V112" s="5">
        <f t="shared" si="407"/>
        <v>0</v>
      </c>
      <c r="W112" s="5">
        <f t="shared" si="407"/>
        <v>-16.610491898261234</v>
      </c>
      <c r="X112" s="5">
        <f t="shared" si="407"/>
        <v>-18.485891460938578</v>
      </c>
      <c r="Y112" s="5">
        <f t="shared" si="407"/>
        <v>-20.382609800799941</v>
      </c>
      <c r="Z112" s="5">
        <f t="shared" si="407"/>
        <v>-22.298293928354266</v>
      </c>
      <c r="AA112" s="5">
        <f t="shared" si="407"/>
        <v>-24.23059730241981</v>
      </c>
      <c r="AB112" s="5">
        <f t="shared" si="407"/>
        <v>-25.361548705164189</v>
      </c>
      <c r="AC112" s="383">
        <f t="shared" si="344"/>
        <v>-127.36943309593801</v>
      </c>
      <c r="AD112" s="5">
        <f t="shared" ref="AD112:AO112" si="408">AD52*AD86</f>
        <v>-30.598677938620785</v>
      </c>
      <c r="AE112" s="5">
        <f t="shared" si="408"/>
        <v>-28.151658791580413</v>
      </c>
      <c r="AF112" s="5">
        <f t="shared" si="408"/>
        <v>-30.396404298615522</v>
      </c>
      <c r="AG112" s="5">
        <f t="shared" si="408"/>
        <v>-32.674598413119853</v>
      </c>
      <c r="AH112" s="5">
        <f t="shared" si="408"/>
        <v>-34.983162104883242</v>
      </c>
      <c r="AI112" s="5">
        <f t="shared" si="408"/>
        <v>-37.319027227257713</v>
      </c>
      <c r="AJ112" s="5">
        <f t="shared" si="408"/>
        <v>-39.679142829690889</v>
      </c>
      <c r="AK112" s="5">
        <f t="shared" si="408"/>
        <v>-42.060481307137259</v>
      </c>
      <c r="AL112" s="5">
        <f t="shared" si="408"/>
        <v>-44.460044369869976</v>
      </c>
      <c r="AM112" s="5">
        <f t="shared" si="408"/>
        <v>-46.874868818173908</v>
      </c>
      <c r="AN112" s="5">
        <f t="shared" si="408"/>
        <v>-49.302032107408927</v>
      </c>
      <c r="AO112" s="5">
        <f t="shared" si="408"/>
        <v>-50.491780186395047</v>
      </c>
      <c r="AP112" s="383">
        <f t="shared" si="346"/>
        <v>-466.99187839275356</v>
      </c>
      <c r="AQ112" s="5">
        <f t="shared" ref="AQ112:BB112" si="409">AQ52*AQ86</f>
        <v>-58.960530952969997</v>
      </c>
      <c r="AR112" s="5">
        <f t="shared" si="409"/>
        <v>-45.121595622772666</v>
      </c>
      <c r="AS112" s="5">
        <f t="shared" si="409"/>
        <v>-47.080836243006978</v>
      </c>
      <c r="AT112" s="5">
        <f t="shared" si="409"/>
        <v>-49.069910431663615</v>
      </c>
      <c r="AU112" s="5">
        <f t="shared" si="409"/>
        <v>-51.085918326262536</v>
      </c>
      <c r="AV112" s="5">
        <f t="shared" si="409"/>
        <v>-53.12599135125096</v>
      </c>
      <c r="AW112" s="5">
        <f t="shared" si="409"/>
        <v>-55.187297546526125</v>
      </c>
      <c r="AX112" s="5">
        <f t="shared" si="409"/>
        <v>-57.267046665800571</v>
      </c>
      <c r="AY112" s="5">
        <f t="shared" si="409"/>
        <v>-59.362495034281231</v>
      </c>
      <c r="AZ112" s="5">
        <f t="shared" si="409"/>
        <v>-61.470950156275762</v>
      </c>
      <c r="BA112" s="5">
        <f t="shared" si="409"/>
        <v>-63.589775064502341</v>
      </c>
      <c r="BB112" s="5">
        <f t="shared" si="409"/>
        <v>-64.315250492152458</v>
      </c>
      <c r="BC112" s="383">
        <f t="shared" si="348"/>
        <v>-665.63759788746518</v>
      </c>
      <c r="BD112" s="5">
        <f t="shared" ref="BD112:BO112" si="410">BD52*BD86</f>
        <v>-80.930612063973186</v>
      </c>
      <c r="BE112" s="5">
        <f t="shared" si="410"/>
        <v>-57.499445494742943</v>
      </c>
      <c r="BF112" s="5">
        <f t="shared" si="410"/>
        <v>-59.199200151299536</v>
      </c>
      <c r="BG112" s="5">
        <f t="shared" si="410"/>
        <v>-60.93378355133521</v>
      </c>
      <c r="BH112" s="5">
        <f t="shared" si="410"/>
        <v>-62.700202438842233</v>
      </c>
      <c r="BI112" s="5">
        <f t="shared" si="410"/>
        <v>-64.495508455712596</v>
      </c>
      <c r="BJ112" s="5">
        <f t="shared" si="410"/>
        <v>-66.316803038589597</v>
      </c>
      <c r="BK112" s="5">
        <f t="shared" si="410"/>
        <v>-68.161242029662176</v>
      </c>
      <c r="BL112" s="5">
        <f t="shared" si="410"/>
        <v>-70.026039995536934</v>
      </c>
      <c r="BM112" s="5">
        <f t="shared" si="410"/>
        <v>-71.90847424960009</v>
      </c>
      <c r="BN112" s="5">
        <f t="shared" si="410"/>
        <v>-73.805888574519486</v>
      </c>
      <c r="BO112" s="5">
        <f t="shared" si="410"/>
        <v>-74.118356382634317</v>
      </c>
      <c r="BP112" s="383">
        <f t="shared" si="350"/>
        <v>-810.09555642644841</v>
      </c>
      <c r="CF112" s="297" t="s">
        <v>1034</v>
      </c>
      <c r="CG112" s="12" t="s">
        <v>965</v>
      </c>
    </row>
    <row r="113" spans="1:85" s="5" customFormat="1" outlineLevel="1">
      <c r="A113" s="297" t="s">
        <v>523</v>
      </c>
      <c r="B113" s="12" t="s">
        <v>502</v>
      </c>
      <c r="D113" s="5">
        <f t="shared" ref="D113:O113" si="411">D54*D87</f>
        <v>0</v>
      </c>
      <c r="E113" s="5">
        <f t="shared" si="411"/>
        <v>0</v>
      </c>
      <c r="F113" s="5">
        <f t="shared" si="411"/>
        <v>0</v>
      </c>
      <c r="G113" s="5">
        <f t="shared" si="411"/>
        <v>0</v>
      </c>
      <c r="H113" s="5">
        <f t="shared" si="411"/>
        <v>0</v>
      </c>
      <c r="I113" s="5">
        <f t="shared" si="411"/>
        <v>0</v>
      </c>
      <c r="J113" s="5">
        <f t="shared" si="411"/>
        <v>0</v>
      </c>
      <c r="K113" s="5">
        <f t="shared" si="411"/>
        <v>0</v>
      </c>
      <c r="L113" s="5">
        <f t="shared" si="411"/>
        <v>0</v>
      </c>
      <c r="M113" s="5">
        <f t="shared" si="411"/>
        <v>0</v>
      </c>
      <c r="N113" s="5">
        <f t="shared" si="411"/>
        <v>0</v>
      </c>
      <c r="O113" s="5">
        <f t="shared" si="411"/>
        <v>0</v>
      </c>
      <c r="P113" s="383">
        <f t="shared" si="342"/>
        <v>0</v>
      </c>
      <c r="Q113" s="5">
        <f t="shared" ref="Q113:AB113" si="412">Q54*Q87</f>
        <v>0</v>
      </c>
      <c r="R113" s="5">
        <f t="shared" si="412"/>
        <v>0</v>
      </c>
      <c r="S113" s="5">
        <f t="shared" si="412"/>
        <v>0</v>
      </c>
      <c r="T113" s="5">
        <f t="shared" si="412"/>
        <v>0</v>
      </c>
      <c r="U113" s="5">
        <f t="shared" si="412"/>
        <v>0</v>
      </c>
      <c r="V113" s="5">
        <f t="shared" si="412"/>
        <v>0</v>
      </c>
      <c r="W113" s="5">
        <f t="shared" si="412"/>
        <v>0</v>
      </c>
      <c r="X113" s="5">
        <f t="shared" si="412"/>
        <v>0</v>
      </c>
      <c r="Y113" s="5">
        <f t="shared" si="412"/>
        <v>0</v>
      </c>
      <c r="Z113" s="5">
        <f t="shared" si="412"/>
        <v>0</v>
      </c>
      <c r="AA113" s="5">
        <f t="shared" si="412"/>
        <v>0</v>
      </c>
      <c r="AB113" s="5">
        <f t="shared" si="412"/>
        <v>0</v>
      </c>
      <c r="AC113" s="383">
        <f t="shared" si="344"/>
        <v>0</v>
      </c>
      <c r="AD113" s="5">
        <f t="shared" ref="AD113:AO113" si="413">AD54*AD87</f>
        <v>0</v>
      </c>
      <c r="AE113" s="5">
        <f t="shared" si="413"/>
        <v>0</v>
      </c>
      <c r="AF113" s="5">
        <f t="shared" si="413"/>
        <v>0</v>
      </c>
      <c r="AG113" s="5">
        <f t="shared" si="413"/>
        <v>0</v>
      </c>
      <c r="AH113" s="5">
        <f t="shared" si="413"/>
        <v>0</v>
      </c>
      <c r="AI113" s="5">
        <f t="shared" si="413"/>
        <v>0</v>
      </c>
      <c r="AJ113" s="5">
        <f t="shared" si="413"/>
        <v>0</v>
      </c>
      <c r="AK113" s="5">
        <f t="shared" si="413"/>
        <v>0</v>
      </c>
      <c r="AL113" s="5">
        <f t="shared" si="413"/>
        <v>0</v>
      </c>
      <c r="AM113" s="5">
        <f t="shared" si="413"/>
        <v>0</v>
      </c>
      <c r="AN113" s="5">
        <f t="shared" si="413"/>
        <v>0</v>
      </c>
      <c r="AO113" s="5">
        <f t="shared" si="413"/>
        <v>0</v>
      </c>
      <c r="AP113" s="383">
        <f t="shared" si="346"/>
        <v>0</v>
      </c>
      <c r="AQ113" s="5">
        <f t="shared" ref="AQ113:BB113" si="414">AQ54*AQ87</f>
        <v>0</v>
      </c>
      <c r="AR113" s="5">
        <f t="shared" si="414"/>
        <v>0</v>
      </c>
      <c r="AS113" s="5">
        <f t="shared" si="414"/>
        <v>0</v>
      </c>
      <c r="AT113" s="5">
        <f t="shared" si="414"/>
        <v>0</v>
      </c>
      <c r="AU113" s="5">
        <f t="shared" si="414"/>
        <v>0</v>
      </c>
      <c r="AV113" s="5">
        <f t="shared" si="414"/>
        <v>0</v>
      </c>
      <c r="AW113" s="5">
        <f t="shared" si="414"/>
        <v>0</v>
      </c>
      <c r="AX113" s="5">
        <f t="shared" si="414"/>
        <v>0</v>
      </c>
      <c r="AY113" s="5">
        <f t="shared" si="414"/>
        <v>0</v>
      </c>
      <c r="AZ113" s="5">
        <f t="shared" si="414"/>
        <v>0</v>
      </c>
      <c r="BA113" s="5">
        <f t="shared" si="414"/>
        <v>0</v>
      </c>
      <c r="BB113" s="5">
        <f t="shared" si="414"/>
        <v>0</v>
      </c>
      <c r="BC113" s="383">
        <f t="shared" si="348"/>
        <v>0</v>
      </c>
      <c r="BD113" s="5">
        <f t="shared" ref="BD113:BO113" si="415">BD54*BD87</f>
        <v>0</v>
      </c>
      <c r="BE113" s="5">
        <f t="shared" si="415"/>
        <v>0</v>
      </c>
      <c r="BF113" s="5">
        <f t="shared" si="415"/>
        <v>0</v>
      </c>
      <c r="BG113" s="5">
        <f t="shared" si="415"/>
        <v>0</v>
      </c>
      <c r="BH113" s="5">
        <f t="shared" si="415"/>
        <v>0</v>
      </c>
      <c r="BI113" s="5">
        <f t="shared" si="415"/>
        <v>0</v>
      </c>
      <c r="BJ113" s="5">
        <f t="shared" si="415"/>
        <v>0</v>
      </c>
      <c r="BK113" s="5">
        <f t="shared" si="415"/>
        <v>0</v>
      </c>
      <c r="BL113" s="5">
        <f t="shared" si="415"/>
        <v>0</v>
      </c>
      <c r="BM113" s="5">
        <f t="shared" si="415"/>
        <v>0</v>
      </c>
      <c r="BN113" s="5">
        <f t="shared" si="415"/>
        <v>0</v>
      </c>
      <c r="BO113" s="5">
        <f t="shared" si="415"/>
        <v>0</v>
      </c>
      <c r="BP113" s="383">
        <f t="shared" si="350"/>
        <v>0</v>
      </c>
      <c r="CF113" s="297" t="s">
        <v>1035</v>
      </c>
      <c r="CG113" s="12" t="s">
        <v>965</v>
      </c>
    </row>
    <row r="114" spans="1:85" s="5" customFormat="1" outlineLevel="1">
      <c r="A114" s="297" t="s">
        <v>524</v>
      </c>
      <c r="B114" s="12" t="s">
        <v>502</v>
      </c>
      <c r="P114" s="383">
        <f t="shared" si="342"/>
        <v>0</v>
      </c>
      <c r="AC114" s="383">
        <f t="shared" si="344"/>
        <v>0</v>
      </c>
      <c r="AP114" s="383">
        <f t="shared" si="346"/>
        <v>0</v>
      </c>
      <c r="BC114" s="383">
        <f t="shared" si="348"/>
        <v>0</v>
      </c>
      <c r="BP114" s="383">
        <f t="shared" si="350"/>
        <v>0</v>
      </c>
      <c r="CF114" s="297" t="s">
        <v>1036</v>
      </c>
      <c r="CG114" s="12" t="s">
        <v>965</v>
      </c>
    </row>
    <row r="115" spans="1:85" s="3" customFormat="1">
      <c r="A115" s="296" t="s">
        <v>525</v>
      </c>
      <c r="B115" s="12" t="s">
        <v>502</v>
      </c>
      <c r="C115" s="5"/>
      <c r="P115" s="397">
        <f t="shared" si="342"/>
        <v>0</v>
      </c>
      <c r="AC115" s="397">
        <f t="shared" si="344"/>
        <v>0</v>
      </c>
      <c r="AP115" s="397">
        <f t="shared" si="346"/>
        <v>0</v>
      </c>
      <c r="BC115" s="397">
        <f t="shared" si="348"/>
        <v>0</v>
      </c>
      <c r="BP115" s="397">
        <f t="shared" si="350"/>
        <v>0</v>
      </c>
      <c r="CF115" s="296" t="s">
        <v>865</v>
      </c>
      <c r="CG115" s="12" t="s">
        <v>965</v>
      </c>
    </row>
    <row r="116" spans="1:85" s="3" customFormat="1">
      <c r="A116" s="300" t="s">
        <v>526</v>
      </c>
      <c r="B116" s="12" t="s">
        <v>502</v>
      </c>
      <c r="C116" s="5"/>
      <c r="P116" s="397">
        <f t="shared" si="342"/>
        <v>0</v>
      </c>
      <c r="AC116" s="397">
        <f t="shared" si="344"/>
        <v>0</v>
      </c>
      <c r="AP116" s="397">
        <f t="shared" si="346"/>
        <v>0</v>
      </c>
      <c r="BC116" s="397">
        <f t="shared" si="348"/>
        <v>0</v>
      </c>
      <c r="BP116" s="397">
        <f t="shared" si="350"/>
        <v>0</v>
      </c>
      <c r="CF116" s="300" t="s">
        <v>866</v>
      </c>
      <c r="CG116" s="12" t="s">
        <v>965</v>
      </c>
    </row>
    <row r="117" spans="1:85" s="63" customFormat="1">
      <c r="A117" s="298" t="s">
        <v>527</v>
      </c>
      <c r="B117" s="12" t="s">
        <v>502</v>
      </c>
      <c r="C117" s="299"/>
      <c r="D117" s="63">
        <f t="shared" ref="D117:O117" si="416">D106+D107+D111+D115+D116</f>
        <v>0</v>
      </c>
      <c r="E117" s="63">
        <f t="shared" si="416"/>
        <v>0</v>
      </c>
      <c r="F117" s="63">
        <f t="shared" si="416"/>
        <v>0</v>
      </c>
      <c r="G117" s="63">
        <f t="shared" si="416"/>
        <v>0</v>
      </c>
      <c r="H117" s="63">
        <f t="shared" si="416"/>
        <v>0</v>
      </c>
      <c r="I117" s="63">
        <f t="shared" si="416"/>
        <v>0</v>
      </c>
      <c r="J117" s="63">
        <f t="shared" si="416"/>
        <v>0</v>
      </c>
      <c r="K117" s="63">
        <f t="shared" si="416"/>
        <v>0</v>
      </c>
      <c r="L117" s="63">
        <f t="shared" si="416"/>
        <v>0</v>
      </c>
      <c r="M117" s="63">
        <f t="shared" si="416"/>
        <v>0</v>
      </c>
      <c r="N117" s="63">
        <f t="shared" si="416"/>
        <v>0</v>
      </c>
      <c r="O117" s="63">
        <f t="shared" si="416"/>
        <v>0</v>
      </c>
      <c r="P117" s="419">
        <f t="shared" si="342"/>
        <v>0</v>
      </c>
      <c r="Q117" s="63">
        <f t="shared" ref="Q117:AB117" si="417">Q106+Q107+Q111+Q115+Q116</f>
        <v>0</v>
      </c>
      <c r="R117" s="63">
        <f t="shared" si="417"/>
        <v>0</v>
      </c>
      <c r="S117" s="63">
        <f t="shared" si="417"/>
        <v>0</v>
      </c>
      <c r="T117" s="63">
        <f t="shared" si="417"/>
        <v>0</v>
      </c>
      <c r="U117" s="63">
        <f t="shared" si="417"/>
        <v>0</v>
      </c>
      <c r="V117" s="63">
        <f t="shared" si="417"/>
        <v>0</v>
      </c>
      <c r="W117" s="63">
        <f t="shared" si="417"/>
        <v>-20.378052154202461</v>
      </c>
      <c r="X117" s="63">
        <f t="shared" si="417"/>
        <v>-38.25805295968199</v>
      </c>
      <c r="Y117" s="63">
        <f t="shared" si="417"/>
        <v>-55.123447813125573</v>
      </c>
      <c r="Z117" s="63">
        <f t="shared" si="417"/>
        <v>-74.948153258971672</v>
      </c>
      <c r="AA117" s="63">
        <f t="shared" si="417"/>
        <v>-91.246866321513721</v>
      </c>
      <c r="AB117" s="63">
        <f t="shared" si="417"/>
        <v>-111.66133737380636</v>
      </c>
      <c r="AC117" s="419">
        <f t="shared" si="344"/>
        <v>-391.61590988130177</v>
      </c>
      <c r="AD117" s="63">
        <f t="shared" ref="AD117:AO117" si="418">AD106+AD107+AD111+AD115+AD116</f>
        <v>-129.28713553712825</v>
      </c>
      <c r="AE117" s="63">
        <f t="shared" si="418"/>
        <v>-133.59227717645624</v>
      </c>
      <c r="AF117" s="63">
        <f t="shared" si="418"/>
        <v>-163.53249186693282</v>
      </c>
      <c r="AG117" s="63">
        <f t="shared" si="418"/>
        <v>-176.73674487413774</v>
      </c>
      <c r="AH117" s="63">
        <f>AH106+AH107+AH111+AH115+AH116</f>
        <v>-200.46067527706171</v>
      </c>
      <c r="AI117" s="63">
        <f t="shared" si="418"/>
        <v>-213.24145865544153</v>
      </c>
      <c r="AJ117" s="63">
        <f t="shared" si="418"/>
        <v>-238.64209045906244</v>
      </c>
      <c r="AK117" s="63">
        <f t="shared" si="418"/>
        <v>-258.08161964895061</v>
      </c>
      <c r="AL117" s="63">
        <f t="shared" si="418"/>
        <v>-269.80928879620819</v>
      </c>
      <c r="AM117" s="63">
        <f t="shared" si="418"/>
        <v>-297.42180353756834</v>
      </c>
      <c r="AN117" s="63">
        <f t="shared" si="418"/>
        <v>-308.19384124683103</v>
      </c>
      <c r="AO117" s="63">
        <f t="shared" si="418"/>
        <v>-335.60847809861218</v>
      </c>
      <c r="AP117" s="419">
        <f t="shared" si="346"/>
        <v>-2724.6079051743909</v>
      </c>
      <c r="AQ117" s="63">
        <f t="shared" ref="AQ117:BB117" si="419">AQ106+AQ107+AQ111+AQ115+AQ116</f>
        <v>-345.00840394570201</v>
      </c>
      <c r="AR117" s="63">
        <f t="shared" si="419"/>
        <v>-320.08743243661661</v>
      </c>
      <c r="AS117" s="63">
        <f t="shared" si="419"/>
        <v>-361.40909784263414</v>
      </c>
      <c r="AT117" s="63">
        <f t="shared" si="419"/>
        <v>-361.61478912509403</v>
      </c>
      <c r="AU117" s="63">
        <f t="shared" si="419"/>
        <v>-383.7381316516578</v>
      </c>
      <c r="AV117" s="63">
        <f t="shared" si="419"/>
        <v>-383.84114441973901</v>
      </c>
      <c r="AW117" s="63">
        <f t="shared" si="419"/>
        <v>-407.04215861603279</v>
      </c>
      <c r="AX117" s="63">
        <f t="shared" si="419"/>
        <v>-418.94770293860449</v>
      </c>
      <c r="AY117" s="63">
        <f t="shared" si="419"/>
        <v>-418.52116889730388</v>
      </c>
      <c r="AZ117" s="63">
        <f t="shared" si="419"/>
        <v>-443.05022713699213</v>
      </c>
      <c r="BA117" s="63">
        <f t="shared" si="419"/>
        <v>-442.04747686700483</v>
      </c>
      <c r="BB117" s="63">
        <f t="shared" si="419"/>
        <v>-465.69084443980171</v>
      </c>
      <c r="BC117" s="419">
        <f t="shared" si="348"/>
        <v>-4750.9985783171824</v>
      </c>
      <c r="BD117" s="63">
        <f t="shared" ref="BD117:BO117" si="420">BD106+BD107+BD111+BD115+BD116</f>
        <v>-465.10359417261441</v>
      </c>
      <c r="BE117" s="63">
        <f t="shared" si="420"/>
        <v>-418.70287717426498</v>
      </c>
      <c r="BF117" s="63">
        <f t="shared" si="420"/>
        <v>-462.20447684725963</v>
      </c>
      <c r="BG117" s="63">
        <f t="shared" si="420"/>
        <v>-452.43281979226936</v>
      </c>
      <c r="BH117" s="63">
        <f t="shared" si="420"/>
        <v>-470.03434531043246</v>
      </c>
      <c r="BI117" s="63">
        <f t="shared" si="420"/>
        <v>-460.7001650817013</v>
      </c>
      <c r="BJ117" s="63">
        <f t="shared" si="420"/>
        <v>-479.00840739969635</v>
      </c>
      <c r="BK117" s="63">
        <f t="shared" si="420"/>
        <v>-483.80995325374295</v>
      </c>
      <c r="BL117" s="63">
        <f t="shared" si="420"/>
        <v>-474.74014048974527</v>
      </c>
      <c r="BM117" s="63">
        <f t="shared" si="420"/>
        <v>-493.8238404729924</v>
      </c>
      <c r="BN117" s="63">
        <f t="shared" si="420"/>
        <v>-484.69942600052747</v>
      </c>
      <c r="BO117" s="63">
        <f t="shared" si="420"/>
        <v>-502.40230825664941</v>
      </c>
      <c r="BP117" s="419">
        <f t="shared" si="350"/>
        <v>-5647.6623542518964</v>
      </c>
      <c r="CF117" s="298" t="s">
        <v>860</v>
      </c>
      <c r="CG117" s="12" t="s">
        <v>965</v>
      </c>
    </row>
    <row r="118" spans="1:85" s="3" customFormat="1">
      <c r="A118" s="296" t="s">
        <v>528</v>
      </c>
      <c r="B118" s="12" t="s">
        <v>502</v>
      </c>
      <c r="C118" s="5"/>
      <c r="P118" s="397">
        <f t="shared" si="342"/>
        <v>0</v>
      </c>
      <c r="AC118" s="397">
        <f t="shared" si="344"/>
        <v>0</v>
      </c>
      <c r="AP118" s="397">
        <f t="shared" si="346"/>
        <v>0</v>
      </c>
      <c r="BC118" s="397">
        <f t="shared" si="348"/>
        <v>0</v>
      </c>
      <c r="BP118" s="397">
        <f t="shared" si="350"/>
        <v>0</v>
      </c>
      <c r="CF118" s="296" t="s">
        <v>1037</v>
      </c>
      <c r="CG118" s="12" t="s">
        <v>965</v>
      </c>
    </row>
    <row r="119" spans="1:85" s="3" customFormat="1">
      <c r="A119" s="296" t="s">
        <v>529</v>
      </c>
      <c r="B119" s="12" t="s">
        <v>502</v>
      </c>
      <c r="C119" s="5"/>
      <c r="D119" s="3">
        <f>SUM(D120:D126)</f>
        <v>0</v>
      </c>
      <c r="E119" s="3">
        <f t="shared" ref="E119:O119" si="421">SUM(D120:E126)</f>
        <v>0</v>
      </c>
      <c r="F119" s="3">
        <f t="shared" si="421"/>
        <v>0</v>
      </c>
      <c r="G119" s="3">
        <f t="shared" si="421"/>
        <v>0</v>
      </c>
      <c r="H119" s="3">
        <f t="shared" si="421"/>
        <v>0</v>
      </c>
      <c r="I119" s="3">
        <f t="shared" si="421"/>
        <v>0</v>
      </c>
      <c r="J119" s="3">
        <f t="shared" si="421"/>
        <v>0</v>
      </c>
      <c r="K119" s="3">
        <f t="shared" si="421"/>
        <v>0</v>
      </c>
      <c r="L119" s="3">
        <f t="shared" si="421"/>
        <v>0</v>
      </c>
      <c r="M119" s="3">
        <f t="shared" si="421"/>
        <v>0</v>
      </c>
      <c r="N119" s="3">
        <f t="shared" si="421"/>
        <v>0</v>
      </c>
      <c r="O119" s="3">
        <f t="shared" si="421"/>
        <v>0</v>
      </c>
      <c r="P119" s="397">
        <f t="shared" si="342"/>
        <v>0</v>
      </c>
      <c r="Q119" s="3">
        <f>SUM(Q120:Q126)</f>
        <v>0</v>
      </c>
      <c r="R119" s="3">
        <f t="shared" ref="R119:AB119" si="422">SUM(Q120:R126)</f>
        <v>0</v>
      </c>
      <c r="S119" s="3">
        <f t="shared" si="422"/>
        <v>0</v>
      </c>
      <c r="T119" s="3">
        <f t="shared" si="422"/>
        <v>0</v>
      </c>
      <c r="U119" s="3">
        <f t="shared" si="422"/>
        <v>0</v>
      </c>
      <c r="V119" s="3">
        <f t="shared" si="422"/>
        <v>0</v>
      </c>
      <c r="W119" s="3">
        <f t="shared" si="422"/>
        <v>0</v>
      </c>
      <c r="X119" s="3">
        <f t="shared" si="422"/>
        <v>0</v>
      </c>
      <c r="Y119" s="3">
        <f t="shared" si="422"/>
        <v>0</v>
      </c>
      <c r="Z119" s="3">
        <f t="shared" si="422"/>
        <v>0</v>
      </c>
      <c r="AA119" s="3">
        <f t="shared" si="422"/>
        <v>0</v>
      </c>
      <c r="AB119" s="3">
        <f t="shared" si="422"/>
        <v>0</v>
      </c>
      <c r="AC119" s="397">
        <f t="shared" si="344"/>
        <v>0</v>
      </c>
      <c r="AD119" s="3">
        <f>SUM(AD120:AD126)</f>
        <v>0</v>
      </c>
      <c r="AE119" s="3">
        <f t="shared" ref="AE119:AO119" si="423">SUM(AD120:AE126)</f>
        <v>0</v>
      </c>
      <c r="AF119" s="3">
        <f t="shared" si="423"/>
        <v>0</v>
      </c>
      <c r="AG119" s="3">
        <f t="shared" si="423"/>
        <v>0</v>
      </c>
      <c r="AH119" s="3">
        <f t="shared" si="423"/>
        <v>0</v>
      </c>
      <c r="AI119" s="3">
        <f t="shared" si="423"/>
        <v>0</v>
      </c>
      <c r="AJ119" s="3">
        <f t="shared" si="423"/>
        <v>0</v>
      </c>
      <c r="AK119" s="3">
        <f t="shared" si="423"/>
        <v>0</v>
      </c>
      <c r="AL119" s="3">
        <f t="shared" si="423"/>
        <v>0</v>
      </c>
      <c r="AM119" s="3">
        <f t="shared" si="423"/>
        <v>0</v>
      </c>
      <c r="AN119" s="3">
        <f t="shared" si="423"/>
        <v>0</v>
      </c>
      <c r="AO119" s="3">
        <f t="shared" si="423"/>
        <v>0</v>
      </c>
      <c r="AP119" s="397">
        <f t="shared" si="346"/>
        <v>0</v>
      </c>
      <c r="AQ119" s="3">
        <f>SUM(AQ120:AQ126)</f>
        <v>0</v>
      </c>
      <c r="AR119" s="3">
        <f t="shared" ref="AR119:BB119" si="424">SUM(AQ120:AR126)</f>
        <v>0</v>
      </c>
      <c r="AS119" s="3">
        <f t="shared" si="424"/>
        <v>0</v>
      </c>
      <c r="AT119" s="3">
        <f t="shared" si="424"/>
        <v>0</v>
      </c>
      <c r="AU119" s="3">
        <f t="shared" si="424"/>
        <v>0</v>
      </c>
      <c r="AV119" s="3">
        <f t="shared" si="424"/>
        <v>0</v>
      </c>
      <c r="AW119" s="3">
        <f t="shared" si="424"/>
        <v>0</v>
      </c>
      <c r="AX119" s="3">
        <f t="shared" si="424"/>
        <v>0</v>
      </c>
      <c r="AY119" s="3">
        <f t="shared" si="424"/>
        <v>0</v>
      </c>
      <c r="AZ119" s="3">
        <f t="shared" si="424"/>
        <v>0</v>
      </c>
      <c r="BA119" s="3">
        <f t="shared" si="424"/>
        <v>0</v>
      </c>
      <c r="BB119" s="3">
        <f t="shared" si="424"/>
        <v>0</v>
      </c>
      <c r="BC119" s="397">
        <f t="shared" si="348"/>
        <v>0</v>
      </c>
      <c r="BD119" s="3">
        <f>SUM(BD120:BD126)</f>
        <v>0</v>
      </c>
      <c r="BE119" s="3">
        <f t="shared" ref="BE119:BO119" si="425">SUM(BD120:BE126)</f>
        <v>0</v>
      </c>
      <c r="BF119" s="3">
        <f t="shared" si="425"/>
        <v>0</v>
      </c>
      <c r="BG119" s="3">
        <f t="shared" si="425"/>
        <v>0</v>
      </c>
      <c r="BH119" s="3">
        <f t="shared" si="425"/>
        <v>0</v>
      </c>
      <c r="BI119" s="3">
        <f t="shared" si="425"/>
        <v>0</v>
      </c>
      <c r="BJ119" s="3">
        <f t="shared" si="425"/>
        <v>0</v>
      </c>
      <c r="BK119" s="3">
        <f t="shared" si="425"/>
        <v>0</v>
      </c>
      <c r="BL119" s="3">
        <f t="shared" si="425"/>
        <v>0</v>
      </c>
      <c r="BM119" s="3">
        <f t="shared" si="425"/>
        <v>0</v>
      </c>
      <c r="BN119" s="3">
        <f t="shared" si="425"/>
        <v>0</v>
      </c>
      <c r="BO119" s="3">
        <f t="shared" si="425"/>
        <v>0</v>
      </c>
      <c r="BP119" s="397">
        <f t="shared" si="350"/>
        <v>0</v>
      </c>
      <c r="CF119" s="296" t="s">
        <v>1038</v>
      </c>
      <c r="CG119" s="12" t="s">
        <v>965</v>
      </c>
    </row>
    <row r="120" spans="1:85" s="5" customFormat="1" outlineLevel="1">
      <c r="A120" s="297" t="s">
        <v>530</v>
      </c>
      <c r="B120" s="12" t="s">
        <v>502</v>
      </c>
      <c r="P120" s="383">
        <f t="shared" si="342"/>
        <v>0</v>
      </c>
      <c r="AC120" s="383">
        <f t="shared" si="344"/>
        <v>0</v>
      </c>
      <c r="AP120" s="383">
        <f t="shared" si="346"/>
        <v>0</v>
      </c>
      <c r="BC120" s="383">
        <f t="shared" si="348"/>
        <v>0</v>
      </c>
      <c r="BP120" s="383">
        <f t="shared" si="350"/>
        <v>0</v>
      </c>
      <c r="CF120" s="297" t="s">
        <v>989</v>
      </c>
      <c r="CG120" s="12" t="s">
        <v>965</v>
      </c>
    </row>
    <row r="121" spans="1:85" s="5" customFormat="1" outlineLevel="1">
      <c r="A121" s="297" t="s">
        <v>531</v>
      </c>
      <c r="B121" s="12" t="s">
        <v>502</v>
      </c>
      <c r="P121" s="383"/>
      <c r="AC121" s="383"/>
      <c r="AP121" s="383"/>
      <c r="BC121" s="383"/>
      <c r="BP121" s="383"/>
      <c r="CF121" s="297" t="s">
        <v>990</v>
      </c>
      <c r="CG121" s="12" t="s">
        <v>965</v>
      </c>
    </row>
    <row r="122" spans="1:85" s="5" customFormat="1" outlineLevel="1">
      <c r="A122" s="297" t="s">
        <v>532</v>
      </c>
      <c r="B122" s="12" t="s">
        <v>502</v>
      </c>
      <c r="P122" s="383"/>
      <c r="AC122" s="383"/>
      <c r="AP122" s="383"/>
      <c r="BC122" s="383"/>
      <c r="BP122" s="383"/>
      <c r="CF122" s="297" t="s">
        <v>992</v>
      </c>
      <c r="CG122" s="12" t="s">
        <v>965</v>
      </c>
    </row>
    <row r="123" spans="1:85" s="5" customFormat="1" outlineLevel="1">
      <c r="A123" s="297" t="s">
        <v>533</v>
      </c>
      <c r="B123" s="12" t="s">
        <v>502</v>
      </c>
      <c r="P123" s="383"/>
      <c r="AC123" s="383"/>
      <c r="AP123" s="383"/>
      <c r="BC123" s="383"/>
      <c r="BP123" s="383"/>
      <c r="CF123" s="297" t="s">
        <v>991</v>
      </c>
      <c r="CG123" s="12" t="s">
        <v>965</v>
      </c>
    </row>
    <row r="124" spans="1:85" s="5" customFormat="1" outlineLevel="1">
      <c r="A124" s="297" t="s">
        <v>534</v>
      </c>
      <c r="B124" s="12" t="s">
        <v>502</v>
      </c>
      <c r="P124" s="383">
        <f t="shared" ref="P124:P132" si="426">SUM(D124:O124)</f>
        <v>0</v>
      </c>
      <c r="AC124" s="383">
        <f t="shared" ref="AC124:AC132" si="427">SUM(Q124:AB124)</f>
        <v>0</v>
      </c>
      <c r="AP124" s="383">
        <f t="shared" ref="AP124:AP132" si="428">SUM(AD124:AO124)</f>
        <v>0</v>
      </c>
      <c r="BC124" s="383">
        <f t="shared" ref="BC124:BC132" si="429">SUM(AQ124:BB124)</f>
        <v>0</v>
      </c>
      <c r="BP124" s="383">
        <f t="shared" ref="BP124:BP132" si="430">SUM(BD124:BO124)</f>
        <v>0</v>
      </c>
      <c r="CF124" s="297" t="s">
        <v>997</v>
      </c>
      <c r="CG124" s="12" t="s">
        <v>965</v>
      </c>
    </row>
    <row r="125" spans="1:85" s="5" customFormat="1" outlineLevel="1">
      <c r="A125" s="297" t="s">
        <v>535</v>
      </c>
      <c r="B125" s="12" t="s">
        <v>502</v>
      </c>
      <c r="P125" s="383">
        <f t="shared" si="426"/>
        <v>0</v>
      </c>
      <c r="AC125" s="383">
        <f t="shared" si="427"/>
        <v>0</v>
      </c>
      <c r="AP125" s="383">
        <f t="shared" si="428"/>
        <v>0</v>
      </c>
      <c r="BC125" s="383">
        <f t="shared" si="429"/>
        <v>0</v>
      </c>
      <c r="BP125" s="383">
        <f t="shared" si="430"/>
        <v>0</v>
      </c>
      <c r="CF125" s="297" t="s">
        <v>998</v>
      </c>
      <c r="CG125" s="12" t="s">
        <v>965</v>
      </c>
    </row>
    <row r="126" spans="1:85" s="5" customFormat="1" outlineLevel="1">
      <c r="A126" s="297" t="s">
        <v>536</v>
      </c>
      <c r="B126" s="12" t="s">
        <v>502</v>
      </c>
      <c r="P126" s="383">
        <f t="shared" si="426"/>
        <v>0</v>
      </c>
      <c r="AC126" s="383">
        <f t="shared" si="427"/>
        <v>0</v>
      </c>
      <c r="AP126" s="383">
        <f t="shared" si="428"/>
        <v>0</v>
      </c>
      <c r="BC126" s="383">
        <f t="shared" si="429"/>
        <v>0</v>
      </c>
      <c r="BP126" s="383">
        <f t="shared" si="430"/>
        <v>0</v>
      </c>
      <c r="CF126" s="297" t="s">
        <v>996</v>
      </c>
      <c r="CG126" s="12" t="s">
        <v>965</v>
      </c>
    </row>
    <row r="127" spans="1:85" s="3" customFormat="1">
      <c r="A127" s="296" t="s">
        <v>537</v>
      </c>
      <c r="B127" s="12" t="s">
        <v>502</v>
      </c>
      <c r="C127" s="5"/>
      <c r="P127" s="397">
        <f t="shared" si="426"/>
        <v>0</v>
      </c>
      <c r="AC127" s="397">
        <f t="shared" si="427"/>
        <v>0</v>
      </c>
      <c r="AP127" s="397">
        <f t="shared" si="428"/>
        <v>0</v>
      </c>
      <c r="BC127" s="397">
        <f t="shared" si="429"/>
        <v>0</v>
      </c>
      <c r="BP127" s="397">
        <f t="shared" si="430"/>
        <v>0</v>
      </c>
      <c r="CF127" s="296" t="s">
        <v>1040</v>
      </c>
      <c r="CG127" s="12" t="s">
        <v>965</v>
      </c>
    </row>
    <row r="128" spans="1:85" s="3" customFormat="1">
      <c r="A128" s="296" t="s">
        <v>538</v>
      </c>
      <c r="B128" s="12" t="s">
        <v>502</v>
      </c>
      <c r="C128" s="5"/>
      <c r="P128" s="397">
        <f t="shared" si="426"/>
        <v>0</v>
      </c>
      <c r="AC128" s="397">
        <f t="shared" si="427"/>
        <v>0</v>
      </c>
      <c r="AP128" s="397">
        <f t="shared" si="428"/>
        <v>0</v>
      </c>
      <c r="BC128" s="397">
        <f t="shared" si="429"/>
        <v>0</v>
      </c>
      <c r="BP128" s="397">
        <f t="shared" si="430"/>
        <v>0</v>
      </c>
      <c r="CF128" s="296" t="s">
        <v>1039</v>
      </c>
      <c r="CG128" s="12" t="s">
        <v>965</v>
      </c>
    </row>
    <row r="129" spans="1:85" s="63" customFormat="1">
      <c r="A129" s="298" t="s">
        <v>475</v>
      </c>
      <c r="B129" s="12" t="s">
        <v>502</v>
      </c>
      <c r="C129" s="299"/>
      <c r="D129" s="63">
        <f t="shared" ref="D129:O129" si="431">D118+D119+D127+D128</f>
        <v>0</v>
      </c>
      <c r="E129" s="63">
        <f t="shared" si="431"/>
        <v>0</v>
      </c>
      <c r="F129" s="63">
        <f t="shared" si="431"/>
        <v>0</v>
      </c>
      <c r="G129" s="63">
        <f t="shared" si="431"/>
        <v>0</v>
      </c>
      <c r="H129" s="63">
        <f t="shared" si="431"/>
        <v>0</v>
      </c>
      <c r="I129" s="63">
        <f t="shared" si="431"/>
        <v>0</v>
      </c>
      <c r="J129" s="63">
        <f t="shared" si="431"/>
        <v>0</v>
      </c>
      <c r="K129" s="63">
        <f t="shared" si="431"/>
        <v>0</v>
      </c>
      <c r="L129" s="63">
        <f t="shared" si="431"/>
        <v>0</v>
      </c>
      <c r="M129" s="63">
        <f t="shared" si="431"/>
        <v>0</v>
      </c>
      <c r="N129" s="63">
        <f t="shared" si="431"/>
        <v>0</v>
      </c>
      <c r="O129" s="63">
        <f t="shared" si="431"/>
        <v>0</v>
      </c>
      <c r="P129" s="419">
        <f t="shared" si="426"/>
        <v>0</v>
      </c>
      <c r="Q129" s="63">
        <f t="shared" ref="Q129:AB129" si="432">Q118+Q119+Q127+Q128</f>
        <v>0</v>
      </c>
      <c r="R129" s="63">
        <f t="shared" si="432"/>
        <v>0</v>
      </c>
      <c r="S129" s="63">
        <f t="shared" si="432"/>
        <v>0</v>
      </c>
      <c r="T129" s="63">
        <f t="shared" si="432"/>
        <v>0</v>
      </c>
      <c r="U129" s="63">
        <f t="shared" si="432"/>
        <v>0</v>
      </c>
      <c r="V129" s="63">
        <f t="shared" si="432"/>
        <v>0</v>
      </c>
      <c r="W129" s="63">
        <f t="shared" si="432"/>
        <v>0</v>
      </c>
      <c r="X129" s="63">
        <f t="shared" si="432"/>
        <v>0</v>
      </c>
      <c r="Y129" s="63">
        <f t="shared" si="432"/>
        <v>0</v>
      </c>
      <c r="Z129" s="63">
        <f t="shared" si="432"/>
        <v>0</v>
      </c>
      <c r="AA129" s="63">
        <f t="shared" si="432"/>
        <v>0</v>
      </c>
      <c r="AB129" s="63">
        <f t="shared" si="432"/>
        <v>0</v>
      </c>
      <c r="AC129" s="419">
        <f t="shared" si="427"/>
        <v>0</v>
      </c>
      <c r="AD129" s="63">
        <f t="shared" ref="AD129:AO129" si="433">AD118+AD119+AD127+AD128</f>
        <v>0</v>
      </c>
      <c r="AE129" s="63">
        <f t="shared" si="433"/>
        <v>0</v>
      </c>
      <c r="AF129" s="63">
        <f t="shared" si="433"/>
        <v>0</v>
      </c>
      <c r="AG129" s="63">
        <f t="shared" si="433"/>
        <v>0</v>
      </c>
      <c r="AH129" s="63">
        <f t="shared" si="433"/>
        <v>0</v>
      </c>
      <c r="AI129" s="63">
        <f t="shared" si="433"/>
        <v>0</v>
      </c>
      <c r="AJ129" s="63">
        <f t="shared" si="433"/>
        <v>0</v>
      </c>
      <c r="AK129" s="63">
        <f t="shared" si="433"/>
        <v>0</v>
      </c>
      <c r="AL129" s="63">
        <f t="shared" si="433"/>
        <v>0</v>
      </c>
      <c r="AM129" s="63">
        <f t="shared" si="433"/>
        <v>0</v>
      </c>
      <c r="AN129" s="63">
        <f t="shared" si="433"/>
        <v>0</v>
      </c>
      <c r="AO129" s="63">
        <f t="shared" si="433"/>
        <v>0</v>
      </c>
      <c r="AP129" s="419">
        <f t="shared" si="428"/>
        <v>0</v>
      </c>
      <c r="AQ129" s="63">
        <f t="shared" ref="AQ129:BB129" si="434">AQ118+AQ119+AQ127+AQ128</f>
        <v>0</v>
      </c>
      <c r="AR129" s="63">
        <f t="shared" si="434"/>
        <v>0</v>
      </c>
      <c r="AS129" s="63">
        <f t="shared" si="434"/>
        <v>0</v>
      </c>
      <c r="AT129" s="63">
        <f t="shared" si="434"/>
        <v>0</v>
      </c>
      <c r="AU129" s="63">
        <f t="shared" si="434"/>
        <v>0</v>
      </c>
      <c r="AV129" s="63">
        <f t="shared" si="434"/>
        <v>0</v>
      </c>
      <c r="AW129" s="63">
        <f t="shared" si="434"/>
        <v>0</v>
      </c>
      <c r="AX129" s="63">
        <f t="shared" si="434"/>
        <v>0</v>
      </c>
      <c r="AY129" s="63">
        <f t="shared" si="434"/>
        <v>0</v>
      </c>
      <c r="AZ129" s="63">
        <f t="shared" si="434"/>
        <v>0</v>
      </c>
      <c r="BA129" s="63">
        <f t="shared" si="434"/>
        <v>0</v>
      </c>
      <c r="BB129" s="63">
        <f t="shared" si="434"/>
        <v>0</v>
      </c>
      <c r="BC129" s="419">
        <f t="shared" si="429"/>
        <v>0</v>
      </c>
      <c r="BD129" s="63">
        <f t="shared" ref="BD129:BO129" si="435">BD118+BD119+BD127+BD128</f>
        <v>0</v>
      </c>
      <c r="BE129" s="63">
        <f t="shared" si="435"/>
        <v>0</v>
      </c>
      <c r="BF129" s="63">
        <f t="shared" si="435"/>
        <v>0</v>
      </c>
      <c r="BG129" s="63">
        <f t="shared" si="435"/>
        <v>0</v>
      </c>
      <c r="BH129" s="63">
        <f t="shared" si="435"/>
        <v>0</v>
      </c>
      <c r="BI129" s="63">
        <f t="shared" si="435"/>
        <v>0</v>
      </c>
      <c r="BJ129" s="63">
        <f t="shared" si="435"/>
        <v>0</v>
      </c>
      <c r="BK129" s="63">
        <f t="shared" si="435"/>
        <v>0</v>
      </c>
      <c r="BL129" s="63">
        <f t="shared" si="435"/>
        <v>0</v>
      </c>
      <c r="BM129" s="63">
        <f t="shared" si="435"/>
        <v>0</v>
      </c>
      <c r="BN129" s="63">
        <f t="shared" si="435"/>
        <v>0</v>
      </c>
      <c r="BO129" s="63">
        <f t="shared" si="435"/>
        <v>0</v>
      </c>
      <c r="BP129" s="419">
        <f t="shared" si="430"/>
        <v>0</v>
      </c>
      <c r="CF129" s="298" t="s">
        <v>859</v>
      </c>
      <c r="CG129" s="12" t="s">
        <v>965</v>
      </c>
    </row>
    <row r="130" spans="1:85" s="63" customFormat="1" ht="15.6">
      <c r="A130" s="298" t="s">
        <v>539</v>
      </c>
      <c r="B130" s="12" t="s">
        <v>502</v>
      </c>
      <c r="C130" s="299"/>
      <c r="D130" s="63">
        <f t="shared" ref="D130:O130" si="436">D117+D129</f>
        <v>0</v>
      </c>
      <c r="E130" s="63">
        <f t="shared" si="436"/>
        <v>0</v>
      </c>
      <c r="F130" s="63">
        <f t="shared" si="436"/>
        <v>0</v>
      </c>
      <c r="G130" s="63">
        <f t="shared" si="436"/>
        <v>0</v>
      </c>
      <c r="H130" s="63">
        <f t="shared" si="436"/>
        <v>0</v>
      </c>
      <c r="I130" s="63">
        <f t="shared" si="436"/>
        <v>0</v>
      </c>
      <c r="J130" s="63">
        <f t="shared" si="436"/>
        <v>0</v>
      </c>
      <c r="K130" s="63">
        <f t="shared" si="436"/>
        <v>0</v>
      </c>
      <c r="L130" s="63">
        <f t="shared" si="436"/>
        <v>0</v>
      </c>
      <c r="M130" s="63">
        <f t="shared" si="436"/>
        <v>0</v>
      </c>
      <c r="N130" s="63">
        <f t="shared" si="436"/>
        <v>0</v>
      </c>
      <c r="O130" s="63">
        <f t="shared" si="436"/>
        <v>0</v>
      </c>
      <c r="P130" s="419">
        <f t="shared" si="426"/>
        <v>0</v>
      </c>
      <c r="Q130" s="63">
        <f t="shared" ref="Q130:AB130" si="437">Q117+Q129</f>
        <v>0</v>
      </c>
      <c r="R130" s="63">
        <f t="shared" si="437"/>
        <v>0</v>
      </c>
      <c r="S130" s="63">
        <f t="shared" si="437"/>
        <v>0</v>
      </c>
      <c r="T130" s="63">
        <f t="shared" si="437"/>
        <v>0</v>
      </c>
      <c r="U130" s="63">
        <f t="shared" si="437"/>
        <v>0</v>
      </c>
      <c r="V130" s="63">
        <f t="shared" si="437"/>
        <v>0</v>
      </c>
      <c r="W130" s="63">
        <f t="shared" si="437"/>
        <v>-20.378052154202461</v>
      </c>
      <c r="X130" s="63">
        <f t="shared" si="437"/>
        <v>-38.25805295968199</v>
      </c>
      <c r="Y130" s="63">
        <f t="shared" si="437"/>
        <v>-55.123447813125573</v>
      </c>
      <c r="Z130" s="63">
        <f t="shared" si="437"/>
        <v>-74.948153258971672</v>
      </c>
      <c r="AA130" s="63">
        <f t="shared" si="437"/>
        <v>-91.246866321513721</v>
      </c>
      <c r="AB130" s="63">
        <f t="shared" si="437"/>
        <v>-111.66133737380636</v>
      </c>
      <c r="AC130" s="419">
        <f t="shared" si="427"/>
        <v>-391.61590988130177</v>
      </c>
      <c r="AD130" s="63">
        <f t="shared" ref="AD130:AO130" si="438">AD117+AD129</f>
        <v>-129.28713553712825</v>
      </c>
      <c r="AE130" s="63">
        <f t="shared" si="438"/>
        <v>-133.59227717645624</v>
      </c>
      <c r="AF130" s="63">
        <f t="shared" si="438"/>
        <v>-163.53249186693282</v>
      </c>
      <c r="AG130" s="63">
        <f t="shared" si="438"/>
        <v>-176.73674487413774</v>
      </c>
      <c r="AH130" s="63">
        <f t="shared" si="438"/>
        <v>-200.46067527706171</v>
      </c>
      <c r="AI130" s="63">
        <f t="shared" si="438"/>
        <v>-213.24145865544153</v>
      </c>
      <c r="AJ130" s="63">
        <f t="shared" si="438"/>
        <v>-238.64209045906244</v>
      </c>
      <c r="AK130" s="63">
        <f t="shared" si="438"/>
        <v>-258.08161964895061</v>
      </c>
      <c r="AL130" s="63">
        <f t="shared" si="438"/>
        <v>-269.80928879620819</v>
      </c>
      <c r="AM130" s="63">
        <f t="shared" si="438"/>
        <v>-297.42180353756834</v>
      </c>
      <c r="AN130" s="63">
        <f t="shared" si="438"/>
        <v>-308.19384124683103</v>
      </c>
      <c r="AO130" s="63">
        <f t="shared" si="438"/>
        <v>-335.60847809861218</v>
      </c>
      <c r="AP130" s="419">
        <f t="shared" si="428"/>
        <v>-2724.6079051743909</v>
      </c>
      <c r="AQ130" s="63">
        <f t="shared" ref="AQ130:BB130" si="439">AQ117+AQ129</f>
        <v>-345.00840394570201</v>
      </c>
      <c r="AR130" s="63">
        <f t="shared" si="439"/>
        <v>-320.08743243661661</v>
      </c>
      <c r="AS130" s="63">
        <f t="shared" si="439"/>
        <v>-361.40909784263414</v>
      </c>
      <c r="AT130" s="63">
        <f t="shared" si="439"/>
        <v>-361.61478912509403</v>
      </c>
      <c r="AU130" s="63">
        <f t="shared" si="439"/>
        <v>-383.7381316516578</v>
      </c>
      <c r="AV130" s="63">
        <f t="shared" si="439"/>
        <v>-383.84114441973901</v>
      </c>
      <c r="AW130" s="63">
        <f t="shared" si="439"/>
        <v>-407.04215861603279</v>
      </c>
      <c r="AX130" s="63">
        <f t="shared" si="439"/>
        <v>-418.94770293860449</v>
      </c>
      <c r="AY130" s="63">
        <f t="shared" si="439"/>
        <v>-418.52116889730388</v>
      </c>
      <c r="AZ130" s="63">
        <f t="shared" si="439"/>
        <v>-443.05022713699213</v>
      </c>
      <c r="BA130" s="63">
        <f t="shared" si="439"/>
        <v>-442.04747686700483</v>
      </c>
      <c r="BB130" s="63">
        <f t="shared" si="439"/>
        <v>-465.69084443980171</v>
      </c>
      <c r="BC130" s="419">
        <f t="shared" si="429"/>
        <v>-4750.9985783171824</v>
      </c>
      <c r="BD130" s="63">
        <f t="shared" ref="BD130:BO130" si="440">BD117+BD129</f>
        <v>-465.10359417261441</v>
      </c>
      <c r="BE130" s="63">
        <f t="shared" si="440"/>
        <v>-418.70287717426498</v>
      </c>
      <c r="BF130" s="63">
        <f t="shared" si="440"/>
        <v>-462.20447684725963</v>
      </c>
      <c r="BG130" s="63">
        <f t="shared" si="440"/>
        <v>-452.43281979226936</v>
      </c>
      <c r="BH130" s="63">
        <f t="shared" si="440"/>
        <v>-470.03434531043246</v>
      </c>
      <c r="BI130" s="63">
        <f t="shared" si="440"/>
        <v>-460.7001650817013</v>
      </c>
      <c r="BJ130" s="63">
        <f t="shared" si="440"/>
        <v>-479.00840739969635</v>
      </c>
      <c r="BK130" s="63">
        <f t="shared" si="440"/>
        <v>-483.80995325374295</v>
      </c>
      <c r="BL130" s="63">
        <f t="shared" si="440"/>
        <v>-474.74014048974527</v>
      </c>
      <c r="BM130" s="63">
        <f t="shared" si="440"/>
        <v>-493.8238404729924</v>
      </c>
      <c r="BN130" s="63">
        <f t="shared" si="440"/>
        <v>-484.69942600052747</v>
      </c>
      <c r="BO130" s="63">
        <f t="shared" si="440"/>
        <v>-502.40230825664941</v>
      </c>
      <c r="BP130" s="419">
        <f t="shared" si="430"/>
        <v>-5647.6623542518964</v>
      </c>
      <c r="CF130" s="301" t="s">
        <v>858</v>
      </c>
      <c r="CG130" s="380" t="s">
        <v>965</v>
      </c>
    </row>
    <row r="131" spans="1:85" s="3" customFormat="1">
      <c r="A131" s="296" t="s">
        <v>540</v>
      </c>
      <c r="B131" s="12" t="s">
        <v>502</v>
      </c>
      <c r="C131" s="40"/>
      <c r="D131" s="3">
        <f>IF(D130&lt;0,0,D130*$C$131)</f>
        <v>0</v>
      </c>
      <c r="E131" s="3">
        <f>IF(SUM(D130:E130)&lt;0,0,SUM(D130:E130)*$C$131)-D131</f>
        <v>0</v>
      </c>
      <c r="F131" s="3">
        <f>IF(SUM(D130:F130)&lt;0,0,SUM(D130:F130)*$C$131)-SUM(D131:E131)</f>
        <v>0</v>
      </c>
      <c r="G131" s="3">
        <f>IF(SUM(D130:G130)&lt;0,0,SUM(D130:G130)*$C$131)-SUM(D131:F131)</f>
        <v>0</v>
      </c>
      <c r="H131" s="3">
        <f>IF(SUM(D130:H130)&lt;0,0,SUM(D130:H130)*$C$131)-SUM(D131:G131)</f>
        <v>0</v>
      </c>
      <c r="I131" s="3">
        <f>IF(SUM(D130:I130)&lt;0,0,SUM(D130:I130)*$C$131)-SUM(D131:H131)</f>
        <v>0</v>
      </c>
      <c r="J131" s="3">
        <f>IF(SUM(D130:J130)&lt;0,0,SUM(D130:J130)*$C$131)-SUM(D131:I131)</f>
        <v>0</v>
      </c>
      <c r="K131" s="3">
        <f>IF(SUM(D130:K130)&lt;0,0,SUM(D130:K130)*$C$131)-SUM(D131:J131)</f>
        <v>0</v>
      </c>
      <c r="L131" s="3">
        <f>IF(SUM(D130:L130)&lt;0,0,SUM(D130:L130)*$C$131)-SUM(D131:K131)</f>
        <v>0</v>
      </c>
      <c r="M131" s="3">
        <f>IF(SUM(D130:M130)&lt;0,0,SUM(D130:M130)*$C$131)-SUM(D131:L131)</f>
        <v>0</v>
      </c>
      <c r="N131" s="3">
        <f>IF(SUM(D130:N130)&lt;0,0,SUM(D130:N130)*$C$131)-SUM(D131:M131)</f>
        <v>0</v>
      </c>
      <c r="O131" s="3">
        <f>IF(SUM(D130:O130)&lt;0,0,SUM(D130:O130)*$C$131)-SUM(D131:N131)</f>
        <v>0</v>
      </c>
      <c r="P131" s="397">
        <f t="shared" si="426"/>
        <v>0</v>
      </c>
      <c r="Q131" s="3">
        <f>IF(Q130&lt;0,0,Q130*$C$131)</f>
        <v>0</v>
      </c>
      <c r="R131" s="3">
        <f>IF(SUM(Q130:R130)&lt;0,0,SUM(Q130:R130)*$C$131)-Q131</f>
        <v>0</v>
      </c>
      <c r="S131" s="3">
        <f>IF(SUM(Q130:S130)&lt;0,0,SUM(Q130:S130)*$C$131)-SUM(Q131:R131)</f>
        <v>0</v>
      </c>
      <c r="T131" s="3">
        <f>IF(SUM(Q130:T130)&lt;0,0,SUM(Q130:T130)*$C$131)-SUM(Q131:S131)</f>
        <v>0</v>
      </c>
      <c r="U131" s="3">
        <f>IF(SUM(Q130:U130)&lt;0,0,SUM(Q130:U130)*$C$131)-SUM(Q131:T131)</f>
        <v>0</v>
      </c>
      <c r="V131" s="3">
        <f>IF(SUM(Q130:V130)&lt;0,0,SUM(Q130:V130)*$C$131)-SUM(Q131:U131)</f>
        <v>0</v>
      </c>
      <c r="W131" s="3">
        <f>IF(SUM(Q130:W130)&lt;0,0,SUM(Q130:W130)*$C$131)-SUM(Q131:V131)</f>
        <v>0</v>
      </c>
      <c r="X131" s="3">
        <f>IF(SUM(Q130:X130)&lt;0,0,SUM(Q130:X130)*$C$131)-SUM(Q131:W131)</f>
        <v>0</v>
      </c>
      <c r="Y131" s="3">
        <f>IF(SUM(Q130:Y130)&lt;0,0,SUM(Q130:Y130)*$C$131)-SUM(Q131:X131)</f>
        <v>0</v>
      </c>
      <c r="Z131" s="3">
        <f>IF(SUM(Q130:Z130)&lt;0,0,SUM(Q130:Z130)*$C$131)-SUM(Q131:Y131)</f>
        <v>0</v>
      </c>
      <c r="AA131" s="3">
        <f>IF(SUM(Q130:AA130)&lt;0,0,SUM(Q130:AA130)*$C$131)-SUM(Q131:Z131)</f>
        <v>0</v>
      </c>
      <c r="AB131" s="3">
        <f>IF(SUM(Q130:AB130)&lt;0,0,SUM(Q130:AB130)*$C$131)-SUM(Q131:AA131)</f>
        <v>0</v>
      </c>
      <c r="AC131" s="397">
        <f t="shared" si="427"/>
        <v>0</v>
      </c>
      <c r="AD131" s="3">
        <f>IF(AD130&lt;0,0,AD130*$C$131)</f>
        <v>0</v>
      </c>
      <c r="AE131" s="3">
        <f>IF(SUM(AD130:AE130)&lt;0,0,SUM(AD130:AE130)*$C$131)-AD131</f>
        <v>0</v>
      </c>
      <c r="AF131" s="3">
        <f>IF(SUM(AD130:AF130)&lt;0,0,SUM(AD130:AF130)*$C$131)-SUM(AD131:AE131)</f>
        <v>0</v>
      </c>
      <c r="AG131" s="3">
        <f>IF(SUM(AD130:AG130)&lt;0,0,SUM(AD130:AG130)*$C$131)-SUM(AD131:AF131)</f>
        <v>0</v>
      </c>
      <c r="AH131" s="3">
        <f>IF(SUM(AD130:AH130)&lt;0,0,SUM(AD130:AH130)*$C$131)-SUM(AD131:AG131)</f>
        <v>0</v>
      </c>
      <c r="AI131" s="3">
        <f>IF(SUM(AD130:AI130)&lt;0,0,SUM(AD130:AI130)*$C$131)-SUM(AD131:AH131)</f>
        <v>0</v>
      </c>
      <c r="AJ131" s="3">
        <f>IF(SUM(AD130:AJ130)&lt;0,0,SUM(AD130:AJ130)*$C$131)-SUM(AD131:AI131)</f>
        <v>0</v>
      </c>
      <c r="AK131" s="3">
        <f>IF(SUM(AD130:AK130)&lt;0,0,SUM(AD130:AK130)*$C$131)-SUM(AD131:AJ131)</f>
        <v>0</v>
      </c>
      <c r="AL131" s="3">
        <f>IF(SUM(AD130:AL130)&lt;0,0,SUM(AD130:AL130)*$C$131)-SUM(AD131:AK131)</f>
        <v>0</v>
      </c>
      <c r="AM131" s="3">
        <f>IF(SUM(AD130:AM130)&lt;0,0,SUM(AD130:AM130)*$C$131)-SUM(AD131:AL131)</f>
        <v>0</v>
      </c>
      <c r="AN131" s="3">
        <f>IF(SUM(AD130:AN130)&lt;0,0,SUM(AD130:AN130)*$C$131)-SUM(AD131:AM131)</f>
        <v>0</v>
      </c>
      <c r="AO131" s="3">
        <f>IF(SUM(AD130:AO130)&lt;0,0,SUM(AD130:AO130)*$C$131)-SUM(AD131:AN131)</f>
        <v>0</v>
      </c>
      <c r="AP131" s="397">
        <f t="shared" si="428"/>
        <v>0</v>
      </c>
      <c r="AQ131" s="3">
        <f>IF(AQ130&lt;0,0,AQ130*$C$131)</f>
        <v>0</v>
      </c>
      <c r="AR131" s="3">
        <f>IF(SUM(AQ130:AR130)&lt;0,0,SUM(AQ130:AR130)*$C$131)-AQ131</f>
        <v>0</v>
      </c>
      <c r="AS131" s="3">
        <f>IF(SUM(AQ130:AS130)&lt;0,0,SUM(AQ130:AS130)*$C$131)-SUM(AQ131:AR131)</f>
        <v>0</v>
      </c>
      <c r="AT131" s="3">
        <f>IF(SUM(AQ130:AT130)&lt;0,0,SUM(AQ130:AT130)*$C$131)-SUM(AQ131:AS131)</f>
        <v>0</v>
      </c>
      <c r="AU131" s="3">
        <f>IF(SUM(AQ130:AU130)&lt;0,0,SUM(AQ130:AU130)*$C$131)-SUM(AQ131:AT131)</f>
        <v>0</v>
      </c>
      <c r="AV131" s="3">
        <f>IF(SUM(AQ130:AV130)&lt;0,0,SUM(AQ130:AV130)*$C$131)-SUM(AQ131:AU131)</f>
        <v>0</v>
      </c>
      <c r="AW131" s="3">
        <f>IF(SUM(AQ130:AW130)&lt;0,0,SUM(AQ130:AW130)*$C$131)-SUM(AQ131:AV131)</f>
        <v>0</v>
      </c>
      <c r="AX131" s="3">
        <f>IF(SUM(AQ130:AX130)&lt;0,0,SUM(AQ130:AX130)*$C$131)-SUM(AQ131:AW131)</f>
        <v>0</v>
      </c>
      <c r="AY131" s="3">
        <f>IF(SUM(AQ130:AY130)&lt;0,0,SUM(AQ130:AY130)*$C$131)-SUM(AQ131:AX131)</f>
        <v>0</v>
      </c>
      <c r="AZ131" s="3">
        <f>IF(SUM(AQ130:AZ130)&lt;0,0,SUM(AQ130:AZ130)*$C$131)-SUM(AQ131:AY131)</f>
        <v>0</v>
      </c>
      <c r="BA131" s="3">
        <f>IF(SUM(AQ130:BA130)&lt;0,0,SUM(AQ130:BA130)*$C$131)-SUM(AQ131:AZ131)</f>
        <v>0</v>
      </c>
      <c r="BB131" s="3">
        <f>IF(SUM(AQ130:BB130)&lt;0,0,SUM(AQ130:BB130)*$C$131)-SUM(AQ131:BA131)</f>
        <v>0</v>
      </c>
      <c r="BC131" s="397">
        <f t="shared" si="429"/>
        <v>0</v>
      </c>
      <c r="BD131" s="3">
        <f>IF(BD130&lt;0,0,BD130*$C$131)</f>
        <v>0</v>
      </c>
      <c r="BE131" s="3">
        <f>IF(SUM(BD130:BE130)&lt;0,0,SUM(BD130:BE130)*$C$131)-BD131</f>
        <v>0</v>
      </c>
      <c r="BF131" s="3">
        <f>IF(SUM(BD130:BF130)&lt;0,0,SUM(BD130:BF130)*$C$131)-SUM(BD131:BE131)</f>
        <v>0</v>
      </c>
      <c r="BG131" s="3">
        <f>IF(SUM(BD130:BG130)&lt;0,0,SUM(BD130:BG130)*$C$131)-SUM(BD131:BF131)</f>
        <v>0</v>
      </c>
      <c r="BH131" s="3">
        <f>IF(SUM(BD130:BH130)&lt;0,0,SUM(BD130:BH130)*$C$131)-SUM(BD131:BG131)</f>
        <v>0</v>
      </c>
      <c r="BI131" s="3">
        <f>IF(SUM(BD130:BI130)&lt;0,0,SUM(BD130:BI130)*$C$131)-SUM(BD131:BH131)</f>
        <v>0</v>
      </c>
      <c r="BJ131" s="3">
        <f>IF(SUM(BD130:BJ130)&lt;0,0,SUM(BD130:BJ130)*$C$131)-SUM(BD131:BI131)</f>
        <v>0</v>
      </c>
      <c r="BK131" s="3">
        <f>IF(SUM(BD130:BK130)&lt;0,0,SUM(BD130:BK130)*$C$131)-SUM(BD131:BJ131)</f>
        <v>0</v>
      </c>
      <c r="BL131" s="3">
        <f>IF(SUM(BD130:BL130)&lt;0,0,SUM(BD130:BL130)*$C$131)-SUM(BD131:BK131)</f>
        <v>0</v>
      </c>
      <c r="BM131" s="3">
        <f>IF(SUM(BD130:BM130)&lt;0,0,SUM(BD130:BM130)*$C$131)-SUM(BD131:BL131)</f>
        <v>0</v>
      </c>
      <c r="BN131" s="3">
        <f>IF(SUM(BD130:BN130)&lt;0,0,SUM(BD130:BN130)*$C$131)-SUM(BD131:BM131)</f>
        <v>0</v>
      </c>
      <c r="BO131" s="3">
        <f>IF(SUM(BD130:BO130)&lt;0,0,SUM(BD130:BO130)*$C$131)-SUM(BD131:BN131)</f>
        <v>0</v>
      </c>
      <c r="BP131" s="397">
        <f t="shared" si="430"/>
        <v>0</v>
      </c>
      <c r="CF131" s="296" t="s">
        <v>857</v>
      </c>
      <c r="CG131" s="12" t="s">
        <v>965</v>
      </c>
    </row>
    <row r="132" spans="1:85" s="301" customFormat="1" ht="15.6">
      <c r="A132" s="301" t="s">
        <v>676</v>
      </c>
      <c r="B132" s="380" t="s">
        <v>502</v>
      </c>
      <c r="C132" s="302"/>
      <c r="D132" s="301">
        <f t="shared" ref="D132:O132" si="441">D130+D131</f>
        <v>0</v>
      </c>
      <c r="E132" s="301">
        <f t="shared" si="441"/>
        <v>0</v>
      </c>
      <c r="F132" s="301">
        <f t="shared" si="441"/>
        <v>0</v>
      </c>
      <c r="G132" s="301">
        <f t="shared" si="441"/>
        <v>0</v>
      </c>
      <c r="H132" s="301">
        <f t="shared" si="441"/>
        <v>0</v>
      </c>
      <c r="I132" s="301">
        <f t="shared" si="441"/>
        <v>0</v>
      </c>
      <c r="J132" s="301">
        <f t="shared" si="441"/>
        <v>0</v>
      </c>
      <c r="K132" s="301">
        <f t="shared" si="441"/>
        <v>0</v>
      </c>
      <c r="L132" s="301">
        <f t="shared" si="441"/>
        <v>0</v>
      </c>
      <c r="M132" s="301">
        <f t="shared" si="441"/>
        <v>0</v>
      </c>
      <c r="N132" s="301">
        <f t="shared" si="441"/>
        <v>0</v>
      </c>
      <c r="O132" s="301">
        <f t="shared" si="441"/>
        <v>0</v>
      </c>
      <c r="P132" s="389">
        <f t="shared" si="426"/>
        <v>0</v>
      </c>
      <c r="Q132" s="301">
        <f t="shared" ref="Q132:AB132" si="442">Q130+Q131</f>
        <v>0</v>
      </c>
      <c r="R132" s="301">
        <f t="shared" si="442"/>
        <v>0</v>
      </c>
      <c r="S132" s="301">
        <f t="shared" si="442"/>
        <v>0</v>
      </c>
      <c r="T132" s="301">
        <f t="shared" si="442"/>
        <v>0</v>
      </c>
      <c r="U132" s="301">
        <f t="shared" si="442"/>
        <v>0</v>
      </c>
      <c r="V132" s="301">
        <f t="shared" si="442"/>
        <v>0</v>
      </c>
      <c r="W132" s="301">
        <f t="shared" si="442"/>
        <v>-20.378052154202461</v>
      </c>
      <c r="X132" s="301">
        <f t="shared" si="442"/>
        <v>-38.25805295968199</v>
      </c>
      <c r="Y132" s="301">
        <f t="shared" si="442"/>
        <v>-55.123447813125573</v>
      </c>
      <c r="Z132" s="301">
        <f t="shared" si="442"/>
        <v>-74.948153258971672</v>
      </c>
      <c r="AA132" s="301">
        <f t="shared" si="442"/>
        <v>-91.246866321513721</v>
      </c>
      <c r="AB132" s="301">
        <f t="shared" si="442"/>
        <v>-111.66133737380636</v>
      </c>
      <c r="AC132" s="389">
        <f t="shared" si="427"/>
        <v>-391.61590988130177</v>
      </c>
      <c r="AD132" s="301">
        <f t="shared" ref="AD132:AO132" si="443">AD130+AD131</f>
        <v>-129.28713553712825</v>
      </c>
      <c r="AE132" s="301">
        <f t="shared" si="443"/>
        <v>-133.59227717645624</v>
      </c>
      <c r="AF132" s="301">
        <f t="shared" si="443"/>
        <v>-163.53249186693282</v>
      </c>
      <c r="AG132" s="301">
        <f t="shared" si="443"/>
        <v>-176.73674487413774</v>
      </c>
      <c r="AH132" s="301">
        <f t="shared" si="443"/>
        <v>-200.46067527706171</v>
      </c>
      <c r="AI132" s="301">
        <f t="shared" si="443"/>
        <v>-213.24145865544153</v>
      </c>
      <c r="AJ132" s="301">
        <f t="shared" si="443"/>
        <v>-238.64209045906244</v>
      </c>
      <c r="AK132" s="301">
        <f t="shared" si="443"/>
        <v>-258.08161964895061</v>
      </c>
      <c r="AL132" s="301">
        <f t="shared" si="443"/>
        <v>-269.80928879620819</v>
      </c>
      <c r="AM132" s="301">
        <f t="shared" si="443"/>
        <v>-297.42180353756834</v>
      </c>
      <c r="AN132" s="301">
        <f t="shared" si="443"/>
        <v>-308.19384124683103</v>
      </c>
      <c r="AO132" s="301">
        <f t="shared" si="443"/>
        <v>-335.60847809861218</v>
      </c>
      <c r="AP132" s="389">
        <f t="shared" si="428"/>
        <v>-2724.6079051743909</v>
      </c>
      <c r="AQ132" s="301">
        <f t="shared" ref="AQ132:BB132" si="444">AQ130+AQ131</f>
        <v>-345.00840394570201</v>
      </c>
      <c r="AR132" s="301">
        <f t="shared" si="444"/>
        <v>-320.08743243661661</v>
      </c>
      <c r="AS132" s="301">
        <f t="shared" si="444"/>
        <v>-361.40909784263414</v>
      </c>
      <c r="AT132" s="301">
        <f t="shared" si="444"/>
        <v>-361.61478912509403</v>
      </c>
      <c r="AU132" s="301">
        <f t="shared" si="444"/>
        <v>-383.7381316516578</v>
      </c>
      <c r="AV132" s="301">
        <f t="shared" si="444"/>
        <v>-383.84114441973901</v>
      </c>
      <c r="AW132" s="301">
        <f t="shared" si="444"/>
        <v>-407.04215861603279</v>
      </c>
      <c r="AX132" s="301">
        <f t="shared" si="444"/>
        <v>-418.94770293860449</v>
      </c>
      <c r="AY132" s="301">
        <f t="shared" si="444"/>
        <v>-418.52116889730388</v>
      </c>
      <c r="AZ132" s="301">
        <f t="shared" si="444"/>
        <v>-443.05022713699213</v>
      </c>
      <c r="BA132" s="301">
        <f t="shared" si="444"/>
        <v>-442.04747686700483</v>
      </c>
      <c r="BB132" s="301">
        <f t="shared" si="444"/>
        <v>-465.69084443980171</v>
      </c>
      <c r="BC132" s="389">
        <f t="shared" si="429"/>
        <v>-4750.9985783171824</v>
      </c>
      <c r="BD132" s="301">
        <f t="shared" ref="BD132:BO132" si="445">BD130+BD131</f>
        <v>-465.10359417261441</v>
      </c>
      <c r="BE132" s="301">
        <f t="shared" si="445"/>
        <v>-418.70287717426498</v>
      </c>
      <c r="BF132" s="301">
        <f t="shared" si="445"/>
        <v>-462.20447684725963</v>
      </c>
      <c r="BG132" s="301">
        <f t="shared" si="445"/>
        <v>-452.43281979226936</v>
      </c>
      <c r="BH132" s="301">
        <f t="shared" si="445"/>
        <v>-470.03434531043246</v>
      </c>
      <c r="BI132" s="301">
        <f t="shared" si="445"/>
        <v>-460.7001650817013</v>
      </c>
      <c r="BJ132" s="301">
        <f t="shared" si="445"/>
        <v>-479.00840739969635</v>
      </c>
      <c r="BK132" s="301">
        <f t="shared" si="445"/>
        <v>-483.80995325374295</v>
      </c>
      <c r="BL132" s="301">
        <f t="shared" si="445"/>
        <v>-474.74014048974527</v>
      </c>
      <c r="BM132" s="301">
        <f t="shared" si="445"/>
        <v>-493.8238404729924</v>
      </c>
      <c r="BN132" s="301">
        <f t="shared" si="445"/>
        <v>-484.69942600052747</v>
      </c>
      <c r="BO132" s="301">
        <f t="shared" si="445"/>
        <v>-502.40230825664941</v>
      </c>
      <c r="BP132" s="389">
        <f t="shared" si="430"/>
        <v>-5647.6623542518964</v>
      </c>
      <c r="CF132" s="301" t="s">
        <v>940</v>
      </c>
      <c r="CG132" s="380" t="s">
        <v>965</v>
      </c>
    </row>
    <row r="133" spans="1:85" s="299" customFormat="1" ht="15.6">
      <c r="A133" s="299" t="s">
        <v>676</v>
      </c>
      <c r="B133" s="380" t="s">
        <v>628</v>
      </c>
      <c r="D133" s="299">
        <f t="shared" ref="D133:AI133" si="446">D132/500*1000</f>
        <v>0</v>
      </c>
      <c r="E133" s="299">
        <f t="shared" si="446"/>
        <v>0</v>
      </c>
      <c r="F133" s="299">
        <f t="shared" si="446"/>
        <v>0</v>
      </c>
      <c r="G133" s="299">
        <f t="shared" si="446"/>
        <v>0</v>
      </c>
      <c r="H133" s="299">
        <f t="shared" si="446"/>
        <v>0</v>
      </c>
      <c r="I133" s="299">
        <f t="shared" si="446"/>
        <v>0</v>
      </c>
      <c r="J133" s="299">
        <f t="shared" si="446"/>
        <v>0</v>
      </c>
      <c r="K133" s="299">
        <f t="shared" si="446"/>
        <v>0</v>
      </c>
      <c r="L133" s="299">
        <f t="shared" si="446"/>
        <v>0</v>
      </c>
      <c r="M133" s="299">
        <f t="shared" si="446"/>
        <v>0</v>
      </c>
      <c r="N133" s="299">
        <f t="shared" si="446"/>
        <v>0</v>
      </c>
      <c r="O133" s="299">
        <f t="shared" si="446"/>
        <v>0</v>
      </c>
      <c r="P133" s="299">
        <f t="shared" si="446"/>
        <v>0</v>
      </c>
      <c r="Q133" s="299">
        <f t="shared" si="446"/>
        <v>0</v>
      </c>
      <c r="R133" s="299">
        <f t="shared" si="446"/>
        <v>0</v>
      </c>
      <c r="S133" s="299">
        <f t="shared" si="446"/>
        <v>0</v>
      </c>
      <c r="T133" s="299">
        <f t="shared" si="446"/>
        <v>0</v>
      </c>
      <c r="U133" s="299">
        <f t="shared" si="446"/>
        <v>0</v>
      </c>
      <c r="V133" s="299">
        <f t="shared" si="446"/>
        <v>0</v>
      </c>
      <c r="W133" s="299">
        <f t="shared" si="446"/>
        <v>-40.756104308404922</v>
      </c>
      <c r="X133" s="299">
        <f t="shared" si="446"/>
        <v>-76.51610591936398</v>
      </c>
      <c r="Y133" s="299">
        <f t="shared" si="446"/>
        <v>-110.24689562625115</v>
      </c>
      <c r="Z133" s="299">
        <f t="shared" si="446"/>
        <v>-149.89630651794334</v>
      </c>
      <c r="AA133" s="299">
        <f t="shared" si="446"/>
        <v>-182.49373264302744</v>
      </c>
      <c r="AB133" s="299">
        <f t="shared" si="446"/>
        <v>-223.32267474761272</v>
      </c>
      <c r="AC133" s="299">
        <f t="shared" si="446"/>
        <v>-783.23181976260355</v>
      </c>
      <c r="AD133" s="299">
        <f t="shared" si="446"/>
        <v>-258.5742710742565</v>
      </c>
      <c r="AE133" s="299">
        <f t="shared" si="446"/>
        <v>-267.18455435291247</v>
      </c>
      <c r="AF133" s="299">
        <f t="shared" si="446"/>
        <v>-327.06498373386563</v>
      </c>
      <c r="AG133" s="299">
        <f t="shared" si="446"/>
        <v>-353.47348974827548</v>
      </c>
      <c r="AH133" s="299">
        <f t="shared" si="446"/>
        <v>-400.92135055412342</v>
      </c>
      <c r="AI133" s="299">
        <f t="shared" si="446"/>
        <v>-426.48291731088307</v>
      </c>
      <c r="AJ133" s="299">
        <f t="shared" ref="AJ133:BO133" si="447">AJ132/500*1000</f>
        <v>-477.28418091812489</v>
      </c>
      <c r="AK133" s="299">
        <f t="shared" si="447"/>
        <v>-516.16323929790121</v>
      </c>
      <c r="AL133" s="299">
        <f t="shared" si="447"/>
        <v>-539.61857759241639</v>
      </c>
      <c r="AM133" s="299">
        <f t="shared" si="447"/>
        <v>-594.84360707513667</v>
      </c>
      <c r="AN133" s="299">
        <f t="shared" si="447"/>
        <v>-616.38768249366206</v>
      </c>
      <c r="AO133" s="299">
        <f t="shared" si="447"/>
        <v>-671.21695619722436</v>
      </c>
      <c r="AP133" s="299">
        <f t="shared" si="447"/>
        <v>-5449.2158103487818</v>
      </c>
      <c r="AQ133" s="299">
        <f t="shared" si="447"/>
        <v>-690.01680789140403</v>
      </c>
      <c r="AR133" s="299">
        <f t="shared" si="447"/>
        <v>-640.17486487323322</v>
      </c>
      <c r="AS133" s="299">
        <f t="shared" si="447"/>
        <v>-722.81819568526828</v>
      </c>
      <c r="AT133" s="299">
        <f t="shared" si="447"/>
        <v>-723.22957825018807</v>
      </c>
      <c r="AU133" s="299">
        <f t="shared" si="447"/>
        <v>-767.47626330331559</v>
      </c>
      <c r="AV133" s="299">
        <f t="shared" si="447"/>
        <v>-767.68228883947802</v>
      </c>
      <c r="AW133" s="299">
        <f t="shared" si="447"/>
        <v>-814.08431723206559</v>
      </c>
      <c r="AX133" s="299">
        <f t="shared" si="447"/>
        <v>-837.89540587720899</v>
      </c>
      <c r="AY133" s="299">
        <f t="shared" si="447"/>
        <v>-837.04233779460776</v>
      </c>
      <c r="AZ133" s="299">
        <f t="shared" si="447"/>
        <v>-886.10045427398427</v>
      </c>
      <c r="BA133" s="299">
        <f t="shared" si="447"/>
        <v>-884.09495373400966</v>
      </c>
      <c r="BB133" s="299">
        <f t="shared" si="447"/>
        <v>-931.38168887960342</v>
      </c>
      <c r="BC133" s="299">
        <f t="shared" si="447"/>
        <v>-9501.9971566343647</v>
      </c>
      <c r="BD133" s="299">
        <f t="shared" si="447"/>
        <v>-930.20718834522881</v>
      </c>
      <c r="BE133" s="299">
        <f t="shared" si="447"/>
        <v>-837.40575434852997</v>
      </c>
      <c r="BF133" s="299">
        <f t="shared" si="447"/>
        <v>-924.40895369451925</v>
      </c>
      <c r="BG133" s="299">
        <f t="shared" si="447"/>
        <v>-904.86563958453871</v>
      </c>
      <c r="BH133" s="299">
        <f t="shared" si="447"/>
        <v>-940.06869062086491</v>
      </c>
      <c r="BI133" s="299">
        <f t="shared" si="447"/>
        <v>-921.4003301634026</v>
      </c>
      <c r="BJ133" s="299">
        <f t="shared" si="447"/>
        <v>-958.01681479939271</v>
      </c>
      <c r="BK133" s="299">
        <f t="shared" si="447"/>
        <v>-967.61990650748589</v>
      </c>
      <c r="BL133" s="299">
        <f t="shared" si="447"/>
        <v>-949.48028097949054</v>
      </c>
      <c r="BM133" s="299">
        <f t="shared" si="447"/>
        <v>-987.6476809459848</v>
      </c>
      <c r="BN133" s="299">
        <f t="shared" si="447"/>
        <v>-969.39885200105493</v>
      </c>
      <c r="BO133" s="299">
        <f t="shared" si="447"/>
        <v>-1004.8046165132989</v>
      </c>
      <c r="BP133" s="299">
        <f t="shared" ref="BP133" si="448">BP132/500*1000</f>
        <v>-11295.324708503793</v>
      </c>
      <c r="BR133" s="60">
        <f>D133+E133+F133</f>
        <v>0</v>
      </c>
      <c r="BS133" s="60">
        <f>G133+H133+I133</f>
        <v>0</v>
      </c>
      <c r="BT133" s="60">
        <f>J133+K133+L133</f>
        <v>0</v>
      </c>
      <c r="BU133" s="60">
        <f>M133+N133+O133</f>
        <v>0</v>
      </c>
      <c r="BV133" s="60">
        <f>SUM(Q133:V133)</f>
        <v>0</v>
      </c>
      <c r="BW133" s="60">
        <f>SUM(W133:AB133)</f>
        <v>-783.23181976260355</v>
      </c>
      <c r="BX133" s="60">
        <f>SUM(AD133:AI133)</f>
        <v>-2033.7015667743165</v>
      </c>
      <c r="BY133" s="60">
        <f>SUM(AJ133:AO133)</f>
        <v>-3415.5142435744656</v>
      </c>
      <c r="BZ133" s="60">
        <f>SUM(AQ133:AV133)</f>
        <v>-4311.3979988428864</v>
      </c>
      <c r="CA133" s="60">
        <f>SUM(AW133:BB133)</f>
        <v>-5190.5991577914801</v>
      </c>
      <c r="CB133" s="60">
        <f>SUM(BD133:BI133)</f>
        <v>-5458.3565567570849</v>
      </c>
      <c r="CC133" s="60">
        <f>SUM(BJ133:BO133)</f>
        <v>-5836.9681517467079</v>
      </c>
      <c r="CD133" s="301"/>
      <c r="CF133" s="299" t="s">
        <v>940</v>
      </c>
      <c r="CG133" s="380" t="s">
        <v>967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7" tint="0.79998168889431442"/>
    <outlinePr summaryBelow="0"/>
  </sheetPr>
  <dimension ref="A1:CG101"/>
  <sheetViews>
    <sheetView showGridLines="0" zoomScale="120" zoomScaleNormal="120" workbookViewId="0">
      <pane xSplit="2" ySplit="2" topLeftCell="CE3" activePane="bottomRight" state="frozen"/>
      <selection activeCell="B132" sqref="B132"/>
      <selection pane="topRight" activeCell="B132" sqref="B132"/>
      <selection pane="bottomLeft" activeCell="B132" sqref="B132"/>
      <selection pane="bottomRight"/>
    </sheetView>
  </sheetViews>
  <sheetFormatPr defaultColWidth="9.109375" defaultRowHeight="13.8" outlineLevelRow="1" outlineLevelCol="1"/>
  <cols>
    <col min="1" max="1" width="70.44140625" style="4" bestFit="1" customWidth="1"/>
    <col min="2" max="2" width="9.33203125" style="13" customWidth="1"/>
    <col min="3" max="3" width="9.109375" style="4"/>
    <col min="4" max="15" width="9.109375" style="4" hidden="1" customWidth="1" outlineLevel="1"/>
    <col min="16" max="16" width="10.6640625" style="4" customWidth="1" collapsed="1"/>
    <col min="17" max="28" width="9.109375" style="4" hidden="1" customWidth="1" outlineLevel="1"/>
    <col min="29" max="29" width="10.6640625" style="4" customWidth="1" collapsed="1"/>
    <col min="30" max="41" width="9.109375" style="4" hidden="1" customWidth="1" outlineLevel="1"/>
    <col min="42" max="42" width="10.6640625" style="4" customWidth="1" collapsed="1"/>
    <col min="43" max="54" width="9.109375" style="4" hidden="1" customWidth="1" outlineLevel="1"/>
    <col min="55" max="55" width="10.6640625" style="4" customWidth="1" collapsed="1"/>
    <col min="56" max="67" width="9.109375" style="4" hidden="1" customWidth="1" outlineLevel="1"/>
    <col min="68" max="68" width="10.6640625" style="4" customWidth="1" collapsed="1"/>
    <col min="69" max="82" width="0" style="4" hidden="1" customWidth="1"/>
    <col min="83" max="83" width="9.109375" style="4"/>
    <col min="84" max="84" width="70.44140625" style="4" bestFit="1" customWidth="1"/>
    <col min="85" max="85" width="9.33203125" style="13" customWidth="1"/>
    <col min="86" max="16384" width="9.109375" style="4"/>
  </cols>
  <sheetData>
    <row r="1" spans="1:85" s="13" customFormat="1" ht="10.199999999999999">
      <c r="D1" s="13">
        <v>31</v>
      </c>
      <c r="E1" s="13">
        <v>28</v>
      </c>
      <c r="F1" s="13">
        <v>31</v>
      </c>
      <c r="G1" s="13">
        <v>30</v>
      </c>
      <c r="H1" s="13">
        <v>31</v>
      </c>
      <c r="I1" s="13">
        <v>30</v>
      </c>
      <c r="J1" s="13">
        <v>31</v>
      </c>
      <c r="K1" s="13">
        <v>31</v>
      </c>
      <c r="L1" s="13">
        <v>30</v>
      </c>
      <c r="M1" s="13">
        <v>31</v>
      </c>
      <c r="N1" s="13">
        <v>30</v>
      </c>
      <c r="O1" s="13">
        <v>31</v>
      </c>
      <c r="P1" s="429">
        <f>SUM(D1:O1)</f>
        <v>365</v>
      </c>
      <c r="Q1" s="13">
        <v>31</v>
      </c>
      <c r="R1" s="13">
        <v>28</v>
      </c>
      <c r="S1" s="13">
        <v>31</v>
      </c>
      <c r="T1" s="13">
        <v>30</v>
      </c>
      <c r="U1" s="13">
        <v>31</v>
      </c>
      <c r="V1" s="13">
        <v>30</v>
      </c>
      <c r="W1" s="13">
        <v>31</v>
      </c>
      <c r="X1" s="13">
        <v>31</v>
      </c>
      <c r="Y1" s="13">
        <v>30</v>
      </c>
      <c r="Z1" s="13">
        <v>31</v>
      </c>
      <c r="AA1" s="13">
        <v>30</v>
      </c>
      <c r="AB1" s="13">
        <v>31</v>
      </c>
      <c r="AC1" s="429">
        <f>SUM(Q1:AB1)</f>
        <v>365</v>
      </c>
      <c r="AD1" s="13">
        <v>31</v>
      </c>
      <c r="AE1" s="13">
        <v>28</v>
      </c>
      <c r="AF1" s="13">
        <v>31</v>
      </c>
      <c r="AG1" s="13">
        <v>30</v>
      </c>
      <c r="AH1" s="13">
        <v>31</v>
      </c>
      <c r="AI1" s="13">
        <v>30</v>
      </c>
      <c r="AJ1" s="13">
        <v>31</v>
      </c>
      <c r="AK1" s="13">
        <v>31</v>
      </c>
      <c r="AL1" s="13">
        <v>30</v>
      </c>
      <c r="AM1" s="13">
        <v>31</v>
      </c>
      <c r="AN1" s="13">
        <v>30</v>
      </c>
      <c r="AO1" s="13">
        <v>31</v>
      </c>
      <c r="AP1" s="429">
        <f>SUM(AD1:AO1)</f>
        <v>365</v>
      </c>
      <c r="AQ1" s="13">
        <v>31</v>
      </c>
      <c r="AR1" s="13">
        <v>28</v>
      </c>
      <c r="AS1" s="13">
        <v>31</v>
      </c>
      <c r="AT1" s="13">
        <v>30</v>
      </c>
      <c r="AU1" s="13">
        <v>31</v>
      </c>
      <c r="AV1" s="13">
        <v>30</v>
      </c>
      <c r="AW1" s="13">
        <v>31</v>
      </c>
      <c r="AX1" s="13">
        <v>31</v>
      </c>
      <c r="AY1" s="13">
        <v>30</v>
      </c>
      <c r="AZ1" s="13">
        <v>31</v>
      </c>
      <c r="BA1" s="13">
        <v>30</v>
      </c>
      <c r="BB1" s="13">
        <v>31</v>
      </c>
      <c r="BC1" s="429">
        <f>SUM(AQ1:BB1)</f>
        <v>365</v>
      </c>
      <c r="BD1" s="13">
        <v>31</v>
      </c>
      <c r="BE1" s="13">
        <v>28</v>
      </c>
      <c r="BF1" s="13">
        <v>31</v>
      </c>
      <c r="BG1" s="13">
        <v>30</v>
      </c>
      <c r="BH1" s="13">
        <v>31</v>
      </c>
      <c r="BI1" s="13">
        <v>30</v>
      </c>
      <c r="BJ1" s="13">
        <v>31</v>
      </c>
      <c r="BK1" s="13">
        <v>31</v>
      </c>
      <c r="BL1" s="13">
        <v>30</v>
      </c>
      <c r="BM1" s="13">
        <v>31</v>
      </c>
      <c r="BN1" s="13">
        <v>30</v>
      </c>
      <c r="BO1" s="13">
        <v>31</v>
      </c>
      <c r="BP1" s="429">
        <f>SUM(BD1:BO1)</f>
        <v>365</v>
      </c>
    </row>
    <row r="2" spans="1:85" s="1" customFormat="1">
      <c r="A2" s="415"/>
      <c r="B2" s="416" t="s">
        <v>665</v>
      </c>
      <c r="C2" s="428"/>
      <c r="D2" s="415" t="s">
        <v>107</v>
      </c>
      <c r="E2" s="415" t="s">
        <v>135</v>
      </c>
      <c r="F2" s="415" t="s">
        <v>136</v>
      </c>
      <c r="G2" s="415" t="s">
        <v>137</v>
      </c>
      <c r="H2" s="415" t="s">
        <v>138</v>
      </c>
      <c r="I2" s="415" t="s">
        <v>139</v>
      </c>
      <c r="J2" s="415" t="s">
        <v>140</v>
      </c>
      <c r="K2" s="415" t="s">
        <v>141</v>
      </c>
      <c r="L2" s="415" t="s">
        <v>142</v>
      </c>
      <c r="M2" s="415" t="s">
        <v>143</v>
      </c>
      <c r="N2" s="415" t="s">
        <v>144</v>
      </c>
      <c r="O2" s="415" t="s">
        <v>145</v>
      </c>
      <c r="P2" s="414" t="s">
        <v>146</v>
      </c>
      <c r="Q2" s="415" t="s">
        <v>107</v>
      </c>
      <c r="R2" s="415" t="s">
        <v>135</v>
      </c>
      <c r="S2" s="415" t="s">
        <v>136</v>
      </c>
      <c r="T2" s="415" t="s">
        <v>137</v>
      </c>
      <c r="U2" s="415" t="s">
        <v>138</v>
      </c>
      <c r="V2" s="415" t="s">
        <v>139</v>
      </c>
      <c r="W2" s="415" t="s">
        <v>140</v>
      </c>
      <c r="X2" s="415" t="s">
        <v>141</v>
      </c>
      <c r="Y2" s="415" t="s">
        <v>142</v>
      </c>
      <c r="Z2" s="415" t="s">
        <v>143</v>
      </c>
      <c r="AA2" s="415" t="s">
        <v>144</v>
      </c>
      <c r="AB2" s="415" t="s">
        <v>145</v>
      </c>
      <c r="AC2" s="414" t="s">
        <v>151</v>
      </c>
      <c r="AD2" s="415" t="s">
        <v>107</v>
      </c>
      <c r="AE2" s="415" t="s">
        <v>135</v>
      </c>
      <c r="AF2" s="415" t="s">
        <v>136</v>
      </c>
      <c r="AG2" s="415" t="s">
        <v>137</v>
      </c>
      <c r="AH2" s="415" t="s">
        <v>138</v>
      </c>
      <c r="AI2" s="415" t="s">
        <v>139</v>
      </c>
      <c r="AJ2" s="415" t="s">
        <v>140</v>
      </c>
      <c r="AK2" s="415" t="s">
        <v>141</v>
      </c>
      <c r="AL2" s="415" t="s">
        <v>142</v>
      </c>
      <c r="AM2" s="415" t="s">
        <v>143</v>
      </c>
      <c r="AN2" s="415" t="s">
        <v>144</v>
      </c>
      <c r="AO2" s="415" t="s">
        <v>145</v>
      </c>
      <c r="AP2" s="414" t="s">
        <v>152</v>
      </c>
      <c r="AQ2" s="415" t="s">
        <v>107</v>
      </c>
      <c r="AR2" s="415" t="s">
        <v>135</v>
      </c>
      <c r="AS2" s="415" t="s">
        <v>136</v>
      </c>
      <c r="AT2" s="415" t="s">
        <v>137</v>
      </c>
      <c r="AU2" s="415" t="s">
        <v>138</v>
      </c>
      <c r="AV2" s="415" t="s">
        <v>139</v>
      </c>
      <c r="AW2" s="415" t="s">
        <v>140</v>
      </c>
      <c r="AX2" s="415" t="s">
        <v>141</v>
      </c>
      <c r="AY2" s="415" t="s">
        <v>142</v>
      </c>
      <c r="AZ2" s="415" t="s">
        <v>143</v>
      </c>
      <c r="BA2" s="415" t="s">
        <v>144</v>
      </c>
      <c r="BB2" s="415" t="s">
        <v>145</v>
      </c>
      <c r="BC2" s="414" t="s">
        <v>153</v>
      </c>
      <c r="BD2" s="415" t="s">
        <v>107</v>
      </c>
      <c r="BE2" s="415" t="s">
        <v>135</v>
      </c>
      <c r="BF2" s="415" t="s">
        <v>136</v>
      </c>
      <c r="BG2" s="415" t="s">
        <v>137</v>
      </c>
      <c r="BH2" s="415" t="s">
        <v>138</v>
      </c>
      <c r="BI2" s="415" t="s">
        <v>139</v>
      </c>
      <c r="BJ2" s="415" t="s">
        <v>140</v>
      </c>
      <c r="BK2" s="415" t="s">
        <v>141</v>
      </c>
      <c r="BL2" s="415" t="s">
        <v>142</v>
      </c>
      <c r="BM2" s="415" t="s">
        <v>143</v>
      </c>
      <c r="BN2" s="415" t="s">
        <v>144</v>
      </c>
      <c r="BO2" s="415" t="s">
        <v>145</v>
      </c>
      <c r="BP2" s="414" t="s">
        <v>154</v>
      </c>
      <c r="CF2" s="415"/>
      <c r="CG2" s="416"/>
    </row>
    <row r="3" spans="1:85">
      <c r="A3" s="4" t="s">
        <v>733</v>
      </c>
      <c r="B3" s="13" t="s">
        <v>496</v>
      </c>
      <c r="D3" s="3">
        <f>'Micro_30 (indiv)'!D9</f>
        <v>0</v>
      </c>
      <c r="E3" s="3">
        <f>'Micro_30 (indiv)'!E9</f>
        <v>0</v>
      </c>
      <c r="F3" s="3">
        <f>'Micro_30 (indiv)'!F9</f>
        <v>0</v>
      </c>
      <c r="G3" s="3">
        <f>'Micro_30 (indiv)'!G9</f>
        <v>0</v>
      </c>
      <c r="H3" s="3">
        <f>'Micro_30 (indiv)'!H9</f>
        <v>0</v>
      </c>
      <c r="I3" s="3">
        <f>'Micro_30 (indiv)'!I9</f>
        <v>0</v>
      </c>
      <c r="J3" s="3">
        <f>'Micro_30 (indiv)'!J9</f>
        <v>8991.9214707839947</v>
      </c>
      <c r="K3" s="3">
        <f>'Micro_30 (indiv)'!K9</f>
        <v>9380.8939116479942</v>
      </c>
      <c r="L3" s="3">
        <f>'Micro_30 (indiv)'!L9</f>
        <v>9769.8663525119955</v>
      </c>
      <c r="M3" s="3">
        <f>'Micro_30 (indiv)'!M9</f>
        <v>10158.838793375993</v>
      </c>
      <c r="N3" s="3">
        <f>'Micro_30 (indiv)'!N9</f>
        <v>10547.811234239995</v>
      </c>
      <c r="O3" s="3">
        <f>'Micro_30 (indiv)'!O9</f>
        <v>10495.247390880033</v>
      </c>
      <c r="P3" s="397">
        <f>SUM(D3:O3)</f>
        <v>59344.579153440005</v>
      </c>
      <c r="Q3" s="3">
        <f>'Micro_30 (indiv)'!Q9</f>
        <v>24660.196560533328</v>
      </c>
      <c r="R3" s="3">
        <f>'Micro_30 (indiv)'!R9</f>
        <v>26100.871201701328</v>
      </c>
      <c r="S3" s="3">
        <f>'Micro_30 (indiv)'!S9</f>
        <v>27541.545842869327</v>
      </c>
      <c r="T3" s="3">
        <f>'Micro_30 (indiv)'!T9</f>
        <v>28982.220484037323</v>
      </c>
      <c r="U3" s="3">
        <f>'Micro_30 (indiv)'!U9</f>
        <v>30422.895125205323</v>
      </c>
      <c r="V3" s="3">
        <f>'Micro_30 (indiv)'!V9</f>
        <v>31863.569766373323</v>
      </c>
      <c r="W3" s="3">
        <f>'Micro_30 (indiv)'!W9</f>
        <v>33304.244407541315</v>
      </c>
      <c r="X3" s="3">
        <f>'Micro_30 (indiv)'!X9</f>
        <v>34744.919048709315</v>
      </c>
      <c r="Y3" s="3">
        <f>'Micro_30 (indiv)'!Y9</f>
        <v>36185.593689877314</v>
      </c>
      <c r="Z3" s="3">
        <f>'Micro_30 (indiv)'!Z9</f>
        <v>37626.268331045314</v>
      </c>
      <c r="AA3" s="3">
        <f>'Micro_30 (indiv)'!AA9</f>
        <v>39066.942972213306</v>
      </c>
      <c r="AB3" s="3">
        <f>'Micro_30 (indiv)'!AB9</f>
        <v>38872.257209893462</v>
      </c>
      <c r="AC3" s="397">
        <f>SUM(Q3:AB3)</f>
        <v>389371.52463999996</v>
      </c>
      <c r="AD3" s="3">
        <f>'Micro_30 (indiv)'!AD9</f>
        <v>37792.970819839997</v>
      </c>
      <c r="AE3" s="3">
        <f>'Micro_30 (indiv)'!AE9</f>
        <v>40000.875957209588</v>
      </c>
      <c r="AF3" s="3">
        <f>'Micro_30 (indiv)'!AF9</f>
        <v>42208.781094579193</v>
      </c>
      <c r="AG3" s="3">
        <f>'Micro_30 (indiv)'!AG9</f>
        <v>44416.686231948785</v>
      </c>
      <c r="AH3" s="3">
        <f>'Micro_30 (indiv)'!AH9</f>
        <v>46624.591369318383</v>
      </c>
      <c r="AI3" s="3">
        <f>'Micro_30 (indiv)'!AI9</f>
        <v>48832.496506687981</v>
      </c>
      <c r="AJ3" s="3">
        <f>'Micro_30 (indiv)'!AJ9</f>
        <v>51040.40164405758</v>
      </c>
      <c r="AK3" s="3">
        <f>'Micro_30 (indiv)'!AK9</f>
        <v>53248.306781427171</v>
      </c>
      <c r="AL3" s="3">
        <f>'Micro_30 (indiv)'!AL9</f>
        <v>55456.211918796769</v>
      </c>
      <c r="AM3" s="3">
        <f>'Micro_30 (indiv)'!AM9</f>
        <v>57664.117056166368</v>
      </c>
      <c r="AN3" s="3">
        <f>'Micro_30 (indiv)'!AN9</f>
        <v>59872.022193535973</v>
      </c>
      <c r="AO3" s="3">
        <f>'Micro_30 (indiv)'!AO9</f>
        <v>59573.656634432198</v>
      </c>
      <c r="AP3" s="397">
        <f>SUM(AD3:AO3)</f>
        <v>596731.11820799985</v>
      </c>
      <c r="AQ3" s="3">
        <f>'Micro_30 (indiv)'!AQ9</f>
        <v>42575.177043135991</v>
      </c>
      <c r="AR3" s="3">
        <f>'Micro_30 (indiv)'!AR9</f>
        <v>45062.463701971828</v>
      </c>
      <c r="AS3" s="3">
        <f>'Micro_30 (indiv)'!AS9</f>
        <v>47549.750360807659</v>
      </c>
      <c r="AT3" s="3">
        <f>'Micro_30 (indiv)'!AT9</f>
        <v>50037.037019643496</v>
      </c>
      <c r="AU3" s="3">
        <f>'Micro_30 (indiv)'!AU9</f>
        <v>52524.323678479341</v>
      </c>
      <c r="AV3" s="3">
        <f>'Micro_30 (indiv)'!AV9</f>
        <v>55011.610337315171</v>
      </c>
      <c r="AW3" s="3">
        <f>'Micro_30 (indiv)'!AW9</f>
        <v>57498.896996151008</v>
      </c>
      <c r="AX3" s="3">
        <f>'Micro_30 (indiv)'!AX9</f>
        <v>59986.183654986839</v>
      </c>
      <c r="AY3" s="3">
        <f>'Micro_30 (indiv)'!AY9</f>
        <v>62473.470313822683</v>
      </c>
      <c r="AZ3" s="3">
        <f>'Micro_30 (indiv)'!AZ9</f>
        <v>64960.756972658513</v>
      </c>
      <c r="BA3" s="3">
        <f>'Micro_30 (indiv)'!BA9</f>
        <v>67448.043631494351</v>
      </c>
      <c r="BB3" s="3">
        <f>'Micro_30 (indiv)'!BB9</f>
        <v>67111.923812733017</v>
      </c>
      <c r="BC3" s="397">
        <f>SUM(AQ3:BB3)</f>
        <v>672239.63752320001</v>
      </c>
      <c r="BD3" s="3">
        <f>'Micro_30 (indiv)'!BD9</f>
        <v>48658.517395318391</v>
      </c>
      <c r="BE3" s="3">
        <f>'Micro_30 (indiv)'!BE9</f>
        <v>51501.199201044881</v>
      </c>
      <c r="BF3" s="3">
        <f>'Micro_30 (indiv)'!BF9</f>
        <v>54343.881006771371</v>
      </c>
      <c r="BG3" s="3">
        <f>'Micro_30 (indiv)'!BG9</f>
        <v>57186.562812497861</v>
      </c>
      <c r="BH3" s="3">
        <f>'Micro_30 (indiv)'!BH9</f>
        <v>60029.244618224358</v>
      </c>
      <c r="BI3" s="3">
        <f>'Micro_30 (indiv)'!BI9</f>
        <v>62871.926423950848</v>
      </c>
      <c r="BJ3" s="3">
        <f>'Micro_30 (indiv)'!BJ9</f>
        <v>65714.608229677338</v>
      </c>
      <c r="BK3" s="3">
        <f>'Micro_30 (indiv)'!BK9</f>
        <v>68557.290035403828</v>
      </c>
      <c r="BL3" s="3">
        <f>'Micro_30 (indiv)'!BL9</f>
        <v>71399.971841130318</v>
      </c>
      <c r="BM3" s="3">
        <f>'Micro_30 (indiv)'!BM9</f>
        <v>74242.653646856823</v>
      </c>
      <c r="BN3" s="3">
        <f>'Micro_30 (indiv)'!BN9</f>
        <v>77085.335452583313</v>
      </c>
      <c r="BO3" s="3">
        <f>'Micro_30 (indiv)'!BO9</f>
        <v>76701.189262620566</v>
      </c>
      <c r="BP3" s="397">
        <f>SUM(BD3:BO3)</f>
        <v>768292.37992607965</v>
      </c>
      <c r="CF3" s="4" t="s">
        <v>1242</v>
      </c>
      <c r="CG3" s="13" t="s">
        <v>394</v>
      </c>
    </row>
    <row r="4" spans="1:85" s="6" customFormat="1">
      <c r="A4" s="474" t="s">
        <v>732</v>
      </c>
      <c r="B4" s="284" t="s">
        <v>496</v>
      </c>
      <c r="P4" s="343"/>
      <c r="AC4" s="343"/>
      <c r="AP4" s="343"/>
      <c r="BC4" s="343"/>
      <c r="BP4" s="343"/>
      <c r="CF4" s="474" t="s">
        <v>1081</v>
      </c>
      <c r="CG4" s="13" t="s">
        <v>394</v>
      </c>
    </row>
    <row r="5" spans="1:85" s="65" customFormat="1">
      <c r="A5" s="76" t="s">
        <v>624</v>
      </c>
      <c r="B5" s="285" t="s">
        <v>231</v>
      </c>
      <c r="C5" s="40"/>
      <c r="D5" s="65">
        <f>'Micro_30 (indiv)'!D10</f>
        <v>0.7</v>
      </c>
      <c r="E5" s="65">
        <f>'Micro_30 (indiv)'!E10</f>
        <v>0.7</v>
      </c>
      <c r="F5" s="65">
        <f>'Micro_30 (indiv)'!F10</f>
        <v>0.7</v>
      </c>
      <c r="G5" s="65">
        <f>'Micro_30 (indiv)'!G10</f>
        <v>0.7</v>
      </c>
      <c r="H5" s="65">
        <f>'Micro_30 (indiv)'!H10</f>
        <v>0.7</v>
      </c>
      <c r="I5" s="65">
        <f>'Micro_30 (indiv)'!I10</f>
        <v>0.7</v>
      </c>
      <c r="J5" s="65">
        <f>'Micro_30 (indiv)'!J10</f>
        <v>0.7</v>
      </c>
      <c r="K5" s="65">
        <f>'Micro_30 (indiv)'!K10</f>
        <v>0.7</v>
      </c>
      <c r="L5" s="65">
        <f>'Micro_30 (indiv)'!L10</f>
        <v>0.7</v>
      </c>
      <c r="M5" s="65">
        <f>'Micro_30 (indiv)'!M10</f>
        <v>0.7</v>
      </c>
      <c r="N5" s="65">
        <f>'Micro_30 (indiv)'!N10</f>
        <v>0.7</v>
      </c>
      <c r="O5" s="65">
        <f>'Micro_30 (indiv)'!O10</f>
        <v>0.7</v>
      </c>
      <c r="P5" s="358">
        <f>P6/P3</f>
        <v>0.7</v>
      </c>
      <c r="Q5" s="65">
        <f>'Micro_30 (indiv)'!Q10</f>
        <v>0.7</v>
      </c>
      <c r="R5" s="65">
        <f>'Micro_30 (indiv)'!R10</f>
        <v>0.7</v>
      </c>
      <c r="S5" s="65">
        <f>'Micro_30 (indiv)'!S10</f>
        <v>0.7</v>
      </c>
      <c r="T5" s="65">
        <f>'Micro_30 (indiv)'!T10</f>
        <v>0.7</v>
      </c>
      <c r="U5" s="65">
        <f>'Micro_30 (indiv)'!U10</f>
        <v>0.7</v>
      </c>
      <c r="V5" s="65">
        <f>'Micro_30 (indiv)'!V10</f>
        <v>0.7</v>
      </c>
      <c r="W5" s="65">
        <f>'Micro_30 (indiv)'!W10</f>
        <v>0.7</v>
      </c>
      <c r="X5" s="65">
        <f>'Micro_30 (indiv)'!X10</f>
        <v>0.7</v>
      </c>
      <c r="Y5" s="65">
        <f>'Micro_30 (indiv)'!Y10</f>
        <v>0.7</v>
      </c>
      <c r="Z5" s="65">
        <f>'Micro_30 (indiv)'!Z10</f>
        <v>0.7</v>
      </c>
      <c r="AA5" s="65">
        <f>'Micro_30 (indiv)'!AA10</f>
        <v>0.7</v>
      </c>
      <c r="AB5" s="65">
        <f>'Micro_30 (indiv)'!AB10</f>
        <v>0.7</v>
      </c>
      <c r="AC5" s="358">
        <f>AC6/AC3</f>
        <v>0.7</v>
      </c>
      <c r="AD5" s="65">
        <f>'Micro_30 (indiv)'!AD10</f>
        <v>0.7</v>
      </c>
      <c r="AE5" s="65">
        <f>'Micro_30 (indiv)'!AE10</f>
        <v>0.7</v>
      </c>
      <c r="AF5" s="65">
        <f>'Micro_30 (indiv)'!AF10</f>
        <v>0.7</v>
      </c>
      <c r="AG5" s="65">
        <f>'Micro_30 (indiv)'!AG10</f>
        <v>0.7</v>
      </c>
      <c r="AH5" s="65">
        <f>'Micro_30 (indiv)'!AH10</f>
        <v>0.7</v>
      </c>
      <c r="AI5" s="65">
        <f>'Micro_30 (indiv)'!AI10</f>
        <v>0.7</v>
      </c>
      <c r="AJ5" s="65">
        <f>'Micro_30 (indiv)'!AJ10</f>
        <v>0.7</v>
      </c>
      <c r="AK5" s="65">
        <f>'Micro_30 (indiv)'!AK10</f>
        <v>0.7</v>
      </c>
      <c r="AL5" s="65">
        <f>'Micro_30 (indiv)'!AL10</f>
        <v>0.7</v>
      </c>
      <c r="AM5" s="65">
        <f>'Micro_30 (indiv)'!AM10</f>
        <v>0.7</v>
      </c>
      <c r="AN5" s="65">
        <f>'Micro_30 (indiv)'!AN10</f>
        <v>0.7</v>
      </c>
      <c r="AO5" s="65">
        <f>'Micro_30 (indiv)'!AO10</f>
        <v>0.7</v>
      </c>
      <c r="AP5" s="358">
        <f>AP6/AP3</f>
        <v>0.70000000000000007</v>
      </c>
      <c r="AQ5" s="65">
        <f>'Micro_30 (indiv)'!AQ10</f>
        <v>0.7</v>
      </c>
      <c r="AR5" s="65">
        <f>'Micro_30 (indiv)'!AR10</f>
        <v>0.7</v>
      </c>
      <c r="AS5" s="65">
        <f>'Micro_30 (indiv)'!AS10</f>
        <v>0.7</v>
      </c>
      <c r="AT5" s="65">
        <f>'Micro_30 (indiv)'!AT10</f>
        <v>0.7</v>
      </c>
      <c r="AU5" s="65">
        <f>'Micro_30 (indiv)'!AU10</f>
        <v>0.7</v>
      </c>
      <c r="AV5" s="65">
        <f>'Micro_30 (indiv)'!AV10</f>
        <v>0.7</v>
      </c>
      <c r="AW5" s="65">
        <f>'Micro_30 (indiv)'!AW10</f>
        <v>0.7</v>
      </c>
      <c r="AX5" s="65">
        <f>'Micro_30 (indiv)'!AX10</f>
        <v>0.7</v>
      </c>
      <c r="AY5" s="65">
        <f>'Micro_30 (indiv)'!AY10</f>
        <v>0.7</v>
      </c>
      <c r="AZ5" s="65">
        <f>'Micro_30 (indiv)'!AZ10</f>
        <v>0.7</v>
      </c>
      <c r="BA5" s="65">
        <f>'Micro_30 (indiv)'!BA10</f>
        <v>0.7</v>
      </c>
      <c r="BB5" s="65">
        <f>'Micro_30 (indiv)'!BB10</f>
        <v>0.7</v>
      </c>
      <c r="BC5" s="358">
        <f>BC6/BC3</f>
        <v>0.69999999999999984</v>
      </c>
      <c r="BD5" s="65">
        <f>'Micro_30 (indiv)'!BD10</f>
        <v>0.7</v>
      </c>
      <c r="BE5" s="65">
        <f>'Micro_30 (indiv)'!BE10</f>
        <v>0.7</v>
      </c>
      <c r="BF5" s="65">
        <f>'Micro_30 (indiv)'!BF10</f>
        <v>0.7</v>
      </c>
      <c r="BG5" s="65">
        <f>'Micro_30 (indiv)'!BG10</f>
        <v>0.7</v>
      </c>
      <c r="BH5" s="65">
        <f>'Micro_30 (indiv)'!BH10</f>
        <v>0.7</v>
      </c>
      <c r="BI5" s="65">
        <f>'Micro_30 (indiv)'!BI10</f>
        <v>0.7</v>
      </c>
      <c r="BJ5" s="65">
        <f>'Micro_30 (indiv)'!BJ10</f>
        <v>0.7</v>
      </c>
      <c r="BK5" s="65">
        <f>'Micro_30 (indiv)'!BK10</f>
        <v>0.7</v>
      </c>
      <c r="BL5" s="65">
        <f>'Micro_30 (indiv)'!BL10</f>
        <v>0.7</v>
      </c>
      <c r="BM5" s="65">
        <f>'Micro_30 (indiv)'!BM10</f>
        <v>0.7</v>
      </c>
      <c r="BN5" s="65">
        <f>'Micro_30 (indiv)'!BN10</f>
        <v>0.7</v>
      </c>
      <c r="BO5" s="65">
        <f>'Micro_30 (indiv)'!BO10</f>
        <v>0.7</v>
      </c>
      <c r="BP5" s="358">
        <f>BP6/BP3</f>
        <v>0.70000000000000018</v>
      </c>
      <c r="CF5" s="76" t="s">
        <v>951</v>
      </c>
      <c r="CG5" s="285" t="s">
        <v>231</v>
      </c>
    </row>
    <row r="6" spans="1:85">
      <c r="A6" s="4" t="s">
        <v>662</v>
      </c>
      <c r="B6" s="284" t="s">
        <v>496</v>
      </c>
      <c r="D6" s="3">
        <f t="shared" ref="D6:O6" si="0">D3*D5</f>
        <v>0</v>
      </c>
      <c r="E6" s="3">
        <f t="shared" si="0"/>
        <v>0</v>
      </c>
      <c r="F6" s="3">
        <f t="shared" si="0"/>
        <v>0</v>
      </c>
      <c r="G6" s="3">
        <f t="shared" si="0"/>
        <v>0</v>
      </c>
      <c r="H6" s="3">
        <f t="shared" si="0"/>
        <v>0</v>
      </c>
      <c r="I6" s="3">
        <f t="shared" si="0"/>
        <v>0</v>
      </c>
      <c r="J6" s="3">
        <f t="shared" si="0"/>
        <v>6294.3450295487955</v>
      </c>
      <c r="K6" s="3">
        <f t="shared" si="0"/>
        <v>6566.6257381535952</v>
      </c>
      <c r="L6" s="3">
        <f t="shared" si="0"/>
        <v>6838.9064467583967</v>
      </c>
      <c r="M6" s="3">
        <f t="shared" si="0"/>
        <v>7111.1871553631945</v>
      </c>
      <c r="N6" s="3">
        <f t="shared" si="0"/>
        <v>7383.467863967996</v>
      </c>
      <c r="O6" s="3">
        <f t="shared" si="0"/>
        <v>7346.6731736160227</v>
      </c>
      <c r="P6" s="397">
        <f>SUM(D6:O6)</f>
        <v>41541.205407408001</v>
      </c>
      <c r="Q6" s="3">
        <f t="shared" ref="Q6:AB6" si="1">Q3*Q5</f>
        <v>17262.137592373329</v>
      </c>
      <c r="R6" s="3">
        <f t="shared" si="1"/>
        <v>18270.60984119093</v>
      </c>
      <c r="S6" s="3">
        <f t="shared" si="1"/>
        <v>19279.082090008527</v>
      </c>
      <c r="T6" s="3">
        <f t="shared" si="1"/>
        <v>20287.554338826125</v>
      </c>
      <c r="U6" s="3">
        <f t="shared" si="1"/>
        <v>21296.026587643726</v>
      </c>
      <c r="V6" s="3">
        <f t="shared" si="1"/>
        <v>22304.498836461324</v>
      </c>
      <c r="W6" s="3">
        <f t="shared" si="1"/>
        <v>23312.971085278918</v>
      </c>
      <c r="X6" s="3">
        <f t="shared" si="1"/>
        <v>24321.443334096519</v>
      </c>
      <c r="Y6" s="3">
        <f t="shared" si="1"/>
        <v>25329.91558291412</v>
      </c>
      <c r="Z6" s="3">
        <f t="shared" si="1"/>
        <v>26338.387831731718</v>
      </c>
      <c r="AA6" s="3">
        <f t="shared" si="1"/>
        <v>27346.860080549312</v>
      </c>
      <c r="AB6" s="3">
        <f t="shared" si="1"/>
        <v>27210.580046925421</v>
      </c>
      <c r="AC6" s="397">
        <f>SUM(Q6:AB6)</f>
        <v>272560.06724799995</v>
      </c>
      <c r="AD6" s="3">
        <f t="shared" ref="AD6:AO6" si="2">AD3*AD5</f>
        <v>26455.079573887997</v>
      </c>
      <c r="AE6" s="3">
        <f t="shared" si="2"/>
        <v>28000.613170046709</v>
      </c>
      <c r="AF6" s="3">
        <f t="shared" si="2"/>
        <v>29546.146766205435</v>
      </c>
      <c r="AG6" s="3">
        <f t="shared" si="2"/>
        <v>31091.680362364146</v>
      </c>
      <c r="AH6" s="3">
        <f t="shared" si="2"/>
        <v>32637.213958522865</v>
      </c>
      <c r="AI6" s="3">
        <f t="shared" si="2"/>
        <v>34182.747554681584</v>
      </c>
      <c r="AJ6" s="3">
        <f t="shared" si="2"/>
        <v>35728.281150840303</v>
      </c>
      <c r="AK6" s="3">
        <f t="shared" si="2"/>
        <v>37273.814746999014</v>
      </c>
      <c r="AL6" s="3">
        <f t="shared" si="2"/>
        <v>38819.348343157733</v>
      </c>
      <c r="AM6" s="3">
        <f t="shared" si="2"/>
        <v>40364.881939316452</v>
      </c>
      <c r="AN6" s="3">
        <f t="shared" si="2"/>
        <v>41910.415535475178</v>
      </c>
      <c r="AO6" s="3">
        <f t="shared" si="2"/>
        <v>41701.559644102534</v>
      </c>
      <c r="AP6" s="397">
        <f>SUM(AD6:AO6)</f>
        <v>417711.78274559992</v>
      </c>
      <c r="AQ6" s="3">
        <f t="shared" ref="AQ6:BB6" si="3">AQ3*AQ5</f>
        <v>29802.62393019519</v>
      </c>
      <c r="AR6" s="3">
        <f t="shared" si="3"/>
        <v>31543.724591380276</v>
      </c>
      <c r="AS6" s="3">
        <f t="shared" si="3"/>
        <v>33284.825252565359</v>
      </c>
      <c r="AT6" s="3">
        <f t="shared" si="3"/>
        <v>35025.925913750441</v>
      </c>
      <c r="AU6" s="3">
        <f t="shared" si="3"/>
        <v>36767.026574935539</v>
      </c>
      <c r="AV6" s="3">
        <f t="shared" si="3"/>
        <v>38508.127236120614</v>
      </c>
      <c r="AW6" s="3">
        <f t="shared" si="3"/>
        <v>40249.227897305704</v>
      </c>
      <c r="AX6" s="3">
        <f t="shared" si="3"/>
        <v>41990.328558490786</v>
      </c>
      <c r="AY6" s="3">
        <f t="shared" si="3"/>
        <v>43731.429219675876</v>
      </c>
      <c r="AZ6" s="3">
        <f t="shared" si="3"/>
        <v>45472.529880860959</v>
      </c>
      <c r="BA6" s="3">
        <f t="shared" si="3"/>
        <v>47213.630542046041</v>
      </c>
      <c r="BB6" s="3">
        <f t="shared" si="3"/>
        <v>46978.346668913109</v>
      </c>
      <c r="BC6" s="397">
        <f>SUM(AQ6:BB6)</f>
        <v>470567.7462662399</v>
      </c>
      <c r="BD6" s="3">
        <f t="shared" ref="BD6:BO6" si="4">BD3*BD5</f>
        <v>34060.962176722875</v>
      </c>
      <c r="BE6" s="3">
        <f t="shared" si="4"/>
        <v>36050.839440731412</v>
      </c>
      <c r="BF6" s="3">
        <f t="shared" si="4"/>
        <v>38040.716704739956</v>
      </c>
      <c r="BG6" s="3">
        <f t="shared" si="4"/>
        <v>40030.593968748501</v>
      </c>
      <c r="BH6" s="3">
        <f t="shared" si="4"/>
        <v>42020.471232757045</v>
      </c>
      <c r="BI6" s="3">
        <f t="shared" si="4"/>
        <v>44010.34849676559</v>
      </c>
      <c r="BJ6" s="3">
        <f t="shared" si="4"/>
        <v>46000.225760774134</v>
      </c>
      <c r="BK6" s="3">
        <f t="shared" si="4"/>
        <v>47990.103024782678</v>
      </c>
      <c r="BL6" s="3">
        <f t="shared" si="4"/>
        <v>49979.980288791223</v>
      </c>
      <c r="BM6" s="3">
        <f t="shared" si="4"/>
        <v>51969.857552799775</v>
      </c>
      <c r="BN6" s="3">
        <f t="shared" si="4"/>
        <v>53959.734816808319</v>
      </c>
      <c r="BO6" s="3">
        <f t="shared" si="4"/>
        <v>53690.832483834391</v>
      </c>
      <c r="BP6" s="397">
        <f>SUM(BD6:BO6)</f>
        <v>537804.66594825592</v>
      </c>
      <c r="CF6" s="4" t="s">
        <v>1082</v>
      </c>
      <c r="CG6" s="13" t="s">
        <v>394</v>
      </c>
    </row>
    <row r="7" spans="1:85" s="65" customFormat="1">
      <c r="A7" s="76" t="s">
        <v>661</v>
      </c>
      <c r="B7" s="285" t="s">
        <v>231</v>
      </c>
      <c r="C7" s="40"/>
      <c r="D7" s="65">
        <f>'Micro_30 (indiv)'!D12</f>
        <v>1</v>
      </c>
      <c r="E7" s="65">
        <f>'Micro_30 (indiv)'!E12</f>
        <v>1</v>
      </c>
      <c r="F7" s="65">
        <f>'Micro_30 (indiv)'!F12</f>
        <v>1</v>
      </c>
      <c r="G7" s="65">
        <f>'Micro_30 (indiv)'!G12</f>
        <v>1</v>
      </c>
      <c r="H7" s="65">
        <f>'Micro_30 (indiv)'!H12</f>
        <v>1</v>
      </c>
      <c r="I7" s="65">
        <f>'Micro_30 (indiv)'!I12</f>
        <v>1</v>
      </c>
      <c r="J7" s="65">
        <f>'Micro_30 (indiv)'!J12</f>
        <v>1</v>
      </c>
      <c r="K7" s="65">
        <f>'Micro_30 (indiv)'!K12</f>
        <v>1</v>
      </c>
      <c r="L7" s="65">
        <f>'Micro_30 (indiv)'!L12</f>
        <v>1</v>
      </c>
      <c r="M7" s="65">
        <f>'Micro_30 (indiv)'!M12</f>
        <v>1</v>
      </c>
      <c r="N7" s="65">
        <f>'Micro_30 (indiv)'!N12</f>
        <v>1</v>
      </c>
      <c r="O7" s="65">
        <f>'Micro_30 (indiv)'!O12</f>
        <v>1</v>
      </c>
      <c r="P7" s="358">
        <f>P8/P6</f>
        <v>1</v>
      </c>
      <c r="Q7" s="65">
        <f>'Micro_30 (indiv)'!Q12</f>
        <v>1</v>
      </c>
      <c r="R7" s="65">
        <f>'Micro_30 (indiv)'!R12</f>
        <v>1</v>
      </c>
      <c r="S7" s="65">
        <f>'Micro_30 (indiv)'!S12</f>
        <v>1</v>
      </c>
      <c r="T7" s="65">
        <f>'Micro_30 (indiv)'!T12</f>
        <v>1</v>
      </c>
      <c r="U7" s="65">
        <f>'Micro_30 (indiv)'!U12</f>
        <v>1</v>
      </c>
      <c r="V7" s="65">
        <f>'Micro_30 (indiv)'!V12</f>
        <v>1</v>
      </c>
      <c r="W7" s="65">
        <f>'Micro_30 (indiv)'!W12</f>
        <v>1</v>
      </c>
      <c r="X7" s="65">
        <f>'Micro_30 (indiv)'!X12</f>
        <v>1</v>
      </c>
      <c r="Y7" s="65">
        <f>'Micro_30 (indiv)'!Y12</f>
        <v>1</v>
      </c>
      <c r="Z7" s="65">
        <f>'Micro_30 (indiv)'!Z12</f>
        <v>1</v>
      </c>
      <c r="AA7" s="65">
        <f>'Micro_30 (indiv)'!AA12</f>
        <v>1</v>
      </c>
      <c r="AB7" s="65">
        <f>'Micro_30 (indiv)'!AB12</f>
        <v>1</v>
      </c>
      <c r="AC7" s="358">
        <f>AC8/AC6</f>
        <v>1</v>
      </c>
      <c r="AD7" s="65">
        <f>'Micro_30 (indiv)'!AD12</f>
        <v>1</v>
      </c>
      <c r="AE7" s="65">
        <f>'Micro_30 (indiv)'!AE12</f>
        <v>1</v>
      </c>
      <c r="AF7" s="65">
        <f>'Micro_30 (indiv)'!AF12</f>
        <v>1</v>
      </c>
      <c r="AG7" s="65">
        <f>'Micro_30 (indiv)'!AG12</f>
        <v>1</v>
      </c>
      <c r="AH7" s="65">
        <f>'Micro_30 (indiv)'!AH12</f>
        <v>1</v>
      </c>
      <c r="AI7" s="65">
        <f>'Micro_30 (indiv)'!AI12</f>
        <v>1</v>
      </c>
      <c r="AJ7" s="65">
        <f>'Micro_30 (indiv)'!AJ12</f>
        <v>1</v>
      </c>
      <c r="AK7" s="65">
        <f>'Micro_30 (indiv)'!AK12</f>
        <v>1</v>
      </c>
      <c r="AL7" s="65">
        <f>'Micro_30 (indiv)'!AL12</f>
        <v>1</v>
      </c>
      <c r="AM7" s="65">
        <f>'Micro_30 (indiv)'!AM12</f>
        <v>1</v>
      </c>
      <c r="AN7" s="65">
        <f>'Micro_30 (indiv)'!AN12</f>
        <v>1</v>
      </c>
      <c r="AO7" s="65">
        <f>'Micro_30 (indiv)'!AO12</f>
        <v>1</v>
      </c>
      <c r="AP7" s="358">
        <f>AP8/AP6</f>
        <v>1</v>
      </c>
      <c r="AQ7" s="65">
        <f>'Micro_30 (indiv)'!AQ12</f>
        <v>1</v>
      </c>
      <c r="AR7" s="65">
        <f>'Micro_30 (indiv)'!AR12</f>
        <v>1</v>
      </c>
      <c r="AS7" s="65">
        <f>'Micro_30 (indiv)'!AS12</f>
        <v>1</v>
      </c>
      <c r="AT7" s="65">
        <f>'Micro_30 (indiv)'!AT12</f>
        <v>1</v>
      </c>
      <c r="AU7" s="65">
        <f>'Micro_30 (indiv)'!AU12</f>
        <v>1</v>
      </c>
      <c r="AV7" s="65">
        <f>'Micro_30 (indiv)'!AV12</f>
        <v>1</v>
      </c>
      <c r="AW7" s="65">
        <f>'Micro_30 (indiv)'!AW12</f>
        <v>1</v>
      </c>
      <c r="AX7" s="65">
        <f>'Micro_30 (indiv)'!AX12</f>
        <v>1</v>
      </c>
      <c r="AY7" s="65">
        <f>'Micro_30 (indiv)'!AY12</f>
        <v>1</v>
      </c>
      <c r="AZ7" s="65">
        <f>'Micro_30 (indiv)'!AZ12</f>
        <v>1</v>
      </c>
      <c r="BA7" s="65">
        <f>'Micro_30 (indiv)'!BA12</f>
        <v>1</v>
      </c>
      <c r="BB7" s="65">
        <f>'Micro_30 (indiv)'!BB12</f>
        <v>1</v>
      </c>
      <c r="BC7" s="358">
        <f>BC8/BC6</f>
        <v>1</v>
      </c>
      <c r="BD7" s="65">
        <f>'Micro_30 (indiv)'!BD12</f>
        <v>1</v>
      </c>
      <c r="BE7" s="65">
        <f>'Micro_30 (indiv)'!BE12</f>
        <v>1</v>
      </c>
      <c r="BF7" s="65">
        <f>'Micro_30 (indiv)'!BF12</f>
        <v>1</v>
      </c>
      <c r="BG7" s="65">
        <f>'Micro_30 (indiv)'!BG12</f>
        <v>1</v>
      </c>
      <c r="BH7" s="65">
        <f>'Micro_30 (indiv)'!BH12</f>
        <v>1</v>
      </c>
      <c r="BI7" s="65">
        <f>'Micro_30 (indiv)'!BI12</f>
        <v>1</v>
      </c>
      <c r="BJ7" s="65">
        <f>'Micro_30 (indiv)'!BJ12</f>
        <v>1</v>
      </c>
      <c r="BK7" s="65">
        <f>'Micro_30 (indiv)'!BK12</f>
        <v>1</v>
      </c>
      <c r="BL7" s="65">
        <f>'Micro_30 (indiv)'!BL12</f>
        <v>1</v>
      </c>
      <c r="BM7" s="65">
        <f>'Micro_30 (indiv)'!BM12</f>
        <v>1</v>
      </c>
      <c r="BN7" s="65">
        <f>'Micro_30 (indiv)'!BN12</f>
        <v>1</v>
      </c>
      <c r="BO7" s="65">
        <f>'Micro_30 (indiv)'!BO12</f>
        <v>1</v>
      </c>
      <c r="BP7" s="358">
        <f>BP8/BP6</f>
        <v>1</v>
      </c>
      <c r="CF7" s="76" t="s">
        <v>954</v>
      </c>
      <c r="CG7" s="285" t="s">
        <v>231</v>
      </c>
    </row>
    <row r="8" spans="1:85">
      <c r="A8" s="4" t="s">
        <v>660</v>
      </c>
      <c r="B8" s="284" t="s">
        <v>496</v>
      </c>
      <c r="D8" s="3">
        <f t="shared" ref="D8:O8" si="5">D6*D7</f>
        <v>0</v>
      </c>
      <c r="E8" s="3">
        <f t="shared" si="5"/>
        <v>0</v>
      </c>
      <c r="F8" s="3">
        <f t="shared" si="5"/>
        <v>0</v>
      </c>
      <c r="G8" s="3">
        <f t="shared" si="5"/>
        <v>0</v>
      </c>
      <c r="H8" s="3">
        <f t="shared" si="5"/>
        <v>0</v>
      </c>
      <c r="I8" s="3">
        <f t="shared" si="5"/>
        <v>0</v>
      </c>
      <c r="J8" s="3">
        <f t="shared" si="5"/>
        <v>6294.3450295487955</v>
      </c>
      <c r="K8" s="3">
        <f t="shared" si="5"/>
        <v>6566.6257381535952</v>
      </c>
      <c r="L8" s="3">
        <f t="shared" si="5"/>
        <v>6838.9064467583967</v>
      </c>
      <c r="M8" s="3">
        <f t="shared" si="5"/>
        <v>7111.1871553631945</v>
      </c>
      <c r="N8" s="3">
        <f t="shared" si="5"/>
        <v>7383.467863967996</v>
      </c>
      <c r="O8" s="3">
        <f t="shared" si="5"/>
        <v>7346.6731736160227</v>
      </c>
      <c r="P8" s="397">
        <f>SUM(D8:O8)</f>
        <v>41541.205407408001</v>
      </c>
      <c r="Q8" s="3">
        <f t="shared" ref="Q8:AB8" si="6">Q6*Q7</f>
        <v>17262.137592373329</v>
      </c>
      <c r="R8" s="3">
        <f t="shared" si="6"/>
        <v>18270.60984119093</v>
      </c>
      <c r="S8" s="3">
        <f t="shared" si="6"/>
        <v>19279.082090008527</v>
      </c>
      <c r="T8" s="3">
        <f t="shared" si="6"/>
        <v>20287.554338826125</v>
      </c>
      <c r="U8" s="3">
        <f t="shared" si="6"/>
        <v>21296.026587643726</v>
      </c>
      <c r="V8" s="3">
        <f t="shared" si="6"/>
        <v>22304.498836461324</v>
      </c>
      <c r="W8" s="3">
        <f t="shared" si="6"/>
        <v>23312.971085278918</v>
      </c>
      <c r="X8" s="3">
        <f t="shared" si="6"/>
        <v>24321.443334096519</v>
      </c>
      <c r="Y8" s="3">
        <f t="shared" si="6"/>
        <v>25329.91558291412</v>
      </c>
      <c r="Z8" s="3">
        <f t="shared" si="6"/>
        <v>26338.387831731718</v>
      </c>
      <c r="AA8" s="3">
        <f t="shared" si="6"/>
        <v>27346.860080549312</v>
      </c>
      <c r="AB8" s="3">
        <f t="shared" si="6"/>
        <v>27210.580046925421</v>
      </c>
      <c r="AC8" s="397">
        <f>SUM(Q8:AB8)</f>
        <v>272560.06724799995</v>
      </c>
      <c r="AD8" s="3">
        <f t="shared" ref="AD8:AO8" si="7">AD6*AD7</f>
        <v>26455.079573887997</v>
      </c>
      <c r="AE8" s="3">
        <f t="shared" si="7"/>
        <v>28000.613170046709</v>
      </c>
      <c r="AF8" s="3">
        <f t="shared" si="7"/>
        <v>29546.146766205435</v>
      </c>
      <c r="AG8" s="3">
        <f t="shared" si="7"/>
        <v>31091.680362364146</v>
      </c>
      <c r="AH8" s="3">
        <f t="shared" si="7"/>
        <v>32637.213958522865</v>
      </c>
      <c r="AI8" s="3">
        <f t="shared" si="7"/>
        <v>34182.747554681584</v>
      </c>
      <c r="AJ8" s="3">
        <f t="shared" si="7"/>
        <v>35728.281150840303</v>
      </c>
      <c r="AK8" s="3">
        <f t="shared" si="7"/>
        <v>37273.814746999014</v>
      </c>
      <c r="AL8" s="3">
        <f t="shared" si="7"/>
        <v>38819.348343157733</v>
      </c>
      <c r="AM8" s="3">
        <f t="shared" si="7"/>
        <v>40364.881939316452</v>
      </c>
      <c r="AN8" s="3">
        <f t="shared" si="7"/>
        <v>41910.415535475178</v>
      </c>
      <c r="AO8" s="3">
        <f t="shared" si="7"/>
        <v>41701.559644102534</v>
      </c>
      <c r="AP8" s="397">
        <f>SUM(AD8:AO8)</f>
        <v>417711.78274559992</v>
      </c>
      <c r="AQ8" s="3">
        <f t="shared" ref="AQ8:BB8" si="8">AQ6*AQ7</f>
        <v>29802.62393019519</v>
      </c>
      <c r="AR8" s="3">
        <f t="shared" si="8"/>
        <v>31543.724591380276</v>
      </c>
      <c r="AS8" s="3">
        <f t="shared" si="8"/>
        <v>33284.825252565359</v>
      </c>
      <c r="AT8" s="3">
        <f t="shared" si="8"/>
        <v>35025.925913750441</v>
      </c>
      <c r="AU8" s="3">
        <f t="shared" si="8"/>
        <v>36767.026574935539</v>
      </c>
      <c r="AV8" s="3">
        <f t="shared" si="8"/>
        <v>38508.127236120614</v>
      </c>
      <c r="AW8" s="3">
        <f t="shared" si="8"/>
        <v>40249.227897305704</v>
      </c>
      <c r="AX8" s="3">
        <f t="shared" si="8"/>
        <v>41990.328558490786</v>
      </c>
      <c r="AY8" s="3">
        <f t="shared" si="8"/>
        <v>43731.429219675876</v>
      </c>
      <c r="AZ8" s="3">
        <f t="shared" si="8"/>
        <v>45472.529880860959</v>
      </c>
      <c r="BA8" s="3">
        <f t="shared" si="8"/>
        <v>47213.630542046041</v>
      </c>
      <c r="BB8" s="3">
        <f t="shared" si="8"/>
        <v>46978.346668913109</v>
      </c>
      <c r="BC8" s="397">
        <f>SUM(AQ8:BB8)</f>
        <v>470567.7462662399</v>
      </c>
      <c r="BD8" s="3">
        <f t="shared" ref="BD8:BO8" si="9">BD6*BD7</f>
        <v>34060.962176722875</v>
      </c>
      <c r="BE8" s="3">
        <f t="shared" si="9"/>
        <v>36050.839440731412</v>
      </c>
      <c r="BF8" s="3">
        <f t="shared" si="9"/>
        <v>38040.716704739956</v>
      </c>
      <c r="BG8" s="3">
        <f t="shared" si="9"/>
        <v>40030.593968748501</v>
      </c>
      <c r="BH8" s="3">
        <f t="shared" si="9"/>
        <v>42020.471232757045</v>
      </c>
      <c r="BI8" s="3">
        <f t="shared" si="9"/>
        <v>44010.34849676559</v>
      </c>
      <c r="BJ8" s="3">
        <f t="shared" si="9"/>
        <v>46000.225760774134</v>
      </c>
      <c r="BK8" s="3">
        <f t="shared" si="9"/>
        <v>47990.103024782678</v>
      </c>
      <c r="BL8" s="3">
        <f t="shared" si="9"/>
        <v>49979.980288791223</v>
      </c>
      <c r="BM8" s="3">
        <f t="shared" si="9"/>
        <v>51969.857552799775</v>
      </c>
      <c r="BN8" s="3">
        <f t="shared" si="9"/>
        <v>53959.734816808319</v>
      </c>
      <c r="BO8" s="3">
        <f t="shared" si="9"/>
        <v>53690.832483834391</v>
      </c>
      <c r="BP8" s="397">
        <f>SUM(BD8:BO8)</f>
        <v>537804.66594825592</v>
      </c>
      <c r="CF8" s="3" t="s">
        <v>955</v>
      </c>
      <c r="CG8" s="13" t="s">
        <v>394</v>
      </c>
    </row>
    <row r="9" spans="1:85" s="65" customFormat="1">
      <c r="A9" s="76" t="s">
        <v>731</v>
      </c>
      <c r="B9" s="285" t="s">
        <v>231</v>
      </c>
      <c r="C9" s="40"/>
      <c r="D9" s="65">
        <f>'Micro_30 (indiv)'!D14</f>
        <v>0.95</v>
      </c>
      <c r="E9" s="65">
        <f>'Micro_30 (indiv)'!E14</f>
        <v>0.95</v>
      </c>
      <c r="F9" s="65">
        <f>'Micro_30 (indiv)'!F14</f>
        <v>0.95</v>
      </c>
      <c r="G9" s="65">
        <f>'Micro_30 (indiv)'!G14</f>
        <v>0.95</v>
      </c>
      <c r="H9" s="65">
        <f>'Micro_30 (indiv)'!H14</f>
        <v>0.95</v>
      </c>
      <c r="I9" s="65">
        <f>'Micro_30 (indiv)'!I14</f>
        <v>0.95</v>
      </c>
      <c r="J9" s="65">
        <f>'Micro_30 (indiv)'!J14</f>
        <v>0.95</v>
      </c>
      <c r="K9" s="65">
        <f>'Micro_30 (indiv)'!K14</f>
        <v>0.95</v>
      </c>
      <c r="L9" s="65">
        <f>'Micro_30 (indiv)'!L14</f>
        <v>0.95</v>
      </c>
      <c r="M9" s="65">
        <f>'Micro_30 (indiv)'!M14</f>
        <v>0.95</v>
      </c>
      <c r="N9" s="65">
        <f>'Micro_30 (indiv)'!N14</f>
        <v>0.95</v>
      </c>
      <c r="O9" s="65">
        <f>'Micro_30 (indiv)'!O14</f>
        <v>0.95</v>
      </c>
      <c r="P9" s="358">
        <f>P10/P3</f>
        <v>0.95000000000000007</v>
      </c>
      <c r="Q9" s="65">
        <f>'Micro_30 (indiv)'!Q14</f>
        <v>0.95</v>
      </c>
      <c r="R9" s="65">
        <f>'Micro_30 (indiv)'!R14</f>
        <v>0.95</v>
      </c>
      <c r="S9" s="65">
        <f>'Micro_30 (indiv)'!S14</f>
        <v>0.95</v>
      </c>
      <c r="T9" s="65">
        <f>'Micro_30 (indiv)'!T14</f>
        <v>0.95</v>
      </c>
      <c r="U9" s="65">
        <f>'Micro_30 (indiv)'!U14</f>
        <v>0.95</v>
      </c>
      <c r="V9" s="65">
        <f>'Micro_30 (indiv)'!V14</f>
        <v>0.95</v>
      </c>
      <c r="W9" s="65">
        <f>'Micro_30 (indiv)'!W14</f>
        <v>0.95</v>
      </c>
      <c r="X9" s="65">
        <f>'Micro_30 (indiv)'!X14</f>
        <v>0.95</v>
      </c>
      <c r="Y9" s="65">
        <f>'Micro_30 (indiv)'!Y14</f>
        <v>0.95</v>
      </c>
      <c r="Z9" s="65">
        <f>'Micro_30 (indiv)'!Z14</f>
        <v>0.95</v>
      </c>
      <c r="AA9" s="65">
        <f>'Micro_30 (indiv)'!AA14</f>
        <v>0.95</v>
      </c>
      <c r="AB9" s="65">
        <f>'Micro_30 (indiv)'!AB14</f>
        <v>0.95</v>
      </c>
      <c r="AC9" s="358">
        <f>AC10/AC3</f>
        <v>0.95</v>
      </c>
      <c r="AD9" s="65">
        <f>'Micro_30 (indiv)'!AD14</f>
        <v>0.95</v>
      </c>
      <c r="AE9" s="65">
        <f>'Micro_30 (indiv)'!AE14</f>
        <v>0.95</v>
      </c>
      <c r="AF9" s="65">
        <f>'Micro_30 (indiv)'!AF14</f>
        <v>0.95</v>
      </c>
      <c r="AG9" s="65">
        <f>'Micro_30 (indiv)'!AG14</f>
        <v>0.95</v>
      </c>
      <c r="AH9" s="65">
        <f>'Micro_30 (indiv)'!AH14</f>
        <v>0.95</v>
      </c>
      <c r="AI9" s="65">
        <f>'Micro_30 (indiv)'!AI14</f>
        <v>0.95</v>
      </c>
      <c r="AJ9" s="65">
        <f>'Micro_30 (indiv)'!AJ14</f>
        <v>0.95</v>
      </c>
      <c r="AK9" s="65">
        <f>'Micro_30 (indiv)'!AK14</f>
        <v>0.95</v>
      </c>
      <c r="AL9" s="65">
        <f>'Micro_30 (indiv)'!AL14</f>
        <v>0.95</v>
      </c>
      <c r="AM9" s="65">
        <f>'Micro_30 (indiv)'!AM14</f>
        <v>0.95</v>
      </c>
      <c r="AN9" s="65">
        <f>'Micro_30 (indiv)'!AN14</f>
        <v>0.95</v>
      </c>
      <c r="AO9" s="65">
        <f>'Micro_30 (indiv)'!AO14</f>
        <v>0.95</v>
      </c>
      <c r="AP9" s="358">
        <f>AP10/AP3</f>
        <v>0.95000000000000018</v>
      </c>
      <c r="AQ9" s="65">
        <f>'Micro_30 (indiv)'!AQ14</f>
        <v>0.95</v>
      </c>
      <c r="AR9" s="65">
        <f>'Micro_30 (indiv)'!AR14</f>
        <v>0.95</v>
      </c>
      <c r="AS9" s="65">
        <f>'Micro_30 (indiv)'!AS14</f>
        <v>0.95</v>
      </c>
      <c r="AT9" s="65">
        <f>'Micro_30 (indiv)'!AT14</f>
        <v>0.95</v>
      </c>
      <c r="AU9" s="65">
        <f>'Micro_30 (indiv)'!AU14</f>
        <v>0.95</v>
      </c>
      <c r="AV9" s="65">
        <f>'Micro_30 (indiv)'!AV14</f>
        <v>0.95</v>
      </c>
      <c r="AW9" s="65">
        <f>'Micro_30 (indiv)'!AW14</f>
        <v>0.95</v>
      </c>
      <c r="AX9" s="65">
        <f>'Micro_30 (indiv)'!AX14</f>
        <v>0.95</v>
      </c>
      <c r="AY9" s="65">
        <f>'Micro_30 (indiv)'!AY14</f>
        <v>0.95</v>
      </c>
      <c r="AZ9" s="65">
        <f>'Micro_30 (indiv)'!AZ14</f>
        <v>0.95</v>
      </c>
      <c r="BA9" s="65">
        <f>'Micro_30 (indiv)'!BA14</f>
        <v>0.95</v>
      </c>
      <c r="BB9" s="65">
        <f>'Micro_30 (indiv)'!BB14</f>
        <v>0.95</v>
      </c>
      <c r="BC9" s="358">
        <f>BC10/BC3</f>
        <v>0.95</v>
      </c>
      <c r="BD9" s="65">
        <f>'Micro_30 (indiv)'!BD14</f>
        <v>0.95</v>
      </c>
      <c r="BE9" s="65">
        <f>'Micro_30 (indiv)'!BE14</f>
        <v>0.95</v>
      </c>
      <c r="BF9" s="65">
        <f>'Micro_30 (indiv)'!BF14</f>
        <v>0.95</v>
      </c>
      <c r="BG9" s="65">
        <f>'Micro_30 (indiv)'!BG14</f>
        <v>0.95</v>
      </c>
      <c r="BH9" s="65">
        <f>'Micro_30 (indiv)'!BH14</f>
        <v>0.95</v>
      </c>
      <c r="BI9" s="65">
        <f>'Micro_30 (indiv)'!BI14</f>
        <v>0.95</v>
      </c>
      <c r="BJ9" s="65">
        <f>'Micro_30 (indiv)'!BJ14</f>
        <v>0.95</v>
      </c>
      <c r="BK9" s="65">
        <f>'Micro_30 (indiv)'!BK14</f>
        <v>0.95</v>
      </c>
      <c r="BL9" s="65">
        <f>'Micro_30 (indiv)'!BL14</f>
        <v>0.95</v>
      </c>
      <c r="BM9" s="65">
        <f>'Micro_30 (indiv)'!BM14</f>
        <v>0.95</v>
      </c>
      <c r="BN9" s="65">
        <f>'Micro_30 (indiv)'!BN14</f>
        <v>0.95</v>
      </c>
      <c r="BO9" s="65">
        <f>'Micro_30 (indiv)'!BO14</f>
        <v>0.95</v>
      </c>
      <c r="BP9" s="358">
        <f>BP10/BP3</f>
        <v>0.95000000000000018</v>
      </c>
      <c r="CF9" s="76" t="str">
        <f>'Installment card_1000 (indiv)'!CF14</f>
        <v>% activation</v>
      </c>
      <c r="CG9" s="285" t="s">
        <v>231</v>
      </c>
    </row>
    <row r="10" spans="1:85">
      <c r="A10" s="4" t="s">
        <v>659</v>
      </c>
      <c r="B10" s="284" t="s">
        <v>496</v>
      </c>
      <c r="D10" s="3">
        <f t="shared" ref="D10:O10" si="10">D3*D9</f>
        <v>0</v>
      </c>
      <c r="E10" s="3">
        <f t="shared" si="10"/>
        <v>0</v>
      </c>
      <c r="F10" s="3">
        <f t="shared" si="10"/>
        <v>0</v>
      </c>
      <c r="G10" s="3">
        <f t="shared" si="10"/>
        <v>0</v>
      </c>
      <c r="H10" s="3">
        <f t="shared" si="10"/>
        <v>0</v>
      </c>
      <c r="I10" s="3">
        <f t="shared" si="10"/>
        <v>0</v>
      </c>
      <c r="J10" s="3">
        <f t="shared" si="10"/>
        <v>8542.3253972447947</v>
      </c>
      <c r="K10" s="3">
        <f t="shared" si="10"/>
        <v>8911.8492160655933</v>
      </c>
      <c r="L10" s="3">
        <f t="shared" si="10"/>
        <v>9281.3730348863955</v>
      </c>
      <c r="M10" s="3">
        <f t="shared" si="10"/>
        <v>9650.8968537071923</v>
      </c>
      <c r="N10" s="3">
        <f t="shared" si="10"/>
        <v>10020.420672527995</v>
      </c>
      <c r="O10" s="3">
        <f t="shared" si="10"/>
        <v>9970.4850213360314</v>
      </c>
      <c r="P10" s="397">
        <f>SUM(D10:O10)</f>
        <v>56377.350195768006</v>
      </c>
      <c r="Q10" s="3">
        <f t="shared" ref="Q10:AB10" si="11">Q3*Q9</f>
        <v>23427.18673250666</v>
      </c>
      <c r="R10" s="3">
        <f t="shared" si="11"/>
        <v>24795.827641616259</v>
      </c>
      <c r="S10" s="3">
        <f t="shared" si="11"/>
        <v>26164.468550725858</v>
      </c>
      <c r="T10" s="3">
        <f t="shared" si="11"/>
        <v>27533.109459835458</v>
      </c>
      <c r="U10" s="3">
        <f t="shared" si="11"/>
        <v>28901.750368945057</v>
      </c>
      <c r="V10" s="3">
        <f t="shared" si="11"/>
        <v>30270.391278054656</v>
      </c>
      <c r="W10" s="3">
        <f t="shared" si="11"/>
        <v>31639.032187164248</v>
      </c>
      <c r="X10" s="3">
        <f t="shared" si="11"/>
        <v>33007.673096273844</v>
      </c>
      <c r="Y10" s="3">
        <f t="shared" si="11"/>
        <v>34376.31400538345</v>
      </c>
      <c r="Z10" s="3">
        <f t="shared" si="11"/>
        <v>35744.95491449305</v>
      </c>
      <c r="AA10" s="3">
        <f t="shared" si="11"/>
        <v>37113.595823602642</v>
      </c>
      <c r="AB10" s="3">
        <f t="shared" si="11"/>
        <v>36928.64434939879</v>
      </c>
      <c r="AC10" s="397">
        <f>SUM(Q10:AB10)</f>
        <v>369902.94840799994</v>
      </c>
      <c r="AD10" s="3">
        <f t="shared" ref="AD10:AO10" si="12">AD3*AD9</f>
        <v>35903.322278847998</v>
      </c>
      <c r="AE10" s="3">
        <f t="shared" si="12"/>
        <v>38000.832159349105</v>
      </c>
      <c r="AF10" s="3">
        <f t="shared" si="12"/>
        <v>40098.342039850235</v>
      </c>
      <c r="AG10" s="3">
        <f t="shared" si="12"/>
        <v>42195.851920351342</v>
      </c>
      <c r="AH10" s="3">
        <f t="shared" si="12"/>
        <v>44293.361800852465</v>
      </c>
      <c r="AI10" s="3">
        <f t="shared" si="12"/>
        <v>46390.871681353579</v>
      </c>
      <c r="AJ10" s="3">
        <f t="shared" si="12"/>
        <v>48488.381561854701</v>
      </c>
      <c r="AK10" s="3">
        <f t="shared" si="12"/>
        <v>50585.891442355809</v>
      </c>
      <c r="AL10" s="3">
        <f t="shared" si="12"/>
        <v>52683.401322856931</v>
      </c>
      <c r="AM10" s="3">
        <f t="shared" si="12"/>
        <v>54780.911203358046</v>
      </c>
      <c r="AN10" s="3">
        <f t="shared" si="12"/>
        <v>56878.421083859175</v>
      </c>
      <c r="AO10" s="3">
        <f t="shared" si="12"/>
        <v>56594.973802710585</v>
      </c>
      <c r="AP10" s="397">
        <f>SUM(AD10:AO10)</f>
        <v>566894.56229759997</v>
      </c>
      <c r="AQ10" s="3">
        <f t="shared" ref="AQ10:BB10" si="13">AQ3*AQ9</f>
        <v>40446.418190979188</v>
      </c>
      <c r="AR10" s="3">
        <f t="shared" si="13"/>
        <v>42809.340516873235</v>
      </c>
      <c r="AS10" s="3">
        <f t="shared" si="13"/>
        <v>45172.262842767275</v>
      </c>
      <c r="AT10" s="3">
        <f t="shared" si="13"/>
        <v>47535.185168661315</v>
      </c>
      <c r="AU10" s="3">
        <f t="shared" si="13"/>
        <v>49898.10749455537</v>
      </c>
      <c r="AV10" s="3">
        <f t="shared" si="13"/>
        <v>52261.02982044941</v>
      </c>
      <c r="AW10" s="3">
        <f t="shared" si="13"/>
        <v>54623.952146343458</v>
      </c>
      <c r="AX10" s="3">
        <f t="shared" si="13"/>
        <v>56986.87447223749</v>
      </c>
      <c r="AY10" s="3">
        <f t="shared" si="13"/>
        <v>59349.796798131545</v>
      </c>
      <c r="AZ10" s="3">
        <f t="shared" si="13"/>
        <v>61712.719124025585</v>
      </c>
      <c r="BA10" s="3">
        <f t="shared" si="13"/>
        <v>64075.641449919633</v>
      </c>
      <c r="BB10" s="3">
        <f t="shared" si="13"/>
        <v>63756.32762209636</v>
      </c>
      <c r="BC10" s="397">
        <f>SUM(AQ10:BB10)</f>
        <v>638627.65564704</v>
      </c>
      <c r="BD10" s="3">
        <f t="shared" ref="BD10:BO10" si="14">BD3*BD9</f>
        <v>46225.591525552467</v>
      </c>
      <c r="BE10" s="3">
        <f t="shared" si="14"/>
        <v>48926.139240992634</v>
      </c>
      <c r="BF10" s="3">
        <f t="shared" si="14"/>
        <v>51626.686956432801</v>
      </c>
      <c r="BG10" s="3">
        <f t="shared" si="14"/>
        <v>54327.234671872968</v>
      </c>
      <c r="BH10" s="3">
        <f t="shared" si="14"/>
        <v>57027.782387313135</v>
      </c>
      <c r="BI10" s="3">
        <f t="shared" si="14"/>
        <v>59728.330102753302</v>
      </c>
      <c r="BJ10" s="3">
        <f t="shared" si="14"/>
        <v>62428.877818193469</v>
      </c>
      <c r="BK10" s="3">
        <f t="shared" si="14"/>
        <v>65129.425533633635</v>
      </c>
      <c r="BL10" s="3">
        <f t="shared" si="14"/>
        <v>67829.973249073795</v>
      </c>
      <c r="BM10" s="3">
        <f t="shared" si="14"/>
        <v>70530.520964513984</v>
      </c>
      <c r="BN10" s="3">
        <f t="shared" si="14"/>
        <v>73231.068679954144</v>
      </c>
      <c r="BO10" s="3">
        <f t="shared" si="14"/>
        <v>72866.129799489529</v>
      </c>
      <c r="BP10" s="397">
        <f>SUM(BD10:BO10)</f>
        <v>729877.76092977577</v>
      </c>
      <c r="CF10" s="3" t="str">
        <f>'Installment card_1000 (indiv)'!CF15</f>
        <v>Cards activated during the period</v>
      </c>
      <c r="CG10" s="13" t="s">
        <v>394</v>
      </c>
    </row>
    <row r="11" spans="1:85" s="65" customFormat="1">
      <c r="A11" s="76" t="s">
        <v>658</v>
      </c>
      <c r="B11" s="285" t="s">
        <v>231</v>
      </c>
      <c r="C11" s="40"/>
      <c r="D11" s="65">
        <f>'Micro_30 (indiv)'!D16</f>
        <v>-1E-3</v>
      </c>
      <c r="E11" s="65">
        <f>'Micro_30 (indiv)'!E16</f>
        <v>-1.5E-3</v>
      </c>
      <c r="F11" s="65">
        <f>'Micro_30 (indiv)'!F16</f>
        <v>-2E-3</v>
      </c>
      <c r="G11" s="65">
        <f>'Micro_30 (indiv)'!G16</f>
        <v>-2.5000000000000001E-3</v>
      </c>
      <c r="H11" s="65">
        <f>'Micro_30 (indiv)'!H16</f>
        <v>-3.0000000000000001E-3</v>
      </c>
      <c r="I11" s="65">
        <f>'Micro_30 (indiv)'!I16</f>
        <v>-3.5000000000000001E-3</v>
      </c>
      <c r="J11" s="65">
        <f>'Micro_30 (indiv)'!J16</f>
        <v>-4.0000000000000001E-3</v>
      </c>
      <c r="K11" s="65">
        <f>'Micro_30 (indiv)'!K16</f>
        <v>-4.5000000000000005E-3</v>
      </c>
      <c r="L11" s="65">
        <f>'Micro_30 (indiv)'!L16</f>
        <v>-5.000000000000001E-3</v>
      </c>
      <c r="M11" s="65">
        <f>'Micro_30 (indiv)'!M16</f>
        <v>-5.5000000000000014E-3</v>
      </c>
      <c r="N11" s="65">
        <f>'Micro_30 (indiv)'!N16</f>
        <v>-6.0000000000000019E-3</v>
      </c>
      <c r="O11" s="65">
        <f>'Micro_30 (indiv)'!O16</f>
        <v>-6.5000000000000023E-3</v>
      </c>
      <c r="P11" s="358"/>
      <c r="Q11" s="65">
        <f>'Micro_30 (indiv)'!Q16</f>
        <v>-7.0000000000000027E-3</v>
      </c>
      <c r="R11" s="65">
        <f>'Micro_30 (indiv)'!R16</f>
        <v>-7.5000000000000032E-3</v>
      </c>
      <c r="S11" s="65">
        <f>'Micro_30 (indiv)'!S16</f>
        <v>-8.0000000000000036E-3</v>
      </c>
      <c r="T11" s="65">
        <f>'Micro_30 (indiv)'!T16</f>
        <v>-8.5000000000000041E-3</v>
      </c>
      <c r="U11" s="65">
        <f>'Micro_30 (indiv)'!U16</f>
        <v>-9.0000000000000045E-3</v>
      </c>
      <c r="V11" s="65">
        <f>'Micro_30 (indiv)'!V16</f>
        <v>-9.500000000000005E-3</v>
      </c>
      <c r="W11" s="65">
        <f>'Micro_30 (indiv)'!W16</f>
        <v>-1.0000000000000005E-2</v>
      </c>
      <c r="X11" s="65">
        <f>'Micro_30 (indiv)'!X16</f>
        <v>-1.0500000000000006E-2</v>
      </c>
      <c r="Y11" s="65">
        <f>'Micro_30 (indiv)'!Y16</f>
        <v>-1.1000000000000006E-2</v>
      </c>
      <c r="Z11" s="65">
        <f>'Micro_30 (indiv)'!Z16</f>
        <v>-1.1500000000000007E-2</v>
      </c>
      <c r="AA11" s="65">
        <f>'Micro_30 (indiv)'!AA16</f>
        <v>-1.2000000000000007E-2</v>
      </c>
      <c r="AB11" s="65">
        <f>'Micro_30 (indiv)'!AB16</f>
        <v>-1.2500000000000008E-2</v>
      </c>
      <c r="AC11" s="358"/>
      <c r="AD11" s="65">
        <f>'Micro_30 (indiv)'!AD16</f>
        <v>-1.3000000000000008E-2</v>
      </c>
      <c r="AE11" s="65">
        <f>'Micro_30 (indiv)'!AE16</f>
        <v>-1.3500000000000009E-2</v>
      </c>
      <c r="AF11" s="65">
        <f>'Micro_30 (indiv)'!AF16</f>
        <v>-1.4000000000000009E-2</v>
      </c>
      <c r="AG11" s="65">
        <f>'Micro_30 (indiv)'!AG16</f>
        <v>-1.4500000000000009E-2</v>
      </c>
      <c r="AH11" s="65">
        <f>'Micro_30 (indiv)'!AH16</f>
        <v>-1.500000000000001E-2</v>
      </c>
      <c r="AI11" s="65">
        <f>'Micro_30 (indiv)'!AI16</f>
        <v>-1.550000000000001E-2</v>
      </c>
      <c r="AJ11" s="65">
        <f>'Micro_30 (indiv)'!AJ16</f>
        <v>-1.6000000000000011E-2</v>
      </c>
      <c r="AK11" s="65">
        <f>'Micro_30 (indiv)'!AK16</f>
        <v>-1.6500000000000011E-2</v>
      </c>
      <c r="AL11" s="65">
        <f>'Micro_30 (indiv)'!AL16</f>
        <v>-1.7000000000000012E-2</v>
      </c>
      <c r="AM11" s="65">
        <f>'Micro_30 (indiv)'!AM16</f>
        <v>-1.7500000000000012E-2</v>
      </c>
      <c r="AN11" s="65">
        <f>'Micro_30 (indiv)'!AN16</f>
        <v>-1.8000000000000013E-2</v>
      </c>
      <c r="AO11" s="65">
        <f>'Micro_30 (indiv)'!AO16</f>
        <v>-1.8500000000000013E-2</v>
      </c>
      <c r="AP11" s="358"/>
      <c r="AQ11" s="65">
        <f>'Micro_30 (indiv)'!AQ16</f>
        <v>-1.9000000000000013E-2</v>
      </c>
      <c r="AR11" s="65">
        <f>'Micro_30 (indiv)'!AR16</f>
        <v>-1.9500000000000014E-2</v>
      </c>
      <c r="AS11" s="65">
        <f>'Micro_30 (indiv)'!AS16</f>
        <v>-2.0000000000000014E-2</v>
      </c>
      <c r="AT11" s="65">
        <f>'Micro_30 (indiv)'!AT16</f>
        <v>-2.0500000000000015E-2</v>
      </c>
      <c r="AU11" s="65">
        <f>'Micro_30 (indiv)'!AU16</f>
        <v>-2.1000000000000015E-2</v>
      </c>
      <c r="AV11" s="65">
        <f>'Micro_30 (indiv)'!AV16</f>
        <v>-2.1500000000000016E-2</v>
      </c>
      <c r="AW11" s="65">
        <f>'Micro_30 (indiv)'!AW16</f>
        <v>-2.2000000000000016E-2</v>
      </c>
      <c r="AX11" s="65">
        <f>'Micro_30 (indiv)'!AX16</f>
        <v>-2.2500000000000017E-2</v>
      </c>
      <c r="AY11" s="65">
        <f>'Micro_30 (indiv)'!AY16</f>
        <v>-2.3000000000000017E-2</v>
      </c>
      <c r="AZ11" s="65">
        <f>'Micro_30 (indiv)'!AZ16</f>
        <v>-2.3500000000000017E-2</v>
      </c>
      <c r="BA11" s="65">
        <f>'Micro_30 (indiv)'!BA16</f>
        <v>-2.4000000000000018E-2</v>
      </c>
      <c r="BB11" s="65">
        <f>'Micro_30 (indiv)'!BB16</f>
        <v>-2.4500000000000018E-2</v>
      </c>
      <c r="BC11" s="358"/>
      <c r="BD11" s="65">
        <f>'Micro_30 (indiv)'!BD16</f>
        <v>-2.5000000000000019E-2</v>
      </c>
      <c r="BE11" s="65">
        <f>'Micro_30 (indiv)'!BE16</f>
        <v>-2.5500000000000019E-2</v>
      </c>
      <c r="BF11" s="65">
        <f>'Micro_30 (indiv)'!BF16</f>
        <v>-2.600000000000002E-2</v>
      </c>
      <c r="BG11" s="65">
        <f>'Micro_30 (indiv)'!BG16</f>
        <v>-2.650000000000002E-2</v>
      </c>
      <c r="BH11" s="65">
        <f>'Micro_30 (indiv)'!BH16</f>
        <v>-2.7000000000000021E-2</v>
      </c>
      <c r="BI11" s="65">
        <f>'Micro_30 (indiv)'!BI16</f>
        <v>-2.7500000000000021E-2</v>
      </c>
      <c r="BJ11" s="65">
        <f>'Micro_30 (indiv)'!BJ16</f>
        <v>-2.8000000000000021E-2</v>
      </c>
      <c r="BK11" s="65">
        <f>'Micro_30 (indiv)'!BK16</f>
        <v>-2.8500000000000022E-2</v>
      </c>
      <c r="BL11" s="65">
        <f>'Micro_30 (indiv)'!BL16</f>
        <v>-2.9000000000000022E-2</v>
      </c>
      <c r="BM11" s="65">
        <f>'Micro_30 (indiv)'!BM16</f>
        <v>-2.9500000000000023E-2</v>
      </c>
      <c r="BN11" s="65">
        <f>'Micro_30 (indiv)'!BN16</f>
        <v>-3.0000000000000023E-2</v>
      </c>
      <c r="BO11" s="65">
        <f>'Micro_30 (indiv)'!BO16</f>
        <v>-3.0500000000000024E-2</v>
      </c>
      <c r="BP11" s="358"/>
      <c r="CF11" s="76" t="str">
        <f>'Installment card_1000 (indiv)'!CF16</f>
        <v>% of activated cards closed</v>
      </c>
      <c r="CG11" s="285" t="s">
        <v>231</v>
      </c>
    </row>
    <row r="12" spans="1:85">
      <c r="A12" s="4" t="s">
        <v>657</v>
      </c>
      <c r="B12" s="13" t="s">
        <v>496</v>
      </c>
      <c r="D12" s="3">
        <f t="shared" ref="D12:O12" si="15">C13*D11</f>
        <v>0</v>
      </c>
      <c r="E12" s="3">
        <f t="shared" si="15"/>
        <v>0</v>
      </c>
      <c r="F12" s="3">
        <f t="shared" si="15"/>
        <v>0</v>
      </c>
      <c r="G12" s="3">
        <f t="shared" si="15"/>
        <v>0</v>
      </c>
      <c r="H12" s="3">
        <f t="shared" si="15"/>
        <v>0</v>
      </c>
      <c r="I12" s="3">
        <f t="shared" si="15"/>
        <v>0</v>
      </c>
      <c r="J12" s="3">
        <f t="shared" si="15"/>
        <v>0</v>
      </c>
      <c r="K12" s="3">
        <f t="shared" si="15"/>
        <v>-38.440464287601579</v>
      </c>
      <c r="L12" s="3">
        <f t="shared" si="15"/>
        <v>-87.078670745113939</v>
      </c>
      <c r="M12" s="3">
        <f t="shared" si="15"/>
        <v>-146.35515682240239</v>
      </c>
      <c r="N12" s="3">
        <f t="shared" si="15"/>
        <v>-216.68742126029323</v>
      </c>
      <c r="O12" s="3">
        <f t="shared" si="15"/>
        <v>-298.46897249855778</v>
      </c>
      <c r="P12" s="397">
        <f>SUM(D12:O12)</f>
        <v>-787.0306856139689</v>
      </c>
      <c r="Q12" s="3">
        <f t="shared" ref="Q12:AB12" si="16">P13*Q11</f>
        <v>-389.13223657107841</v>
      </c>
      <c r="R12" s="3">
        <f t="shared" si="16"/>
        <v>-589.71280504567244</v>
      </c>
      <c r="S12" s="3">
        <f t="shared" si="16"/>
        <v>-822.67591074128211</v>
      </c>
      <c r="T12" s="3">
        <f t="shared" si="16"/>
        <v>-1089.4983926024813</v>
      </c>
      <c r="U12" s="3">
        <f t="shared" si="16"/>
        <v>-1391.5790329489005</v>
      </c>
      <c r="V12" s="3">
        <f t="shared" si="16"/>
        <v>-1730.2356069158031</v>
      </c>
      <c r="W12" s="3">
        <f t="shared" si="16"/>
        <v>-2106.7021955701289</v>
      </c>
      <c r="X12" s="3">
        <f t="shared" si="16"/>
        <v>-2522.1267702603732</v>
      </c>
      <c r="Y12" s="3">
        <f t="shared" si="16"/>
        <v>-2977.5690546208252</v>
      </c>
      <c r="Z12" s="3">
        <f t="shared" si="16"/>
        <v>-3473.9986694919062</v>
      </c>
      <c r="AA12" s="3">
        <f t="shared" si="16"/>
        <v>-4012.2935648446114</v>
      </c>
      <c r="AB12" s="3">
        <f t="shared" si="16"/>
        <v>-4593.2387416142792</v>
      </c>
      <c r="AC12" s="397">
        <f>SUM(Q12:AB12)</f>
        <v>-25698.762981227344</v>
      </c>
      <c r="AD12" s="3">
        <f t="shared" ref="AD12:AO12" si="17">AC13*AD11</f>
        <v>-5197.3285641800494</v>
      </c>
      <c r="AE12" s="3">
        <f t="shared" si="17"/>
        <v>-5811.7567317965304</v>
      </c>
      <c r="AF12" s="3">
        <f t="shared" si="17"/>
        <v>-6477.6540371080637</v>
      </c>
      <c r="AG12" s="3">
        <f t="shared" si="17"/>
        <v>-7196.4988001873999</v>
      </c>
      <c r="AH12" s="3">
        <f t="shared" si="17"/>
        <v>-7969.6442280308056</v>
      </c>
      <c r="AI12" s="3">
        <f t="shared" si="17"/>
        <v>-8798.3166580105681</v>
      </c>
      <c r="AJ12" s="3">
        <f t="shared" si="17"/>
        <v>-9683.614204771493</v>
      </c>
      <c r="AK12" s="3">
        <f t="shared" si="17"/>
        <v>-10626.505810062477</v>
      </c>
      <c r="AL12" s="3">
        <f t="shared" si="17"/>
        <v>-11627.830693389114</v>
      </c>
      <c r="AM12" s="3">
        <f t="shared" si="17"/>
        <v>-12688.298199798599</v>
      </c>
      <c r="AN12" s="3">
        <f t="shared" si="17"/>
        <v>-13808.488039571203</v>
      </c>
      <c r="AO12" s="3">
        <f t="shared" si="17"/>
        <v>-14988.850913100843</v>
      </c>
      <c r="AP12" s="397">
        <f>SUM(AD12:AO12)</f>
        <v>-114874.78688000716</v>
      </c>
      <c r="AQ12" s="3">
        <f t="shared" ref="AQ12:BB12" si="18">AP13*AQ11</f>
        <v>-16184.471326735882</v>
      </c>
      <c r="AR12" s="3">
        <f t="shared" si="18"/>
        <v>-17083.486430765886</v>
      </c>
      <c r="AS12" s="3">
        <f t="shared" si="18"/>
        <v>-18036.041626097416</v>
      </c>
      <c r="AT12" s="3">
        <f t="shared" si="18"/>
        <v>-19043.235201691583</v>
      </c>
      <c r="AU12" s="3">
        <f t="shared" si="18"/>
        <v>-20106.035302258715</v>
      </c>
      <c r="AV12" s="3">
        <f t="shared" si="18"/>
        <v>-21225.279980637351</v>
      </c>
      <c r="AW12" s="3">
        <f t="shared" si="18"/>
        <v>-22401.677639453621</v>
      </c>
      <c r="AX12" s="3">
        <f t="shared" si="18"/>
        <v>-23635.807853118949</v>
      </c>
      <c r="AY12" s="3">
        <f t="shared" si="18"/>
        <v>-24928.12255987243</v>
      </c>
      <c r="AZ12" s="3">
        <f t="shared" si="18"/>
        <v>-26278.947612294829</v>
      </c>
      <c r="BA12" s="3">
        <f t="shared" si="18"/>
        <v>-27688.484673518811</v>
      </c>
      <c r="BB12" s="3">
        <f t="shared" si="18"/>
        <v>-29156.813445238939</v>
      </c>
      <c r="BC12" s="397">
        <f>SUM(AQ12:BB12)</f>
        <v>-265768.40365168441</v>
      </c>
      <c r="BD12" s="3">
        <f t="shared" ref="BD12:BO12" si="19">BC13*BD11</f>
        <v>-30616.838308746886</v>
      </c>
      <c r="BE12" s="3">
        <f t="shared" si="19"/>
        <v>-31627.198281950368</v>
      </c>
      <c r="BF12" s="3">
        <f t="shared" si="19"/>
        <v>-32697.111889668809</v>
      </c>
      <c r="BG12" s="3">
        <f t="shared" si="19"/>
        <v>-33827.53624220092</v>
      </c>
      <c r="BH12" s="3">
        <f t="shared" si="19"/>
        <v>-35019.283500598314</v>
      </c>
      <c r="BI12" s="3">
        <f t="shared" si="19"/>
        <v>-36273.022469994052</v>
      </c>
      <c r="BJ12" s="3">
        <f t="shared" si="19"/>
        <v>-37589.280583165746</v>
      </c>
      <c r="BK12" s="3">
        <f t="shared" si="19"/>
        <v>-38968.446257634852</v>
      </c>
      <c r="BL12" s="3">
        <f t="shared" si="19"/>
        <v>-40410.771608527153</v>
      </c>
      <c r="BM12" s="3">
        <f t="shared" si="19"/>
        <v>-41916.375498449619</v>
      </c>
      <c r="BN12" s="3">
        <f t="shared" si="19"/>
        <v>-43485.246904778149</v>
      </c>
      <c r="BO12" s="3">
        <f t="shared" si="19"/>
        <v>-45117.248584000656</v>
      </c>
      <c r="BP12" s="397">
        <f>SUM(BD12:BO12)</f>
        <v>-447548.36012971553</v>
      </c>
      <c r="CF12" s="3" t="str">
        <f>'Installment card_1000 (indiv)'!CF17</f>
        <v>Сlosed cards</v>
      </c>
      <c r="CG12" s="13" t="s">
        <v>394</v>
      </c>
    </row>
    <row r="13" spans="1:85" s="17" customFormat="1" ht="15.6">
      <c r="A13" s="60" t="s">
        <v>497</v>
      </c>
      <c r="B13" s="13" t="s">
        <v>496</v>
      </c>
      <c r="D13" s="60">
        <f t="shared" ref="D13:O13" si="20">C13+D10+D12</f>
        <v>0</v>
      </c>
      <c r="E13" s="60">
        <f t="shared" si="20"/>
        <v>0</v>
      </c>
      <c r="F13" s="60">
        <f t="shared" si="20"/>
        <v>0</v>
      </c>
      <c r="G13" s="60">
        <f t="shared" si="20"/>
        <v>0</v>
      </c>
      <c r="H13" s="60">
        <f t="shared" si="20"/>
        <v>0</v>
      </c>
      <c r="I13" s="60">
        <f t="shared" si="20"/>
        <v>0</v>
      </c>
      <c r="J13" s="60">
        <f t="shared" si="20"/>
        <v>8542.3253972447947</v>
      </c>
      <c r="K13" s="60">
        <f t="shared" si="20"/>
        <v>17415.734149022785</v>
      </c>
      <c r="L13" s="60">
        <f t="shared" si="20"/>
        <v>26610.028513164067</v>
      </c>
      <c r="M13" s="60">
        <f t="shared" si="20"/>
        <v>36114.570210048863</v>
      </c>
      <c r="N13" s="60">
        <f t="shared" si="20"/>
        <v>45918.303461316566</v>
      </c>
      <c r="O13" s="60">
        <f t="shared" si="20"/>
        <v>55590.31951015404</v>
      </c>
      <c r="P13" s="372">
        <f>O13</f>
        <v>55590.31951015404</v>
      </c>
      <c r="Q13" s="60">
        <f t="shared" ref="Q13:AB13" si="21">P13+Q10+Q12</f>
        <v>78628.374006089623</v>
      </c>
      <c r="R13" s="60">
        <f t="shared" si="21"/>
        <v>102834.48884266021</v>
      </c>
      <c r="S13" s="60">
        <f t="shared" si="21"/>
        <v>128176.28148264479</v>
      </c>
      <c r="T13" s="60">
        <f t="shared" si="21"/>
        <v>154619.89254987775</v>
      </c>
      <c r="U13" s="60">
        <f t="shared" si="21"/>
        <v>182130.06388587391</v>
      </c>
      <c r="V13" s="60">
        <f t="shared" si="21"/>
        <v>210670.21955701275</v>
      </c>
      <c r="W13" s="60">
        <f t="shared" si="21"/>
        <v>240202.54954860685</v>
      </c>
      <c r="X13" s="60">
        <f t="shared" si="21"/>
        <v>270688.09587462031</v>
      </c>
      <c r="Y13" s="60">
        <f t="shared" si="21"/>
        <v>302086.84082538297</v>
      </c>
      <c r="Z13" s="60">
        <f t="shared" si="21"/>
        <v>334357.79707038408</v>
      </c>
      <c r="AA13" s="60">
        <f t="shared" si="21"/>
        <v>367459.09932914213</v>
      </c>
      <c r="AB13" s="60">
        <f t="shared" si="21"/>
        <v>399794.50493692665</v>
      </c>
      <c r="AC13" s="372">
        <f>AB13</f>
        <v>399794.50493692665</v>
      </c>
      <c r="AD13" s="60">
        <f t="shared" ref="AD13:AO13" si="22">AC13+AD10+AD12</f>
        <v>430500.49865159456</v>
      </c>
      <c r="AE13" s="60">
        <f t="shared" si="22"/>
        <v>462689.57407914713</v>
      </c>
      <c r="AF13" s="60">
        <f t="shared" si="22"/>
        <v>496310.26208188932</v>
      </c>
      <c r="AG13" s="60">
        <f t="shared" si="22"/>
        <v>531309.61520205333</v>
      </c>
      <c r="AH13" s="60">
        <f t="shared" si="22"/>
        <v>567633.33277487499</v>
      </c>
      <c r="AI13" s="60">
        <f t="shared" si="22"/>
        <v>605225.88779821794</v>
      </c>
      <c r="AJ13" s="60">
        <f t="shared" si="22"/>
        <v>644030.65515530121</v>
      </c>
      <c r="AK13" s="60">
        <f t="shared" si="22"/>
        <v>683990.04078759451</v>
      </c>
      <c r="AL13" s="60">
        <f t="shared" si="22"/>
        <v>725045.61141706235</v>
      </c>
      <c r="AM13" s="60">
        <f t="shared" si="22"/>
        <v>767138.22442062187</v>
      </c>
      <c r="AN13" s="60">
        <f t="shared" si="22"/>
        <v>810208.15746490983</v>
      </c>
      <c r="AO13" s="60">
        <f t="shared" si="22"/>
        <v>851814.28035451949</v>
      </c>
      <c r="AP13" s="372">
        <f>AO13</f>
        <v>851814.28035451949</v>
      </c>
      <c r="AQ13" s="60">
        <f t="shared" ref="AQ13:BB13" si="23">AP13+AQ10+AQ12</f>
        <v>876076.22721876274</v>
      </c>
      <c r="AR13" s="60">
        <f t="shared" si="23"/>
        <v>901802.08130487008</v>
      </c>
      <c r="AS13" s="60">
        <f t="shared" si="23"/>
        <v>928938.30252153997</v>
      </c>
      <c r="AT13" s="60">
        <f t="shared" si="23"/>
        <v>957430.25248850964</v>
      </c>
      <c r="AU13" s="60">
        <f t="shared" si="23"/>
        <v>987222.32468080637</v>
      </c>
      <c r="AV13" s="60">
        <f t="shared" si="23"/>
        <v>1018258.0745206184</v>
      </c>
      <c r="AW13" s="60">
        <f t="shared" si="23"/>
        <v>1050480.3490275082</v>
      </c>
      <c r="AX13" s="60">
        <f t="shared" si="23"/>
        <v>1083831.4156466266</v>
      </c>
      <c r="AY13" s="60">
        <f t="shared" si="23"/>
        <v>1118253.0898848856</v>
      </c>
      <c r="AZ13" s="60">
        <f t="shared" si="23"/>
        <v>1153686.8613966163</v>
      </c>
      <c r="BA13" s="60">
        <f t="shared" si="23"/>
        <v>1190074.0181730171</v>
      </c>
      <c r="BB13" s="60">
        <f t="shared" si="23"/>
        <v>1224673.5323498745</v>
      </c>
      <c r="BC13" s="372">
        <f>BB13</f>
        <v>1224673.5323498745</v>
      </c>
      <c r="BD13" s="60">
        <f t="shared" ref="BD13:BO13" si="24">BC13+BD10+BD12</f>
        <v>1240282.2855666801</v>
      </c>
      <c r="BE13" s="60">
        <f t="shared" si="24"/>
        <v>1257581.2265257225</v>
      </c>
      <c r="BF13" s="60">
        <f t="shared" si="24"/>
        <v>1276510.8015924867</v>
      </c>
      <c r="BG13" s="60">
        <f t="shared" si="24"/>
        <v>1297010.5000221587</v>
      </c>
      <c r="BH13" s="60">
        <f t="shared" si="24"/>
        <v>1319018.9989088736</v>
      </c>
      <c r="BI13" s="60">
        <f t="shared" si="24"/>
        <v>1342474.3065416329</v>
      </c>
      <c r="BJ13" s="60">
        <f t="shared" si="24"/>
        <v>1367313.9037766606</v>
      </c>
      <c r="BK13" s="60">
        <f t="shared" si="24"/>
        <v>1393474.8830526595</v>
      </c>
      <c r="BL13" s="60">
        <f t="shared" si="24"/>
        <v>1420894.0846932062</v>
      </c>
      <c r="BM13" s="60">
        <f t="shared" si="24"/>
        <v>1449508.2301592706</v>
      </c>
      <c r="BN13" s="60">
        <f t="shared" si="24"/>
        <v>1479254.0519344467</v>
      </c>
      <c r="BO13" s="60">
        <f t="shared" si="24"/>
        <v>1507002.9331499357</v>
      </c>
      <c r="BP13" s="372">
        <f>BO13</f>
        <v>1507002.9331499357</v>
      </c>
      <c r="CF13" s="60" t="s">
        <v>1083</v>
      </c>
      <c r="CG13" s="13" t="s">
        <v>394</v>
      </c>
    </row>
    <row r="14" spans="1:85" s="65" customFormat="1">
      <c r="A14" s="76" t="s">
        <v>113</v>
      </c>
      <c r="B14" s="285" t="s">
        <v>231</v>
      </c>
      <c r="C14" s="40"/>
      <c r="D14" s="65">
        <f>'Micro_30 (indiv)'!D21</f>
        <v>0.8</v>
      </c>
      <c r="E14" s="65">
        <f>'Micro_30 (indiv)'!E21</f>
        <v>0.8</v>
      </c>
      <c r="F14" s="65">
        <f>'Micro_30 (indiv)'!F21</f>
        <v>0.8</v>
      </c>
      <c r="G14" s="65">
        <f>'Micro_30 (indiv)'!G21</f>
        <v>0.8</v>
      </c>
      <c r="H14" s="65">
        <f>'Micro_30 (indiv)'!H21</f>
        <v>0.8</v>
      </c>
      <c r="I14" s="65">
        <f>'Micro_30 (indiv)'!I21</f>
        <v>0.8</v>
      </c>
      <c r="J14" s="65">
        <f>'Micro_30 (indiv)'!J21</f>
        <v>0.8</v>
      </c>
      <c r="K14" s="65">
        <f>'Micro_30 (indiv)'!K21</f>
        <v>0.8</v>
      </c>
      <c r="L14" s="65">
        <f>'Micro_30 (indiv)'!L21</f>
        <v>0.8</v>
      </c>
      <c r="M14" s="65">
        <f>'Micro_30 (indiv)'!M21</f>
        <v>0.8</v>
      </c>
      <c r="N14" s="65">
        <f>'Micro_30 (indiv)'!N21</f>
        <v>0.8</v>
      </c>
      <c r="O14" s="65">
        <f>'Micro_30 (indiv)'!O21</f>
        <v>0.8</v>
      </c>
      <c r="P14" s="358">
        <f>P15/P13</f>
        <v>0.8</v>
      </c>
      <c r="Q14" s="65">
        <f>'Micro_30 (indiv)'!Q21</f>
        <v>0.8</v>
      </c>
      <c r="R14" s="65">
        <f>'Micro_30 (indiv)'!R21</f>
        <v>0.8</v>
      </c>
      <c r="S14" s="65">
        <f>'Micro_30 (indiv)'!S21</f>
        <v>0.8</v>
      </c>
      <c r="T14" s="65">
        <f>'Micro_30 (indiv)'!T21</f>
        <v>0.8</v>
      </c>
      <c r="U14" s="65">
        <f>'Micro_30 (indiv)'!U21</f>
        <v>0.8</v>
      </c>
      <c r="V14" s="65">
        <f>'Micro_30 (indiv)'!V21</f>
        <v>0.8</v>
      </c>
      <c r="W14" s="65">
        <f>'Micro_30 (indiv)'!W21</f>
        <v>0.8</v>
      </c>
      <c r="X14" s="65">
        <f>'Micro_30 (indiv)'!X21</f>
        <v>0.8</v>
      </c>
      <c r="Y14" s="65">
        <f>'Micro_30 (indiv)'!Y21</f>
        <v>0.8</v>
      </c>
      <c r="Z14" s="65">
        <f>'Micro_30 (indiv)'!Z21</f>
        <v>0.8</v>
      </c>
      <c r="AA14" s="65">
        <f>'Micro_30 (indiv)'!AA21</f>
        <v>0.8</v>
      </c>
      <c r="AB14" s="65">
        <f>'Micro_30 (indiv)'!AB21</f>
        <v>0.8</v>
      </c>
      <c r="AC14" s="358">
        <f>AC15/AC13</f>
        <v>0.8</v>
      </c>
      <c r="AD14" s="65">
        <f>'Micro_30 (indiv)'!AD21</f>
        <v>0.8</v>
      </c>
      <c r="AE14" s="65">
        <f>'Micro_30 (indiv)'!AE21</f>
        <v>0.8</v>
      </c>
      <c r="AF14" s="65">
        <f>'Micro_30 (indiv)'!AF21</f>
        <v>0.8</v>
      </c>
      <c r="AG14" s="65">
        <f>'Micro_30 (indiv)'!AG21</f>
        <v>0.8</v>
      </c>
      <c r="AH14" s="65">
        <f>'Micro_30 (indiv)'!AH21</f>
        <v>0.8</v>
      </c>
      <c r="AI14" s="65">
        <f>'Micro_30 (indiv)'!AI21</f>
        <v>0.8</v>
      </c>
      <c r="AJ14" s="65">
        <f>'Micro_30 (indiv)'!AJ21</f>
        <v>0.8</v>
      </c>
      <c r="AK14" s="65">
        <f>'Micro_30 (indiv)'!AK21</f>
        <v>0.8</v>
      </c>
      <c r="AL14" s="65">
        <f>'Micro_30 (indiv)'!AL21</f>
        <v>0.8</v>
      </c>
      <c r="AM14" s="65">
        <f>'Micro_30 (indiv)'!AM21</f>
        <v>0.8</v>
      </c>
      <c r="AN14" s="65">
        <f>'Micro_30 (indiv)'!AN21</f>
        <v>0.8</v>
      </c>
      <c r="AO14" s="65">
        <f>'Micro_30 (indiv)'!AO21</f>
        <v>0.8</v>
      </c>
      <c r="AP14" s="358">
        <f>AP15/AP13</f>
        <v>0.8</v>
      </c>
      <c r="AQ14" s="65">
        <f>'Micro_30 (indiv)'!AQ21</f>
        <v>0.8</v>
      </c>
      <c r="AR14" s="65">
        <f>'Micro_30 (indiv)'!AR21</f>
        <v>0.8</v>
      </c>
      <c r="AS14" s="65">
        <f>'Micro_30 (indiv)'!AS21</f>
        <v>0.8</v>
      </c>
      <c r="AT14" s="65">
        <f>'Micro_30 (indiv)'!AT21</f>
        <v>0.8</v>
      </c>
      <c r="AU14" s="65">
        <f>'Micro_30 (indiv)'!AU21</f>
        <v>0.8</v>
      </c>
      <c r="AV14" s="65">
        <f>'Micro_30 (indiv)'!AV21</f>
        <v>0.8</v>
      </c>
      <c r="AW14" s="65">
        <f>'Micro_30 (indiv)'!AW21</f>
        <v>0.8</v>
      </c>
      <c r="AX14" s="65">
        <f>'Micro_30 (indiv)'!AX21</f>
        <v>0.8</v>
      </c>
      <c r="AY14" s="65">
        <f>'Micro_30 (indiv)'!AY21</f>
        <v>0.8</v>
      </c>
      <c r="AZ14" s="65">
        <f>'Micro_30 (indiv)'!AZ21</f>
        <v>0.8</v>
      </c>
      <c r="BA14" s="65">
        <f>'Micro_30 (indiv)'!BA21</f>
        <v>0.8</v>
      </c>
      <c r="BB14" s="65">
        <f>'Micro_30 (indiv)'!BB21</f>
        <v>0.8</v>
      </c>
      <c r="BC14" s="358">
        <f>BC15/BC13</f>
        <v>0.8</v>
      </c>
      <c r="BD14" s="65">
        <f>'Micro_30 (indiv)'!BD21</f>
        <v>0.8</v>
      </c>
      <c r="BE14" s="65">
        <f>'Micro_30 (indiv)'!BE21</f>
        <v>0.8</v>
      </c>
      <c r="BF14" s="65">
        <f>'Micro_30 (indiv)'!BF21</f>
        <v>0.8</v>
      </c>
      <c r="BG14" s="65">
        <f>'Micro_30 (indiv)'!BG21</f>
        <v>0.8</v>
      </c>
      <c r="BH14" s="65">
        <f>'Micro_30 (indiv)'!BH21</f>
        <v>0.8</v>
      </c>
      <c r="BI14" s="65">
        <f>'Micro_30 (indiv)'!BI21</f>
        <v>0.8</v>
      </c>
      <c r="BJ14" s="65">
        <f>'Micro_30 (indiv)'!BJ21</f>
        <v>0.8</v>
      </c>
      <c r="BK14" s="65">
        <f>'Micro_30 (indiv)'!BK21</f>
        <v>0.8</v>
      </c>
      <c r="BL14" s="65">
        <f>'Micro_30 (indiv)'!BL21</f>
        <v>0.8</v>
      </c>
      <c r="BM14" s="65">
        <f>'Micro_30 (indiv)'!BM21</f>
        <v>0.8</v>
      </c>
      <c r="BN14" s="65">
        <f>'Micro_30 (indiv)'!BN21</f>
        <v>0.8</v>
      </c>
      <c r="BO14" s="65">
        <f>'Micro_30 (indiv)'!BO21</f>
        <v>0.8</v>
      </c>
      <c r="BP14" s="358">
        <f>BP15/BP13</f>
        <v>0.8</v>
      </c>
      <c r="CF14" s="76" t="s">
        <v>1042</v>
      </c>
      <c r="CG14" s="285" t="s">
        <v>231</v>
      </c>
    </row>
    <row r="15" spans="1:85" s="17" customFormat="1" ht="15.6">
      <c r="A15" s="60" t="s">
        <v>498</v>
      </c>
      <c r="B15" s="13" t="s">
        <v>496</v>
      </c>
      <c r="D15" s="60">
        <f t="shared" ref="D15:O15" si="25">D13*D14</f>
        <v>0</v>
      </c>
      <c r="E15" s="60">
        <f t="shared" si="25"/>
        <v>0</v>
      </c>
      <c r="F15" s="60">
        <f t="shared" si="25"/>
        <v>0</v>
      </c>
      <c r="G15" s="60">
        <f t="shared" si="25"/>
        <v>0</v>
      </c>
      <c r="H15" s="60">
        <f t="shared" si="25"/>
        <v>0</v>
      </c>
      <c r="I15" s="60">
        <f t="shared" si="25"/>
        <v>0</v>
      </c>
      <c r="J15" s="60">
        <f t="shared" si="25"/>
        <v>6833.8603177958357</v>
      </c>
      <c r="K15" s="60">
        <f t="shared" si="25"/>
        <v>13932.587319218228</v>
      </c>
      <c r="L15" s="60">
        <f t="shared" si="25"/>
        <v>21288.022810531256</v>
      </c>
      <c r="M15" s="60">
        <f t="shared" si="25"/>
        <v>28891.656168039091</v>
      </c>
      <c r="N15" s="60">
        <f t="shared" si="25"/>
        <v>36734.642769053251</v>
      </c>
      <c r="O15" s="60">
        <f t="shared" si="25"/>
        <v>44472.255608123232</v>
      </c>
      <c r="P15" s="372">
        <f>O15</f>
        <v>44472.255608123232</v>
      </c>
      <c r="Q15" s="60">
        <f t="shared" ref="Q15:AB15" si="26">Q13*Q14</f>
        <v>62902.6992048717</v>
      </c>
      <c r="R15" s="60">
        <f t="shared" si="26"/>
        <v>82267.59107412817</v>
      </c>
      <c r="S15" s="60">
        <f t="shared" si="26"/>
        <v>102541.02518611583</v>
      </c>
      <c r="T15" s="60">
        <f t="shared" si="26"/>
        <v>123695.91403990221</v>
      </c>
      <c r="U15" s="60">
        <f t="shared" si="26"/>
        <v>145704.05110869915</v>
      </c>
      <c r="V15" s="60">
        <f t="shared" si="26"/>
        <v>168536.1756456102</v>
      </c>
      <c r="W15" s="60">
        <f t="shared" si="26"/>
        <v>192162.0396388855</v>
      </c>
      <c r="X15" s="60">
        <f t="shared" si="26"/>
        <v>216550.47669969627</v>
      </c>
      <c r="Y15" s="60">
        <f t="shared" si="26"/>
        <v>241669.47266030638</v>
      </c>
      <c r="Z15" s="60">
        <f t="shared" si="26"/>
        <v>267486.23765630729</v>
      </c>
      <c r="AA15" s="60">
        <f t="shared" si="26"/>
        <v>293967.27946331369</v>
      </c>
      <c r="AB15" s="60">
        <f t="shared" si="26"/>
        <v>319835.60394954134</v>
      </c>
      <c r="AC15" s="372">
        <f>AB15</f>
        <v>319835.60394954134</v>
      </c>
      <c r="AD15" s="60">
        <f t="shared" ref="AD15:AO15" si="27">AD13*AD14</f>
        <v>344400.39892127569</v>
      </c>
      <c r="AE15" s="60">
        <f t="shared" si="27"/>
        <v>370151.65926331771</v>
      </c>
      <c r="AF15" s="60">
        <f t="shared" si="27"/>
        <v>397048.2096655115</v>
      </c>
      <c r="AG15" s="60">
        <f t="shared" si="27"/>
        <v>425047.69216164271</v>
      </c>
      <c r="AH15" s="60">
        <f t="shared" si="27"/>
        <v>454106.66621990001</v>
      </c>
      <c r="AI15" s="60">
        <f t="shared" si="27"/>
        <v>484180.71023857436</v>
      </c>
      <c r="AJ15" s="60">
        <f t="shared" si="27"/>
        <v>515224.52412424097</v>
      </c>
      <c r="AK15" s="60">
        <f t="shared" si="27"/>
        <v>547192.03263007558</v>
      </c>
      <c r="AL15" s="60">
        <f t="shared" si="27"/>
        <v>580036.48913364985</v>
      </c>
      <c r="AM15" s="60">
        <f t="shared" si="27"/>
        <v>613710.57953649748</v>
      </c>
      <c r="AN15" s="60">
        <f t="shared" si="27"/>
        <v>648166.52597192791</v>
      </c>
      <c r="AO15" s="60">
        <f t="shared" si="27"/>
        <v>681451.42428361566</v>
      </c>
      <c r="AP15" s="372">
        <f>AO15</f>
        <v>681451.42428361566</v>
      </c>
      <c r="AQ15" s="60">
        <f t="shared" ref="AQ15:BB15" si="28">AQ13*AQ14</f>
        <v>700860.98177501024</v>
      </c>
      <c r="AR15" s="60">
        <f t="shared" si="28"/>
        <v>721441.66504389606</v>
      </c>
      <c r="AS15" s="60">
        <f t="shared" si="28"/>
        <v>743150.64201723202</v>
      </c>
      <c r="AT15" s="60">
        <f t="shared" si="28"/>
        <v>765944.20199080778</v>
      </c>
      <c r="AU15" s="60">
        <f t="shared" si="28"/>
        <v>789777.85974464519</v>
      </c>
      <c r="AV15" s="60">
        <f t="shared" si="28"/>
        <v>814606.45961649483</v>
      </c>
      <c r="AW15" s="60">
        <f t="shared" si="28"/>
        <v>840384.27922200656</v>
      </c>
      <c r="AX15" s="60">
        <f t="shared" si="28"/>
        <v>867065.13251730136</v>
      </c>
      <c r="AY15" s="60">
        <f t="shared" si="28"/>
        <v>894602.47190790856</v>
      </c>
      <c r="AZ15" s="60">
        <f t="shared" si="28"/>
        <v>922949.48911729315</v>
      </c>
      <c r="BA15" s="60">
        <f t="shared" si="28"/>
        <v>952059.21453841368</v>
      </c>
      <c r="BB15" s="60">
        <f t="shared" si="28"/>
        <v>979738.82587989967</v>
      </c>
      <c r="BC15" s="372">
        <f>BB15</f>
        <v>979738.82587989967</v>
      </c>
      <c r="BD15" s="60">
        <f t="shared" ref="BD15:BO15" si="29">BD13*BD14</f>
        <v>992225.82845334418</v>
      </c>
      <c r="BE15" s="60">
        <f t="shared" si="29"/>
        <v>1006064.9812205781</v>
      </c>
      <c r="BF15" s="60">
        <f t="shared" si="29"/>
        <v>1021208.6412739893</v>
      </c>
      <c r="BG15" s="60">
        <f t="shared" si="29"/>
        <v>1037608.400017727</v>
      </c>
      <c r="BH15" s="60">
        <f t="shared" si="29"/>
        <v>1055215.199127099</v>
      </c>
      <c r="BI15" s="60">
        <f t="shared" si="29"/>
        <v>1073979.4452333064</v>
      </c>
      <c r="BJ15" s="60">
        <f t="shared" si="29"/>
        <v>1093851.1230213286</v>
      </c>
      <c r="BK15" s="60">
        <f t="shared" si="29"/>
        <v>1114779.9064421277</v>
      </c>
      <c r="BL15" s="60">
        <f t="shared" si="29"/>
        <v>1136715.267754565</v>
      </c>
      <c r="BM15" s="60">
        <f t="shared" si="29"/>
        <v>1159606.5841274166</v>
      </c>
      <c r="BN15" s="60">
        <f t="shared" si="29"/>
        <v>1183403.2415475573</v>
      </c>
      <c r="BO15" s="60">
        <f t="shared" si="29"/>
        <v>1205602.3465199487</v>
      </c>
      <c r="BP15" s="372">
        <f>BO15</f>
        <v>1205602.3465199487</v>
      </c>
      <c r="CF15" s="60" t="s">
        <v>1084</v>
      </c>
      <c r="CG15" s="13" t="s">
        <v>394</v>
      </c>
    </row>
    <row r="16" spans="1:85" s="5" customFormat="1">
      <c r="A16" s="5" t="s">
        <v>499</v>
      </c>
      <c r="B16" s="12" t="s">
        <v>292</v>
      </c>
      <c r="D16" s="5">
        <f>P16</f>
        <v>5</v>
      </c>
      <c r="E16" s="5">
        <f t="shared" ref="E16:O16" si="30">D16</f>
        <v>5</v>
      </c>
      <c r="F16" s="5">
        <f t="shared" si="30"/>
        <v>5</v>
      </c>
      <c r="G16" s="5">
        <f t="shared" si="30"/>
        <v>5</v>
      </c>
      <c r="H16" s="5">
        <f t="shared" si="30"/>
        <v>5</v>
      </c>
      <c r="I16" s="5">
        <f t="shared" si="30"/>
        <v>5</v>
      </c>
      <c r="J16" s="5">
        <f t="shared" si="30"/>
        <v>5</v>
      </c>
      <c r="K16" s="5">
        <f t="shared" si="30"/>
        <v>5</v>
      </c>
      <c r="L16" s="5">
        <f t="shared" si="30"/>
        <v>5</v>
      </c>
      <c r="M16" s="5">
        <f t="shared" si="30"/>
        <v>5</v>
      </c>
      <c r="N16" s="5">
        <f t="shared" si="30"/>
        <v>5</v>
      </c>
      <c r="O16" s="5">
        <f t="shared" si="30"/>
        <v>5</v>
      </c>
      <c r="P16" s="473">
        <v>5</v>
      </c>
      <c r="Q16" s="5">
        <f>AC16</f>
        <v>10</v>
      </c>
      <c r="R16" s="5">
        <f t="shared" ref="R16:AB16" si="31">Q16</f>
        <v>10</v>
      </c>
      <c r="S16" s="5">
        <f t="shared" si="31"/>
        <v>10</v>
      </c>
      <c r="T16" s="5">
        <f t="shared" si="31"/>
        <v>10</v>
      </c>
      <c r="U16" s="5">
        <f t="shared" si="31"/>
        <v>10</v>
      </c>
      <c r="V16" s="5">
        <f t="shared" si="31"/>
        <v>10</v>
      </c>
      <c r="W16" s="5">
        <f t="shared" si="31"/>
        <v>10</v>
      </c>
      <c r="X16" s="5">
        <f t="shared" si="31"/>
        <v>10</v>
      </c>
      <c r="Y16" s="5">
        <f t="shared" si="31"/>
        <v>10</v>
      </c>
      <c r="Z16" s="5">
        <f t="shared" si="31"/>
        <v>10</v>
      </c>
      <c r="AA16" s="5">
        <f t="shared" si="31"/>
        <v>10</v>
      </c>
      <c r="AB16" s="5">
        <f t="shared" si="31"/>
        <v>10</v>
      </c>
      <c r="AC16" s="473">
        <f>P16*2</f>
        <v>10</v>
      </c>
      <c r="AD16" s="5">
        <f>AP16</f>
        <v>20</v>
      </c>
      <c r="AE16" s="5">
        <f t="shared" ref="AE16:AO16" si="32">AD16</f>
        <v>20</v>
      </c>
      <c r="AF16" s="5">
        <f t="shared" si="32"/>
        <v>20</v>
      </c>
      <c r="AG16" s="5">
        <f t="shared" si="32"/>
        <v>20</v>
      </c>
      <c r="AH16" s="5">
        <f t="shared" si="32"/>
        <v>20</v>
      </c>
      <c r="AI16" s="5">
        <f t="shared" si="32"/>
        <v>20</v>
      </c>
      <c r="AJ16" s="5">
        <f t="shared" si="32"/>
        <v>20</v>
      </c>
      <c r="AK16" s="5">
        <f t="shared" si="32"/>
        <v>20</v>
      </c>
      <c r="AL16" s="5">
        <f t="shared" si="32"/>
        <v>20</v>
      </c>
      <c r="AM16" s="5">
        <f t="shared" si="32"/>
        <v>20</v>
      </c>
      <c r="AN16" s="5">
        <f t="shared" si="32"/>
        <v>20</v>
      </c>
      <c r="AO16" s="5">
        <f t="shared" si="32"/>
        <v>20</v>
      </c>
      <c r="AP16" s="473">
        <f>AC16*2</f>
        <v>20</v>
      </c>
      <c r="AQ16" s="5">
        <f>BC16</f>
        <v>35</v>
      </c>
      <c r="AR16" s="5">
        <f t="shared" ref="AR16:BB16" si="33">AQ16</f>
        <v>35</v>
      </c>
      <c r="AS16" s="5">
        <f t="shared" si="33"/>
        <v>35</v>
      </c>
      <c r="AT16" s="5">
        <f t="shared" si="33"/>
        <v>35</v>
      </c>
      <c r="AU16" s="5">
        <f t="shared" si="33"/>
        <v>35</v>
      </c>
      <c r="AV16" s="5">
        <f t="shared" si="33"/>
        <v>35</v>
      </c>
      <c r="AW16" s="5">
        <f t="shared" si="33"/>
        <v>35</v>
      </c>
      <c r="AX16" s="5">
        <f t="shared" si="33"/>
        <v>35</v>
      </c>
      <c r="AY16" s="5">
        <f t="shared" si="33"/>
        <v>35</v>
      </c>
      <c r="AZ16" s="5">
        <f t="shared" si="33"/>
        <v>35</v>
      </c>
      <c r="BA16" s="5">
        <f t="shared" si="33"/>
        <v>35</v>
      </c>
      <c r="BB16" s="5">
        <f t="shared" si="33"/>
        <v>35</v>
      </c>
      <c r="BC16" s="473">
        <v>35</v>
      </c>
      <c r="BD16" s="5">
        <f>BP16</f>
        <v>50</v>
      </c>
      <c r="BE16" s="5">
        <f t="shared" ref="BE16:BO16" si="34">BD16</f>
        <v>50</v>
      </c>
      <c r="BF16" s="5">
        <f t="shared" si="34"/>
        <v>50</v>
      </c>
      <c r="BG16" s="5">
        <f t="shared" si="34"/>
        <v>50</v>
      </c>
      <c r="BH16" s="5">
        <f t="shared" si="34"/>
        <v>50</v>
      </c>
      <c r="BI16" s="5">
        <f t="shared" si="34"/>
        <v>50</v>
      </c>
      <c r="BJ16" s="5">
        <f t="shared" si="34"/>
        <v>50</v>
      </c>
      <c r="BK16" s="5">
        <f t="shared" si="34"/>
        <v>50</v>
      </c>
      <c r="BL16" s="5">
        <f t="shared" si="34"/>
        <v>50</v>
      </c>
      <c r="BM16" s="5">
        <f t="shared" si="34"/>
        <v>50</v>
      </c>
      <c r="BN16" s="5">
        <f t="shared" si="34"/>
        <v>50</v>
      </c>
      <c r="BO16" s="5">
        <f t="shared" si="34"/>
        <v>50</v>
      </c>
      <c r="BP16" s="473">
        <v>50</v>
      </c>
      <c r="CF16" s="5" t="s">
        <v>1085</v>
      </c>
      <c r="CG16" s="12" t="s">
        <v>1080</v>
      </c>
    </row>
    <row r="17" spans="1:85" s="65" customFormat="1">
      <c r="A17" s="76" t="s">
        <v>500</v>
      </c>
      <c r="B17" s="285" t="s">
        <v>231</v>
      </c>
      <c r="C17" s="40"/>
      <c r="D17" s="65">
        <f>P17</f>
        <v>0.95</v>
      </c>
      <c r="E17" s="65">
        <f t="shared" ref="E17:O17" si="35">D17</f>
        <v>0.95</v>
      </c>
      <c r="F17" s="65">
        <f t="shared" si="35"/>
        <v>0.95</v>
      </c>
      <c r="G17" s="65">
        <f t="shared" si="35"/>
        <v>0.95</v>
      </c>
      <c r="H17" s="65">
        <f t="shared" si="35"/>
        <v>0.95</v>
      </c>
      <c r="I17" s="65">
        <f t="shared" si="35"/>
        <v>0.95</v>
      </c>
      <c r="J17" s="65">
        <f t="shared" si="35"/>
        <v>0.95</v>
      </c>
      <c r="K17" s="65">
        <f t="shared" si="35"/>
        <v>0.95</v>
      </c>
      <c r="L17" s="65">
        <f t="shared" si="35"/>
        <v>0.95</v>
      </c>
      <c r="M17" s="65">
        <f t="shared" si="35"/>
        <v>0.95</v>
      </c>
      <c r="N17" s="65">
        <f t="shared" si="35"/>
        <v>0.95</v>
      </c>
      <c r="O17" s="65">
        <f t="shared" si="35"/>
        <v>0.95</v>
      </c>
      <c r="P17" s="371">
        <v>0.95</v>
      </c>
      <c r="Q17" s="65">
        <f>AC17</f>
        <v>0.95</v>
      </c>
      <c r="R17" s="65">
        <f t="shared" ref="R17:AB17" si="36">Q17</f>
        <v>0.95</v>
      </c>
      <c r="S17" s="65">
        <f t="shared" si="36"/>
        <v>0.95</v>
      </c>
      <c r="T17" s="65">
        <f t="shared" si="36"/>
        <v>0.95</v>
      </c>
      <c r="U17" s="65">
        <f t="shared" si="36"/>
        <v>0.95</v>
      </c>
      <c r="V17" s="65">
        <f t="shared" si="36"/>
        <v>0.95</v>
      </c>
      <c r="W17" s="65">
        <f t="shared" si="36"/>
        <v>0.95</v>
      </c>
      <c r="X17" s="65">
        <f t="shared" si="36"/>
        <v>0.95</v>
      </c>
      <c r="Y17" s="65">
        <f t="shared" si="36"/>
        <v>0.95</v>
      </c>
      <c r="Z17" s="65">
        <f t="shared" si="36"/>
        <v>0.95</v>
      </c>
      <c r="AA17" s="65">
        <f t="shared" si="36"/>
        <v>0.95</v>
      </c>
      <c r="AB17" s="65">
        <f t="shared" si="36"/>
        <v>0.95</v>
      </c>
      <c r="AC17" s="371">
        <f>P17</f>
        <v>0.95</v>
      </c>
      <c r="AD17" s="65">
        <f>AP17</f>
        <v>0.95</v>
      </c>
      <c r="AE17" s="65">
        <f t="shared" ref="AE17:AO17" si="37">AD17</f>
        <v>0.95</v>
      </c>
      <c r="AF17" s="65">
        <f t="shared" si="37"/>
        <v>0.95</v>
      </c>
      <c r="AG17" s="65">
        <f t="shared" si="37"/>
        <v>0.95</v>
      </c>
      <c r="AH17" s="65">
        <f t="shared" si="37"/>
        <v>0.95</v>
      </c>
      <c r="AI17" s="65">
        <f t="shared" si="37"/>
        <v>0.95</v>
      </c>
      <c r="AJ17" s="65">
        <f t="shared" si="37"/>
        <v>0.95</v>
      </c>
      <c r="AK17" s="65">
        <f t="shared" si="37"/>
        <v>0.95</v>
      </c>
      <c r="AL17" s="65">
        <f t="shared" si="37"/>
        <v>0.95</v>
      </c>
      <c r="AM17" s="65">
        <f t="shared" si="37"/>
        <v>0.95</v>
      </c>
      <c r="AN17" s="65">
        <f t="shared" si="37"/>
        <v>0.95</v>
      </c>
      <c r="AO17" s="65">
        <f t="shared" si="37"/>
        <v>0.95</v>
      </c>
      <c r="AP17" s="371">
        <f>AC17</f>
        <v>0.95</v>
      </c>
      <c r="AQ17" s="65">
        <f>BC17</f>
        <v>0.95</v>
      </c>
      <c r="AR17" s="65">
        <f t="shared" ref="AR17:BB17" si="38">AQ17</f>
        <v>0.95</v>
      </c>
      <c r="AS17" s="65">
        <f t="shared" si="38"/>
        <v>0.95</v>
      </c>
      <c r="AT17" s="65">
        <f t="shared" si="38"/>
        <v>0.95</v>
      </c>
      <c r="AU17" s="65">
        <f t="shared" si="38"/>
        <v>0.95</v>
      </c>
      <c r="AV17" s="65">
        <f t="shared" si="38"/>
        <v>0.95</v>
      </c>
      <c r="AW17" s="65">
        <f t="shared" si="38"/>
        <v>0.95</v>
      </c>
      <c r="AX17" s="65">
        <f t="shared" si="38"/>
        <v>0.95</v>
      </c>
      <c r="AY17" s="65">
        <f t="shared" si="38"/>
        <v>0.95</v>
      </c>
      <c r="AZ17" s="65">
        <f t="shared" si="38"/>
        <v>0.95</v>
      </c>
      <c r="BA17" s="65">
        <f t="shared" si="38"/>
        <v>0.95</v>
      </c>
      <c r="BB17" s="65">
        <f t="shared" si="38"/>
        <v>0.95</v>
      </c>
      <c r="BC17" s="371">
        <f>AP17</f>
        <v>0.95</v>
      </c>
      <c r="BD17" s="65">
        <f>BP17</f>
        <v>0.95</v>
      </c>
      <c r="BE17" s="65">
        <f t="shared" ref="BE17:BO17" si="39">BD17</f>
        <v>0.95</v>
      </c>
      <c r="BF17" s="65">
        <f t="shared" si="39"/>
        <v>0.95</v>
      </c>
      <c r="BG17" s="65">
        <f t="shared" si="39"/>
        <v>0.95</v>
      </c>
      <c r="BH17" s="65">
        <f t="shared" si="39"/>
        <v>0.95</v>
      </c>
      <c r="BI17" s="65">
        <f t="shared" si="39"/>
        <v>0.95</v>
      </c>
      <c r="BJ17" s="65">
        <f t="shared" si="39"/>
        <v>0.95</v>
      </c>
      <c r="BK17" s="65">
        <f t="shared" si="39"/>
        <v>0.95</v>
      </c>
      <c r="BL17" s="65">
        <f t="shared" si="39"/>
        <v>0.95</v>
      </c>
      <c r="BM17" s="65">
        <f t="shared" si="39"/>
        <v>0.95</v>
      </c>
      <c r="BN17" s="65">
        <f t="shared" si="39"/>
        <v>0.95</v>
      </c>
      <c r="BO17" s="65">
        <f t="shared" si="39"/>
        <v>0.95</v>
      </c>
      <c r="BP17" s="371">
        <f>BC17</f>
        <v>0.95</v>
      </c>
      <c r="CF17" s="76" t="s">
        <v>1086</v>
      </c>
      <c r="CG17" s="285" t="s">
        <v>231</v>
      </c>
    </row>
    <row r="18" spans="1:85" s="17" customFormat="1" ht="15.6">
      <c r="A18" s="520" t="s">
        <v>501</v>
      </c>
      <c r="B18" s="13" t="s">
        <v>502</v>
      </c>
      <c r="C18" s="17">
        <v>0</v>
      </c>
      <c r="D18" s="60">
        <f t="shared" ref="D18:O18" si="40">D15*D16/1000</f>
        <v>0</v>
      </c>
      <c r="E18" s="60">
        <f t="shared" si="40"/>
        <v>0</v>
      </c>
      <c r="F18" s="60">
        <f t="shared" si="40"/>
        <v>0</v>
      </c>
      <c r="G18" s="60">
        <f t="shared" si="40"/>
        <v>0</v>
      </c>
      <c r="H18" s="60">
        <f t="shared" si="40"/>
        <v>0</v>
      </c>
      <c r="I18" s="60">
        <f t="shared" si="40"/>
        <v>0</v>
      </c>
      <c r="J18" s="60">
        <f t="shared" si="40"/>
        <v>34.169301588979181</v>
      </c>
      <c r="K18" s="60">
        <f t="shared" si="40"/>
        <v>69.662936596091143</v>
      </c>
      <c r="L18" s="60">
        <f t="shared" si="40"/>
        <v>106.44011405265628</v>
      </c>
      <c r="M18" s="60">
        <f t="shared" si="40"/>
        <v>144.45828084019544</v>
      </c>
      <c r="N18" s="60">
        <f t="shared" si="40"/>
        <v>183.67321384526628</v>
      </c>
      <c r="O18" s="60">
        <f t="shared" si="40"/>
        <v>222.36127804061616</v>
      </c>
      <c r="P18" s="372">
        <f>O18</f>
        <v>222.36127804061616</v>
      </c>
      <c r="Q18" s="60">
        <f t="shared" ref="Q18:AB18" si="41">Q15*Q16/1000</f>
        <v>629.02699204871703</v>
      </c>
      <c r="R18" s="60">
        <f t="shared" si="41"/>
        <v>822.67591074128165</v>
      </c>
      <c r="S18" s="60">
        <f t="shared" si="41"/>
        <v>1025.4102518611583</v>
      </c>
      <c r="T18" s="60">
        <f t="shared" si="41"/>
        <v>1236.9591403990221</v>
      </c>
      <c r="U18" s="60">
        <f t="shared" si="41"/>
        <v>1457.0405110869915</v>
      </c>
      <c r="V18" s="60">
        <f t="shared" si="41"/>
        <v>1685.3617564561021</v>
      </c>
      <c r="W18" s="60">
        <f t="shared" si="41"/>
        <v>1921.6203963888552</v>
      </c>
      <c r="X18" s="60">
        <f t="shared" si="41"/>
        <v>2165.5047669969631</v>
      </c>
      <c r="Y18" s="60">
        <f t="shared" si="41"/>
        <v>2416.6947266030638</v>
      </c>
      <c r="Z18" s="60">
        <f t="shared" si="41"/>
        <v>2674.8623765630732</v>
      </c>
      <c r="AA18" s="60">
        <f t="shared" si="41"/>
        <v>2939.6727946331371</v>
      </c>
      <c r="AB18" s="60">
        <f t="shared" si="41"/>
        <v>3198.3560394954134</v>
      </c>
      <c r="AC18" s="372">
        <f>AB18</f>
        <v>3198.3560394954134</v>
      </c>
      <c r="AD18" s="60">
        <f t="shared" ref="AD18:AO18" si="42">AD15*AD16/1000</f>
        <v>6888.007978425514</v>
      </c>
      <c r="AE18" s="60">
        <f t="shared" si="42"/>
        <v>7403.0331852663539</v>
      </c>
      <c r="AF18" s="60">
        <f t="shared" si="42"/>
        <v>7940.9641933102303</v>
      </c>
      <c r="AG18" s="60">
        <f t="shared" si="42"/>
        <v>8500.9538432328554</v>
      </c>
      <c r="AH18" s="60">
        <f t="shared" si="42"/>
        <v>9082.1333243980007</v>
      </c>
      <c r="AI18" s="60">
        <f t="shared" si="42"/>
        <v>9683.6142047714875</v>
      </c>
      <c r="AJ18" s="60">
        <f t="shared" si="42"/>
        <v>10304.49048248482</v>
      </c>
      <c r="AK18" s="60">
        <f t="shared" si="42"/>
        <v>10943.840652601511</v>
      </c>
      <c r="AL18" s="60">
        <f t="shared" si="42"/>
        <v>11600.729782672997</v>
      </c>
      <c r="AM18" s="60">
        <f t="shared" si="42"/>
        <v>12274.21159072995</v>
      </c>
      <c r="AN18" s="60">
        <f t="shared" si="42"/>
        <v>12963.330519438558</v>
      </c>
      <c r="AO18" s="60">
        <f t="shared" si="42"/>
        <v>13629.028485672314</v>
      </c>
      <c r="AP18" s="372">
        <f>AO18</f>
        <v>13629.028485672314</v>
      </c>
      <c r="AQ18" s="60">
        <f t="shared" ref="AQ18:BB18" si="43">AQ15*AQ16/1000</f>
        <v>24530.134362125358</v>
      </c>
      <c r="AR18" s="60">
        <f t="shared" si="43"/>
        <v>25250.458276536359</v>
      </c>
      <c r="AS18" s="60">
        <f t="shared" si="43"/>
        <v>26010.272470603119</v>
      </c>
      <c r="AT18" s="60">
        <f t="shared" si="43"/>
        <v>26808.047069678272</v>
      </c>
      <c r="AU18" s="60">
        <f t="shared" si="43"/>
        <v>27642.225091062584</v>
      </c>
      <c r="AV18" s="60">
        <f t="shared" si="43"/>
        <v>28511.226086577317</v>
      </c>
      <c r="AW18" s="60">
        <f t="shared" si="43"/>
        <v>29413.449772770229</v>
      </c>
      <c r="AX18" s="60">
        <f t="shared" si="43"/>
        <v>30347.279638105549</v>
      </c>
      <c r="AY18" s="60">
        <f t="shared" si="43"/>
        <v>31311.086516776799</v>
      </c>
      <c r="AZ18" s="60">
        <f t="shared" si="43"/>
        <v>32303.232119105262</v>
      </c>
      <c r="BA18" s="60">
        <f t="shared" si="43"/>
        <v>33322.072508844481</v>
      </c>
      <c r="BB18" s="60">
        <f t="shared" si="43"/>
        <v>34290.858905796493</v>
      </c>
      <c r="BC18" s="372">
        <f>BB18</f>
        <v>34290.858905796493</v>
      </c>
      <c r="BD18" s="60">
        <f t="shared" ref="BD18:BO18" si="44">BD15*BD16/1000</f>
        <v>49611.291422667207</v>
      </c>
      <c r="BE18" s="60">
        <f t="shared" si="44"/>
        <v>50303.249061028902</v>
      </c>
      <c r="BF18" s="60">
        <f t="shared" si="44"/>
        <v>51060.432063699467</v>
      </c>
      <c r="BG18" s="60">
        <f t="shared" si="44"/>
        <v>51880.420000886348</v>
      </c>
      <c r="BH18" s="60">
        <f t="shared" si="44"/>
        <v>52760.759956354952</v>
      </c>
      <c r="BI18" s="60">
        <f t="shared" si="44"/>
        <v>53698.972261665323</v>
      </c>
      <c r="BJ18" s="60">
        <f t="shared" si="44"/>
        <v>54692.556151066427</v>
      </c>
      <c r="BK18" s="60">
        <f t="shared" si="44"/>
        <v>55738.995322106384</v>
      </c>
      <c r="BL18" s="60">
        <f t="shared" si="44"/>
        <v>56835.76338772825</v>
      </c>
      <c r="BM18" s="60">
        <f t="shared" si="44"/>
        <v>57980.329206370829</v>
      </c>
      <c r="BN18" s="60">
        <f t="shared" si="44"/>
        <v>59170.162077377863</v>
      </c>
      <c r="BO18" s="60">
        <f t="shared" si="44"/>
        <v>60280.117325997431</v>
      </c>
      <c r="BP18" s="372">
        <f>BO18</f>
        <v>60280.117325997431</v>
      </c>
      <c r="BR18" s="60">
        <f>F18/500*1000</f>
        <v>0</v>
      </c>
      <c r="BS18" s="60">
        <f>I18/500*1000</f>
        <v>0</v>
      </c>
      <c r="BT18" s="60">
        <f>L18/500*1000</f>
        <v>212.88022810531257</v>
      </c>
      <c r="BU18" s="60">
        <f>O18/500*1000</f>
        <v>444.72255608123231</v>
      </c>
      <c r="BV18" s="60">
        <f>V18/500*1000</f>
        <v>3370.7235129122041</v>
      </c>
      <c r="BW18" s="60">
        <f>AB18/500*1000</f>
        <v>6396.7120789908267</v>
      </c>
      <c r="BX18" s="60">
        <f>AI18/500*1000</f>
        <v>19367.228409542975</v>
      </c>
      <c r="BY18" s="60">
        <f>AO18/500*1000</f>
        <v>27258.056971344628</v>
      </c>
      <c r="BZ18" s="60">
        <f>AV18/500*1000</f>
        <v>57022.452173154634</v>
      </c>
      <c r="CA18" s="60">
        <f>BB18/500*1000</f>
        <v>68581.717811592986</v>
      </c>
      <c r="CB18" s="60">
        <f>BI18/500*1000</f>
        <v>107397.94452333065</v>
      </c>
      <c r="CC18" s="60">
        <f>BO18/500*1000</f>
        <v>120560.23465199486</v>
      </c>
      <c r="CF18" s="520" t="s">
        <v>1087</v>
      </c>
      <c r="CG18" s="13" t="s">
        <v>965</v>
      </c>
    </row>
    <row r="19" spans="1:85">
      <c r="A19" s="100" t="s">
        <v>130</v>
      </c>
      <c r="B19" s="284" t="s">
        <v>502</v>
      </c>
      <c r="C19" s="4">
        <v>0</v>
      </c>
      <c r="D19" s="3">
        <f t="shared" ref="D19:O19" si="45">D18*D17</f>
        <v>0</v>
      </c>
      <c r="E19" s="3">
        <f t="shared" si="45"/>
        <v>0</v>
      </c>
      <c r="F19" s="3">
        <f t="shared" si="45"/>
        <v>0</v>
      </c>
      <c r="G19" s="3">
        <f t="shared" si="45"/>
        <v>0</v>
      </c>
      <c r="H19" s="3">
        <f t="shared" si="45"/>
        <v>0</v>
      </c>
      <c r="I19" s="3">
        <f t="shared" si="45"/>
        <v>0</v>
      </c>
      <c r="J19" s="3">
        <f t="shared" si="45"/>
        <v>32.460836509530218</v>
      </c>
      <c r="K19" s="3">
        <f t="shared" si="45"/>
        <v>66.179789766286589</v>
      </c>
      <c r="L19" s="3">
        <f t="shared" si="45"/>
        <v>101.11810835002346</v>
      </c>
      <c r="M19" s="3">
        <f t="shared" si="45"/>
        <v>137.23536679818565</v>
      </c>
      <c r="N19" s="3">
        <f t="shared" si="45"/>
        <v>174.48955315300296</v>
      </c>
      <c r="O19" s="3">
        <f t="shared" si="45"/>
        <v>211.24321413858533</v>
      </c>
      <c r="P19" s="397">
        <f>O19</f>
        <v>211.24321413858533</v>
      </c>
      <c r="Q19" s="3">
        <f t="shared" ref="Q19:AB19" si="46">Q18*Q17</f>
        <v>597.57564244628111</v>
      </c>
      <c r="R19" s="3">
        <f t="shared" si="46"/>
        <v>781.54211520421757</v>
      </c>
      <c r="S19" s="3">
        <f t="shared" si="46"/>
        <v>974.13973926810024</v>
      </c>
      <c r="T19" s="3">
        <f t="shared" si="46"/>
        <v>1175.111183379071</v>
      </c>
      <c r="U19" s="3">
        <f t="shared" si="46"/>
        <v>1384.1884855326418</v>
      </c>
      <c r="V19" s="3">
        <f t="shared" si="46"/>
        <v>1601.0936686332968</v>
      </c>
      <c r="W19" s="3">
        <f t="shared" si="46"/>
        <v>1825.5393765694123</v>
      </c>
      <c r="X19" s="3">
        <f t="shared" si="46"/>
        <v>2057.2295286471149</v>
      </c>
      <c r="Y19" s="3">
        <f t="shared" si="46"/>
        <v>2295.8599902729106</v>
      </c>
      <c r="Z19" s="3">
        <f t="shared" si="46"/>
        <v>2541.1192577349193</v>
      </c>
      <c r="AA19" s="3">
        <f t="shared" si="46"/>
        <v>2792.6891549014799</v>
      </c>
      <c r="AB19" s="3">
        <f t="shared" si="46"/>
        <v>3038.4382375206424</v>
      </c>
      <c r="AC19" s="397">
        <f>AB19</f>
        <v>3038.4382375206424</v>
      </c>
      <c r="AD19" s="3">
        <f t="shared" ref="AD19:AO19" si="47">AD18*AD17</f>
        <v>6543.6075795042379</v>
      </c>
      <c r="AE19" s="3">
        <f t="shared" si="47"/>
        <v>7032.881526003036</v>
      </c>
      <c r="AF19" s="3">
        <f t="shared" si="47"/>
        <v>7543.9159836447188</v>
      </c>
      <c r="AG19" s="3">
        <f t="shared" si="47"/>
        <v>8075.9061510712127</v>
      </c>
      <c r="AH19" s="3">
        <f t="shared" si="47"/>
        <v>8628.0266581780998</v>
      </c>
      <c r="AI19" s="3">
        <f t="shared" si="47"/>
        <v>9199.4334945329119</v>
      </c>
      <c r="AJ19" s="3">
        <f t="shared" si="47"/>
        <v>9789.2659583605782</v>
      </c>
      <c r="AK19" s="3">
        <f t="shared" si="47"/>
        <v>10396.648619971435</v>
      </c>
      <c r="AL19" s="3">
        <f t="shared" si="47"/>
        <v>11020.693293539347</v>
      </c>
      <c r="AM19" s="3">
        <f t="shared" si="47"/>
        <v>11660.501011193452</v>
      </c>
      <c r="AN19" s="3">
        <f t="shared" si="47"/>
        <v>12315.163993466629</v>
      </c>
      <c r="AO19" s="3">
        <f t="shared" si="47"/>
        <v>12947.577061388698</v>
      </c>
      <c r="AP19" s="397">
        <f>AO19</f>
        <v>12947.577061388698</v>
      </c>
      <c r="AQ19" s="3">
        <f t="shared" ref="AQ19:BB19" si="48">AQ18*AQ17</f>
        <v>23303.627644019089</v>
      </c>
      <c r="AR19" s="3">
        <f t="shared" si="48"/>
        <v>23987.935362709541</v>
      </c>
      <c r="AS19" s="3">
        <f t="shared" si="48"/>
        <v>24709.758847072961</v>
      </c>
      <c r="AT19" s="3">
        <f t="shared" si="48"/>
        <v>25467.644716194358</v>
      </c>
      <c r="AU19" s="3">
        <f t="shared" si="48"/>
        <v>26260.113836509456</v>
      </c>
      <c r="AV19" s="3">
        <f t="shared" si="48"/>
        <v>27085.664782248448</v>
      </c>
      <c r="AW19" s="3">
        <f t="shared" si="48"/>
        <v>27942.777284131716</v>
      </c>
      <c r="AX19" s="3">
        <f t="shared" si="48"/>
        <v>28829.915656200268</v>
      </c>
      <c r="AY19" s="3">
        <f t="shared" si="48"/>
        <v>29745.532190937956</v>
      </c>
      <c r="AZ19" s="3">
        <f t="shared" si="48"/>
        <v>30688.070513149996</v>
      </c>
      <c r="BA19" s="3">
        <f t="shared" si="48"/>
        <v>31655.968883402256</v>
      </c>
      <c r="BB19" s="3">
        <f t="shared" si="48"/>
        <v>32576.315960506665</v>
      </c>
      <c r="BC19" s="397">
        <f>BB19</f>
        <v>32576.315960506665</v>
      </c>
      <c r="BD19" s="3">
        <f t="shared" ref="BD19:BO19" si="49">BD18*BD17</f>
        <v>47130.726851533844</v>
      </c>
      <c r="BE19" s="3">
        <f t="shared" si="49"/>
        <v>47788.086607977457</v>
      </c>
      <c r="BF19" s="3">
        <f t="shared" si="49"/>
        <v>48507.410460514489</v>
      </c>
      <c r="BG19" s="3">
        <f t="shared" si="49"/>
        <v>49286.39900084203</v>
      </c>
      <c r="BH19" s="3">
        <f t="shared" si="49"/>
        <v>50122.7219585372</v>
      </c>
      <c r="BI19" s="3">
        <f t="shared" si="49"/>
        <v>51014.023648582057</v>
      </c>
      <c r="BJ19" s="3">
        <f t="shared" si="49"/>
        <v>51957.9283435131</v>
      </c>
      <c r="BK19" s="3">
        <f t="shared" si="49"/>
        <v>52952.04555600106</v>
      </c>
      <c r="BL19" s="3">
        <f t="shared" si="49"/>
        <v>53993.975218341831</v>
      </c>
      <c r="BM19" s="3">
        <f t="shared" si="49"/>
        <v>55081.312746052281</v>
      </c>
      <c r="BN19" s="3">
        <f t="shared" si="49"/>
        <v>56211.653973508968</v>
      </c>
      <c r="BO19" s="3">
        <f t="shared" si="49"/>
        <v>57266.11145969756</v>
      </c>
      <c r="BP19" s="397">
        <f>BO19</f>
        <v>57266.11145969756</v>
      </c>
      <c r="CF19" s="100" t="s">
        <v>966</v>
      </c>
      <c r="CG19" s="13" t="s">
        <v>965</v>
      </c>
    </row>
    <row r="20" spans="1:85">
      <c r="A20" s="100" t="s">
        <v>268</v>
      </c>
      <c r="B20" s="284" t="s">
        <v>502</v>
      </c>
      <c r="C20" s="4">
        <v>0</v>
      </c>
      <c r="D20" s="3">
        <f t="shared" ref="D20:O20" si="50">D18-D19</f>
        <v>0</v>
      </c>
      <c r="E20" s="3">
        <f t="shared" si="50"/>
        <v>0</v>
      </c>
      <c r="F20" s="3">
        <f t="shared" si="50"/>
        <v>0</v>
      </c>
      <c r="G20" s="3">
        <f t="shared" si="50"/>
        <v>0</v>
      </c>
      <c r="H20" s="3">
        <f t="shared" si="50"/>
        <v>0</v>
      </c>
      <c r="I20" s="3">
        <f t="shared" si="50"/>
        <v>0</v>
      </c>
      <c r="J20" s="3">
        <f t="shared" si="50"/>
        <v>1.7084650794489633</v>
      </c>
      <c r="K20" s="3">
        <f t="shared" si="50"/>
        <v>3.4831468298045536</v>
      </c>
      <c r="L20" s="3">
        <f t="shared" si="50"/>
        <v>5.322005702632822</v>
      </c>
      <c r="M20" s="3">
        <f t="shared" si="50"/>
        <v>7.2229140420097906</v>
      </c>
      <c r="N20" s="3">
        <f t="shared" si="50"/>
        <v>9.1836606922633166</v>
      </c>
      <c r="O20" s="3">
        <f t="shared" si="50"/>
        <v>11.118063902030826</v>
      </c>
      <c r="P20" s="397">
        <f>O20</f>
        <v>11.118063902030826</v>
      </c>
      <c r="Q20" s="3">
        <f t="shared" ref="Q20:AB20" si="51">Q18-Q19</f>
        <v>31.451349602435926</v>
      </c>
      <c r="R20" s="3">
        <f t="shared" si="51"/>
        <v>41.133795537064088</v>
      </c>
      <c r="S20" s="3">
        <f t="shared" si="51"/>
        <v>51.270512593058015</v>
      </c>
      <c r="T20" s="3">
        <f t="shared" si="51"/>
        <v>61.847957019951082</v>
      </c>
      <c r="U20" s="3">
        <f t="shared" si="51"/>
        <v>72.852025554349666</v>
      </c>
      <c r="V20" s="3">
        <f t="shared" si="51"/>
        <v>84.268087822805228</v>
      </c>
      <c r="W20" s="3">
        <f t="shared" si="51"/>
        <v>96.081019819442872</v>
      </c>
      <c r="X20" s="3">
        <f t="shared" si="51"/>
        <v>108.27523834984822</v>
      </c>
      <c r="Y20" s="3">
        <f t="shared" si="51"/>
        <v>120.83473633015319</v>
      </c>
      <c r="Z20" s="3">
        <f t="shared" si="51"/>
        <v>133.74311882815391</v>
      </c>
      <c r="AA20" s="3">
        <f t="shared" si="51"/>
        <v>146.98363973165715</v>
      </c>
      <c r="AB20" s="3">
        <f t="shared" si="51"/>
        <v>159.91780197477101</v>
      </c>
      <c r="AC20" s="397">
        <f>AB20</f>
        <v>159.91780197477101</v>
      </c>
      <c r="AD20" s="3">
        <f t="shared" ref="AD20:AO20" si="52">AD18-AD19</f>
        <v>344.40039892127606</v>
      </c>
      <c r="AE20" s="3">
        <f t="shared" si="52"/>
        <v>370.15165926331792</v>
      </c>
      <c r="AF20" s="3">
        <f t="shared" si="52"/>
        <v>397.04820966551142</v>
      </c>
      <c r="AG20" s="3">
        <f t="shared" si="52"/>
        <v>425.04769216164277</v>
      </c>
      <c r="AH20" s="3">
        <f t="shared" si="52"/>
        <v>454.10666621990094</v>
      </c>
      <c r="AI20" s="3">
        <f t="shared" si="52"/>
        <v>484.18071023857556</v>
      </c>
      <c r="AJ20" s="3">
        <f t="shared" si="52"/>
        <v>515.22452412424173</v>
      </c>
      <c r="AK20" s="3">
        <f t="shared" si="52"/>
        <v>547.19203263007694</v>
      </c>
      <c r="AL20" s="3">
        <f t="shared" si="52"/>
        <v>580.03648913365032</v>
      </c>
      <c r="AM20" s="3">
        <f t="shared" si="52"/>
        <v>613.7105795364987</v>
      </c>
      <c r="AN20" s="3">
        <f t="shared" si="52"/>
        <v>648.16652597192842</v>
      </c>
      <c r="AO20" s="3">
        <f t="shared" si="52"/>
        <v>681.45142428361578</v>
      </c>
      <c r="AP20" s="397">
        <f>AO20</f>
        <v>681.45142428361578</v>
      </c>
      <c r="AQ20" s="3">
        <f t="shared" ref="AQ20:BB20" si="53">AQ18-AQ19</f>
        <v>1226.5067181062695</v>
      </c>
      <c r="AR20" s="3">
        <f t="shared" si="53"/>
        <v>1262.5229138268187</v>
      </c>
      <c r="AS20" s="3">
        <f t="shared" si="53"/>
        <v>1300.5136235301579</v>
      </c>
      <c r="AT20" s="3">
        <f t="shared" si="53"/>
        <v>1340.4023534839143</v>
      </c>
      <c r="AU20" s="3">
        <f t="shared" si="53"/>
        <v>1382.1112545531287</v>
      </c>
      <c r="AV20" s="3">
        <f t="shared" si="53"/>
        <v>1425.5613043288686</v>
      </c>
      <c r="AW20" s="3">
        <f t="shared" si="53"/>
        <v>1470.6724886385127</v>
      </c>
      <c r="AX20" s="3">
        <f t="shared" si="53"/>
        <v>1517.3639819052805</v>
      </c>
      <c r="AY20" s="3">
        <f t="shared" si="53"/>
        <v>1565.5543258388425</v>
      </c>
      <c r="AZ20" s="3">
        <f t="shared" si="53"/>
        <v>1615.1616059552653</v>
      </c>
      <c r="BA20" s="3">
        <f t="shared" si="53"/>
        <v>1666.1036254422252</v>
      </c>
      <c r="BB20" s="3">
        <f t="shared" si="53"/>
        <v>1714.5429452898279</v>
      </c>
      <c r="BC20" s="397">
        <f>BB20</f>
        <v>1714.5429452898279</v>
      </c>
      <c r="BD20" s="3">
        <f t="shared" ref="BD20:BO20" si="54">BD18-BD19</f>
        <v>2480.5645711333636</v>
      </c>
      <c r="BE20" s="3">
        <f t="shared" si="54"/>
        <v>2515.1624530514455</v>
      </c>
      <c r="BF20" s="3">
        <f t="shared" si="54"/>
        <v>2553.0216031849777</v>
      </c>
      <c r="BG20" s="3">
        <f t="shared" si="54"/>
        <v>2594.0210000443185</v>
      </c>
      <c r="BH20" s="3">
        <f t="shared" si="54"/>
        <v>2638.0379978177516</v>
      </c>
      <c r="BI20" s="3">
        <f t="shared" si="54"/>
        <v>2684.9486130832665</v>
      </c>
      <c r="BJ20" s="3">
        <f t="shared" si="54"/>
        <v>2734.6278075533264</v>
      </c>
      <c r="BK20" s="3">
        <f t="shared" si="54"/>
        <v>2786.9497661053247</v>
      </c>
      <c r="BL20" s="3">
        <f t="shared" si="54"/>
        <v>2841.7881693864183</v>
      </c>
      <c r="BM20" s="3">
        <f t="shared" si="54"/>
        <v>2899.0164603185476</v>
      </c>
      <c r="BN20" s="3">
        <f t="shared" si="54"/>
        <v>2958.508103868895</v>
      </c>
      <c r="BO20" s="3">
        <f t="shared" si="54"/>
        <v>3014.0058662998708</v>
      </c>
      <c r="BP20" s="397">
        <f>BO20</f>
        <v>3014.0058662998708</v>
      </c>
      <c r="BR20" s="3"/>
      <c r="CF20" s="100" t="s">
        <v>1088</v>
      </c>
      <c r="CG20" s="13" t="s">
        <v>965</v>
      </c>
    </row>
    <row r="21" spans="1:85" s="5" customFormat="1">
      <c r="A21" s="5" t="s">
        <v>730</v>
      </c>
      <c r="B21" s="12" t="s">
        <v>292</v>
      </c>
      <c r="D21" s="5">
        <f>P21</f>
        <v>90</v>
      </c>
      <c r="E21" s="5">
        <f t="shared" ref="E21:O21" si="55">D21</f>
        <v>90</v>
      </c>
      <c r="F21" s="5">
        <f t="shared" si="55"/>
        <v>90</v>
      </c>
      <c r="G21" s="5">
        <f t="shared" si="55"/>
        <v>90</v>
      </c>
      <c r="H21" s="5">
        <f t="shared" si="55"/>
        <v>90</v>
      </c>
      <c r="I21" s="5">
        <f t="shared" si="55"/>
        <v>90</v>
      </c>
      <c r="J21" s="5">
        <f t="shared" si="55"/>
        <v>90</v>
      </c>
      <c r="K21" s="5">
        <f t="shared" si="55"/>
        <v>90</v>
      </c>
      <c r="L21" s="5">
        <f t="shared" si="55"/>
        <v>90</v>
      </c>
      <c r="M21" s="5">
        <f t="shared" si="55"/>
        <v>90</v>
      </c>
      <c r="N21" s="5">
        <f t="shared" si="55"/>
        <v>90</v>
      </c>
      <c r="O21" s="5">
        <f t="shared" si="55"/>
        <v>90</v>
      </c>
      <c r="P21" s="473">
        <v>90</v>
      </c>
      <c r="Q21" s="5">
        <f>AC21</f>
        <v>90</v>
      </c>
      <c r="R21" s="5">
        <f t="shared" ref="R21:AB21" si="56">Q21</f>
        <v>90</v>
      </c>
      <c r="S21" s="5">
        <f t="shared" si="56"/>
        <v>90</v>
      </c>
      <c r="T21" s="5">
        <f t="shared" si="56"/>
        <v>90</v>
      </c>
      <c r="U21" s="5">
        <f t="shared" si="56"/>
        <v>90</v>
      </c>
      <c r="V21" s="5">
        <f t="shared" si="56"/>
        <v>90</v>
      </c>
      <c r="W21" s="5">
        <f t="shared" si="56"/>
        <v>90</v>
      </c>
      <c r="X21" s="5">
        <f t="shared" si="56"/>
        <v>90</v>
      </c>
      <c r="Y21" s="5">
        <f t="shared" si="56"/>
        <v>90</v>
      </c>
      <c r="Z21" s="5">
        <f t="shared" si="56"/>
        <v>90</v>
      </c>
      <c r="AA21" s="5">
        <f t="shared" si="56"/>
        <v>90</v>
      </c>
      <c r="AB21" s="5">
        <f t="shared" si="56"/>
        <v>90</v>
      </c>
      <c r="AC21" s="473">
        <f>P21</f>
        <v>90</v>
      </c>
      <c r="AD21" s="5">
        <f>AP21</f>
        <v>90</v>
      </c>
      <c r="AE21" s="5">
        <f t="shared" ref="AE21:AO21" si="57">AD21</f>
        <v>90</v>
      </c>
      <c r="AF21" s="5">
        <f t="shared" si="57"/>
        <v>90</v>
      </c>
      <c r="AG21" s="5">
        <f t="shared" si="57"/>
        <v>90</v>
      </c>
      <c r="AH21" s="5">
        <f t="shared" si="57"/>
        <v>90</v>
      </c>
      <c r="AI21" s="5">
        <f t="shared" si="57"/>
        <v>90</v>
      </c>
      <c r="AJ21" s="5">
        <f t="shared" si="57"/>
        <v>90</v>
      </c>
      <c r="AK21" s="5">
        <f t="shared" si="57"/>
        <v>90</v>
      </c>
      <c r="AL21" s="5">
        <f t="shared" si="57"/>
        <v>90</v>
      </c>
      <c r="AM21" s="5">
        <f t="shared" si="57"/>
        <v>90</v>
      </c>
      <c r="AN21" s="5">
        <f t="shared" si="57"/>
        <v>90</v>
      </c>
      <c r="AO21" s="5">
        <f t="shared" si="57"/>
        <v>90</v>
      </c>
      <c r="AP21" s="473">
        <f>AC21</f>
        <v>90</v>
      </c>
      <c r="AQ21" s="5">
        <f>BC21</f>
        <v>90</v>
      </c>
      <c r="AR21" s="5">
        <f t="shared" ref="AR21:BB21" si="58">AQ21</f>
        <v>90</v>
      </c>
      <c r="AS21" s="5">
        <f t="shared" si="58"/>
        <v>90</v>
      </c>
      <c r="AT21" s="5">
        <f t="shared" si="58"/>
        <v>90</v>
      </c>
      <c r="AU21" s="5">
        <f t="shared" si="58"/>
        <v>90</v>
      </c>
      <c r="AV21" s="5">
        <f t="shared" si="58"/>
        <v>90</v>
      </c>
      <c r="AW21" s="5">
        <f t="shared" si="58"/>
        <v>90</v>
      </c>
      <c r="AX21" s="5">
        <f t="shared" si="58"/>
        <v>90</v>
      </c>
      <c r="AY21" s="5">
        <f t="shared" si="58"/>
        <v>90</v>
      </c>
      <c r="AZ21" s="5">
        <f t="shared" si="58"/>
        <v>90</v>
      </c>
      <c r="BA21" s="5">
        <f t="shared" si="58"/>
        <v>90</v>
      </c>
      <c r="BB21" s="5">
        <f t="shared" si="58"/>
        <v>90</v>
      </c>
      <c r="BC21" s="473">
        <f>AP21</f>
        <v>90</v>
      </c>
      <c r="BD21" s="5">
        <f>BP21</f>
        <v>90</v>
      </c>
      <c r="BE21" s="5">
        <f t="shared" ref="BE21:BO21" si="59">BD21</f>
        <v>90</v>
      </c>
      <c r="BF21" s="5">
        <f t="shared" si="59"/>
        <v>90</v>
      </c>
      <c r="BG21" s="5">
        <f t="shared" si="59"/>
        <v>90</v>
      </c>
      <c r="BH21" s="5">
        <f t="shared" si="59"/>
        <v>90</v>
      </c>
      <c r="BI21" s="5">
        <f t="shared" si="59"/>
        <v>90</v>
      </c>
      <c r="BJ21" s="5">
        <f t="shared" si="59"/>
        <v>90</v>
      </c>
      <c r="BK21" s="5">
        <f t="shared" si="59"/>
        <v>90</v>
      </c>
      <c r="BL21" s="5">
        <f t="shared" si="59"/>
        <v>90</v>
      </c>
      <c r="BM21" s="5">
        <f t="shared" si="59"/>
        <v>90</v>
      </c>
      <c r="BN21" s="5">
        <f t="shared" si="59"/>
        <v>90</v>
      </c>
      <c r="BO21" s="5">
        <f t="shared" si="59"/>
        <v>90</v>
      </c>
      <c r="BP21" s="473">
        <f>BC21</f>
        <v>90</v>
      </c>
      <c r="CF21" s="5" t="s">
        <v>1089</v>
      </c>
      <c r="CG21" s="12" t="s">
        <v>1080</v>
      </c>
    </row>
    <row r="22" spans="1:85" s="17" customFormat="1" ht="15.6">
      <c r="A22" s="60" t="s">
        <v>249</v>
      </c>
      <c r="B22" s="13" t="s">
        <v>502</v>
      </c>
      <c r="D22" s="60">
        <f t="shared" ref="D22:O22" si="60">D15*D21/1000</f>
        <v>0</v>
      </c>
      <c r="E22" s="60">
        <f t="shared" si="60"/>
        <v>0</v>
      </c>
      <c r="F22" s="60">
        <f t="shared" si="60"/>
        <v>0</v>
      </c>
      <c r="G22" s="60">
        <f t="shared" si="60"/>
        <v>0</v>
      </c>
      <c r="H22" s="60">
        <f t="shared" si="60"/>
        <v>0</v>
      </c>
      <c r="I22" s="60">
        <f t="shared" si="60"/>
        <v>0</v>
      </c>
      <c r="J22" s="60">
        <f t="shared" si="60"/>
        <v>615.04742860162526</v>
      </c>
      <c r="K22" s="60">
        <f t="shared" si="60"/>
        <v>1253.9328587296404</v>
      </c>
      <c r="L22" s="60">
        <f t="shared" si="60"/>
        <v>1915.9220529478132</v>
      </c>
      <c r="M22" s="60">
        <f t="shared" si="60"/>
        <v>2600.2490551235182</v>
      </c>
      <c r="N22" s="60">
        <f t="shared" si="60"/>
        <v>3306.1178492147928</v>
      </c>
      <c r="O22" s="60">
        <f t="shared" si="60"/>
        <v>4002.5030047310906</v>
      </c>
      <c r="P22" s="372">
        <f t="shared" ref="P22:P33" si="61">SUM(D22:O22)</f>
        <v>13693.77224934848</v>
      </c>
      <c r="Q22" s="60">
        <f t="shared" ref="Q22:AB22" si="62">Q15*Q21/1000</f>
        <v>5661.2429284384534</v>
      </c>
      <c r="R22" s="60">
        <f t="shared" si="62"/>
        <v>7404.083196671535</v>
      </c>
      <c r="S22" s="60">
        <f t="shared" si="62"/>
        <v>9228.6922667504259</v>
      </c>
      <c r="T22" s="60">
        <f t="shared" si="62"/>
        <v>11132.6322635912</v>
      </c>
      <c r="U22" s="60">
        <f t="shared" si="62"/>
        <v>13113.364599782923</v>
      </c>
      <c r="V22" s="60">
        <f t="shared" si="62"/>
        <v>15168.255808104917</v>
      </c>
      <c r="W22" s="60">
        <f t="shared" si="62"/>
        <v>17294.583567499692</v>
      </c>
      <c r="X22" s="60">
        <f t="shared" si="62"/>
        <v>19489.542902972666</v>
      </c>
      <c r="Y22" s="60">
        <f t="shared" si="62"/>
        <v>21750.252539427576</v>
      </c>
      <c r="Z22" s="60">
        <f t="shared" si="62"/>
        <v>24073.761389067658</v>
      </c>
      <c r="AA22" s="60">
        <f t="shared" si="62"/>
        <v>26457.05515169823</v>
      </c>
      <c r="AB22" s="60">
        <f t="shared" si="62"/>
        <v>28785.204355458722</v>
      </c>
      <c r="AC22" s="372">
        <f t="shared" ref="AC22:AC33" si="63">SUM(Q22:AB22)</f>
        <v>199558.670969464</v>
      </c>
      <c r="AD22" s="60">
        <f t="shared" ref="AD22:AO22" si="64">AD15*AD21/1000</f>
        <v>30996.035902914809</v>
      </c>
      <c r="AE22" s="60">
        <f t="shared" si="64"/>
        <v>33313.649333698595</v>
      </c>
      <c r="AF22" s="60">
        <f t="shared" si="64"/>
        <v>35734.338869896033</v>
      </c>
      <c r="AG22" s="60">
        <f t="shared" si="64"/>
        <v>38254.292294547842</v>
      </c>
      <c r="AH22" s="60">
        <f t="shared" si="64"/>
        <v>40869.599959791005</v>
      </c>
      <c r="AI22" s="60">
        <f t="shared" si="64"/>
        <v>43576.263921471691</v>
      </c>
      <c r="AJ22" s="60">
        <f t="shared" si="64"/>
        <v>46370.20717118169</v>
      </c>
      <c r="AK22" s="60">
        <f t="shared" si="64"/>
        <v>49247.282936706804</v>
      </c>
      <c r="AL22" s="60">
        <f t="shared" si="64"/>
        <v>52203.284022028485</v>
      </c>
      <c r="AM22" s="60">
        <f t="shared" si="64"/>
        <v>55233.952158284774</v>
      </c>
      <c r="AN22" s="60">
        <f t="shared" si="64"/>
        <v>58334.987337473511</v>
      </c>
      <c r="AO22" s="60">
        <f t="shared" si="64"/>
        <v>61330.628185525413</v>
      </c>
      <c r="AP22" s="372">
        <f t="shared" ref="AP22:AP33" si="65">SUM(AD22:AO22)</f>
        <v>545464.52209352062</v>
      </c>
      <c r="AQ22" s="60">
        <f t="shared" ref="AQ22:BB22" si="66">AQ15*AQ21/1000</f>
        <v>63077.488359750918</v>
      </c>
      <c r="AR22" s="60">
        <f t="shared" si="66"/>
        <v>64929.749853950649</v>
      </c>
      <c r="AS22" s="60">
        <f t="shared" si="66"/>
        <v>66883.557781550888</v>
      </c>
      <c r="AT22" s="60">
        <f t="shared" si="66"/>
        <v>68934.9781791727</v>
      </c>
      <c r="AU22" s="60">
        <f t="shared" si="66"/>
        <v>71080.007377018061</v>
      </c>
      <c r="AV22" s="60">
        <f t="shared" si="66"/>
        <v>73314.581365484541</v>
      </c>
      <c r="AW22" s="60">
        <f t="shared" si="66"/>
        <v>75634.585129980595</v>
      </c>
      <c r="AX22" s="60">
        <f t="shared" si="66"/>
        <v>78035.861926557118</v>
      </c>
      <c r="AY22" s="60">
        <f t="shared" si="66"/>
        <v>80514.222471711764</v>
      </c>
      <c r="AZ22" s="60">
        <f t="shared" si="66"/>
        <v>83065.454020556397</v>
      </c>
      <c r="BA22" s="60">
        <f t="shared" si="66"/>
        <v>85685.329308457221</v>
      </c>
      <c r="BB22" s="60">
        <f t="shared" si="66"/>
        <v>88176.494329190973</v>
      </c>
      <c r="BC22" s="372">
        <f t="shared" ref="BC22:BC33" si="67">SUM(AQ22:BB22)</f>
        <v>899332.31010338187</v>
      </c>
      <c r="BD22" s="60">
        <f t="shared" ref="BD22:BO22" si="68">BD15*BD21/1000</f>
        <v>89300.324560800975</v>
      </c>
      <c r="BE22" s="60">
        <f t="shared" si="68"/>
        <v>90545.848309852037</v>
      </c>
      <c r="BF22" s="60">
        <f t="shared" si="68"/>
        <v>91908.777714659038</v>
      </c>
      <c r="BG22" s="60">
        <f t="shared" si="68"/>
        <v>93384.756001595437</v>
      </c>
      <c r="BH22" s="60">
        <f t="shared" si="68"/>
        <v>94969.367921438912</v>
      </c>
      <c r="BI22" s="60">
        <f t="shared" si="68"/>
        <v>96658.150070997581</v>
      </c>
      <c r="BJ22" s="60">
        <f t="shared" si="68"/>
        <v>98446.601071919576</v>
      </c>
      <c r="BK22" s="60">
        <f t="shared" si="68"/>
        <v>100330.19157979148</v>
      </c>
      <c r="BL22" s="60">
        <f t="shared" si="68"/>
        <v>102304.37409791086</v>
      </c>
      <c r="BM22" s="60">
        <f t="shared" si="68"/>
        <v>104364.5925714675</v>
      </c>
      <c r="BN22" s="60">
        <f t="shared" si="68"/>
        <v>106506.29173928015</v>
      </c>
      <c r="BO22" s="60">
        <f t="shared" si="68"/>
        <v>108504.21118679538</v>
      </c>
      <c r="BP22" s="372">
        <f t="shared" ref="BP22:BP33" si="69">SUM(BD22:BO22)</f>
        <v>1177223.4868265088</v>
      </c>
      <c r="CF22" s="60" t="s">
        <v>1090</v>
      </c>
      <c r="CG22" s="13" t="s">
        <v>965</v>
      </c>
    </row>
    <row r="23" spans="1:85" s="3" customFormat="1">
      <c r="A23" s="286" t="s">
        <v>250</v>
      </c>
      <c r="B23" s="12" t="s">
        <v>502</v>
      </c>
      <c r="D23" s="3">
        <f t="shared" ref="D23:O24" si="70">D22*D37</f>
        <v>0</v>
      </c>
      <c r="E23" s="3">
        <f t="shared" si="70"/>
        <v>0</v>
      </c>
      <c r="F23" s="3">
        <f t="shared" si="70"/>
        <v>0</v>
      </c>
      <c r="G23" s="3">
        <f t="shared" si="70"/>
        <v>0</v>
      </c>
      <c r="H23" s="3">
        <f t="shared" si="70"/>
        <v>0</v>
      </c>
      <c r="I23" s="3">
        <f t="shared" si="70"/>
        <v>0</v>
      </c>
      <c r="J23" s="3">
        <f t="shared" si="70"/>
        <v>43.053320002113757</v>
      </c>
      <c r="K23" s="3">
        <f t="shared" si="70"/>
        <v>87.775300111074799</v>
      </c>
      <c r="L23" s="3">
        <f t="shared" si="70"/>
        <v>134.11454370634689</v>
      </c>
      <c r="M23" s="3">
        <f t="shared" si="70"/>
        <v>182.01743385864623</v>
      </c>
      <c r="N23" s="3">
        <f t="shared" si="70"/>
        <v>231.42824944503542</v>
      </c>
      <c r="O23" s="3">
        <f t="shared" si="70"/>
        <v>280.17521033117629</v>
      </c>
      <c r="P23" s="397">
        <f t="shared" si="61"/>
        <v>958.56405745439338</v>
      </c>
      <c r="Q23" s="3">
        <f t="shared" ref="Q23:AB24" si="71">Q22*Q37</f>
        <v>396.28700499069163</v>
      </c>
      <c r="R23" s="3">
        <f t="shared" si="71"/>
        <v>518.28582376700729</v>
      </c>
      <c r="S23" s="3">
        <f t="shared" si="71"/>
        <v>646.00845867252963</v>
      </c>
      <c r="T23" s="3">
        <f t="shared" si="71"/>
        <v>779.28425845138372</v>
      </c>
      <c r="U23" s="3">
        <f t="shared" si="71"/>
        <v>917.93552198480427</v>
      </c>
      <c r="V23" s="3">
        <f t="shared" si="71"/>
        <v>1061.777906567344</v>
      </c>
      <c r="W23" s="3">
        <f t="shared" si="71"/>
        <v>1210.6208497249781</v>
      </c>
      <c r="X23" s="3">
        <f t="shared" si="71"/>
        <v>1364.2680032080862</v>
      </c>
      <c r="Y23" s="3">
        <f t="shared" si="71"/>
        <v>1522.5176777599299</v>
      </c>
      <c r="Z23" s="3">
        <f t="shared" si="71"/>
        <v>1685.1632972347356</v>
      </c>
      <c r="AA23" s="3">
        <f t="shared" si="71"/>
        <v>1851.9938606188755</v>
      </c>
      <c r="AB23" s="3">
        <f t="shared" si="71"/>
        <v>2014.9643048821099</v>
      </c>
      <c r="AC23" s="397">
        <f t="shared" si="63"/>
        <v>13969.106967862477</v>
      </c>
      <c r="AD23" s="3">
        <f t="shared" ref="AD23:AO24" si="72">AD22*AD37</f>
        <v>2169.7225132040362</v>
      </c>
      <c r="AE23" s="3">
        <f t="shared" si="72"/>
        <v>2331.9554533589007</v>
      </c>
      <c r="AF23" s="3">
        <f t="shared" si="72"/>
        <v>2501.4037208927216</v>
      </c>
      <c r="AG23" s="3">
        <f t="shared" si="72"/>
        <v>2677.8004606183481</v>
      </c>
      <c r="AH23" s="3">
        <f t="shared" si="72"/>
        <v>2860.8719971853693</v>
      </c>
      <c r="AI23" s="3">
        <f t="shared" si="72"/>
        <v>3050.3384745030176</v>
      </c>
      <c r="AJ23" s="3">
        <f t="shared" si="72"/>
        <v>3245.9145019827174</v>
      </c>
      <c r="AK23" s="3">
        <f t="shared" si="72"/>
        <v>3447.3098055694754</v>
      </c>
      <c r="AL23" s="3">
        <f t="shared" si="72"/>
        <v>3654.2298815419927</v>
      </c>
      <c r="AM23" s="3">
        <f t="shared" si="72"/>
        <v>3866.3766510799328</v>
      </c>
      <c r="AN23" s="3">
        <f t="shared" si="72"/>
        <v>4083.4491136231445</v>
      </c>
      <c r="AO23" s="3">
        <f t="shared" si="72"/>
        <v>4293.143972986778</v>
      </c>
      <c r="AP23" s="397">
        <f t="shared" si="65"/>
        <v>38182.516546546431</v>
      </c>
      <c r="AQ23" s="3">
        <f t="shared" ref="AQ23:BB24" si="73">AQ22*AQ37</f>
        <v>4415.4241851825627</v>
      </c>
      <c r="AR23" s="3">
        <f t="shared" si="73"/>
        <v>4545.0824897765442</v>
      </c>
      <c r="AS23" s="3">
        <f t="shared" si="73"/>
        <v>4681.8490447085605</v>
      </c>
      <c r="AT23" s="3">
        <f t="shared" si="73"/>
        <v>4825.448472542088</v>
      </c>
      <c r="AU23" s="3">
        <f t="shared" si="73"/>
        <v>4975.6005163912623</v>
      </c>
      <c r="AV23" s="3">
        <f t="shared" si="73"/>
        <v>5132.0206955839167</v>
      </c>
      <c r="AW23" s="3">
        <f t="shared" si="73"/>
        <v>5294.4209590986402</v>
      </c>
      <c r="AX23" s="3">
        <f t="shared" si="73"/>
        <v>5462.5103348589964</v>
      </c>
      <c r="AY23" s="3">
        <f t="shared" si="73"/>
        <v>5635.9955730198217</v>
      </c>
      <c r="AZ23" s="3">
        <f t="shared" si="73"/>
        <v>5814.5817814389457</v>
      </c>
      <c r="BA23" s="3">
        <f t="shared" si="73"/>
        <v>5997.9730515920037</v>
      </c>
      <c r="BB23" s="3">
        <f t="shared" si="73"/>
        <v>6172.3546030433663</v>
      </c>
      <c r="BC23" s="397">
        <f t="shared" si="67"/>
        <v>62953.261707236707</v>
      </c>
      <c r="BD23" s="3">
        <f t="shared" ref="BD23:BO24" si="74">BD22*BD37</f>
        <v>6251.022719256066</v>
      </c>
      <c r="BE23" s="3">
        <f t="shared" si="74"/>
        <v>6338.2093816896404</v>
      </c>
      <c r="BF23" s="3">
        <f t="shared" si="74"/>
        <v>6433.614440026131</v>
      </c>
      <c r="BG23" s="3">
        <f t="shared" si="74"/>
        <v>6536.9329201116789</v>
      </c>
      <c r="BH23" s="3">
        <f t="shared" si="74"/>
        <v>6647.8557545007216</v>
      </c>
      <c r="BI23" s="3">
        <f t="shared" si="74"/>
        <v>6766.070504969829</v>
      </c>
      <c r="BJ23" s="3">
        <f t="shared" si="74"/>
        <v>6891.2620750343685</v>
      </c>
      <c r="BK23" s="3">
        <f t="shared" si="74"/>
        <v>7023.1134105854017</v>
      </c>
      <c r="BL23" s="3">
        <f t="shared" si="74"/>
        <v>7161.3061868537579</v>
      </c>
      <c r="BM23" s="3">
        <f t="shared" si="74"/>
        <v>7305.5214800027225</v>
      </c>
      <c r="BN23" s="3">
        <f t="shared" si="74"/>
        <v>7455.4404217496076</v>
      </c>
      <c r="BO23" s="3">
        <f t="shared" si="74"/>
        <v>7595.2947830756739</v>
      </c>
      <c r="BP23" s="397">
        <f t="shared" si="69"/>
        <v>82405.644077855584</v>
      </c>
      <c r="CF23" s="286" t="s">
        <v>1091</v>
      </c>
      <c r="CG23" s="13" t="s">
        <v>965</v>
      </c>
    </row>
    <row r="24" spans="1:85" s="5" customFormat="1" outlineLevel="1">
      <c r="A24" s="287" t="s">
        <v>503</v>
      </c>
      <c r="B24" s="12" t="s">
        <v>502</v>
      </c>
      <c r="D24" s="5">
        <f t="shared" si="70"/>
        <v>0</v>
      </c>
      <c r="E24" s="5">
        <f t="shared" si="70"/>
        <v>0</v>
      </c>
      <c r="F24" s="5">
        <f t="shared" si="70"/>
        <v>0</v>
      </c>
      <c r="G24" s="5">
        <f t="shared" si="70"/>
        <v>0</v>
      </c>
      <c r="H24" s="5">
        <f t="shared" si="70"/>
        <v>0</v>
      </c>
      <c r="I24" s="5">
        <f t="shared" si="70"/>
        <v>0</v>
      </c>
      <c r="J24" s="5">
        <f t="shared" si="70"/>
        <v>36.595322001796696</v>
      </c>
      <c r="K24" s="5">
        <f t="shared" si="70"/>
        <v>74.609005094413575</v>
      </c>
      <c r="L24" s="5">
        <f t="shared" si="70"/>
        <v>113.99736215039485</v>
      </c>
      <c r="M24" s="5">
        <f t="shared" si="70"/>
        <v>154.71481877984928</v>
      </c>
      <c r="N24" s="5">
        <f t="shared" si="70"/>
        <v>196.71401202828011</v>
      </c>
      <c r="O24" s="5">
        <f t="shared" si="70"/>
        <v>238.14892878149985</v>
      </c>
      <c r="P24" s="383">
        <f t="shared" si="61"/>
        <v>814.77944883623434</v>
      </c>
      <c r="Q24" s="5">
        <f t="shared" si="71"/>
        <v>336.84395424208788</v>
      </c>
      <c r="R24" s="5">
        <f t="shared" si="71"/>
        <v>440.54295020195616</v>
      </c>
      <c r="S24" s="5">
        <f t="shared" si="71"/>
        <v>549.10718987165012</v>
      </c>
      <c r="T24" s="5">
        <f t="shared" si="71"/>
        <v>662.39161968367614</v>
      </c>
      <c r="U24" s="5">
        <f t="shared" si="71"/>
        <v>780.24519368708366</v>
      </c>
      <c r="V24" s="5">
        <f t="shared" si="71"/>
        <v>902.51122058224234</v>
      </c>
      <c r="W24" s="5">
        <f t="shared" si="71"/>
        <v>1029.0277222662314</v>
      </c>
      <c r="X24" s="5">
        <f t="shared" si="71"/>
        <v>1159.6278027268731</v>
      </c>
      <c r="Y24" s="5">
        <f t="shared" si="71"/>
        <v>1294.1400260959404</v>
      </c>
      <c r="Z24" s="5">
        <f t="shared" si="71"/>
        <v>1432.3888026495254</v>
      </c>
      <c r="AA24" s="5">
        <f t="shared" si="71"/>
        <v>1574.1947815260442</v>
      </c>
      <c r="AB24" s="5">
        <f t="shared" si="71"/>
        <v>1712.7196591497934</v>
      </c>
      <c r="AC24" s="383">
        <f t="shared" si="63"/>
        <v>11873.740922683106</v>
      </c>
      <c r="AD24" s="5">
        <f t="shared" si="72"/>
        <v>1844.2641362234308</v>
      </c>
      <c r="AE24" s="5">
        <f t="shared" si="72"/>
        <v>1982.1621353550656</v>
      </c>
      <c r="AF24" s="5">
        <f t="shared" si="72"/>
        <v>2126.1931627588133</v>
      </c>
      <c r="AG24" s="5">
        <f t="shared" si="72"/>
        <v>2276.1303915255958</v>
      </c>
      <c r="AH24" s="5">
        <f t="shared" si="72"/>
        <v>2431.7411976075637</v>
      </c>
      <c r="AI24" s="5">
        <f t="shared" si="72"/>
        <v>2592.7877033275649</v>
      </c>
      <c r="AJ24" s="5">
        <f t="shared" si="72"/>
        <v>2759.0273266853096</v>
      </c>
      <c r="AK24" s="5">
        <f t="shared" si="72"/>
        <v>2930.2133347340541</v>
      </c>
      <c r="AL24" s="5">
        <f t="shared" si="72"/>
        <v>3106.0953993106937</v>
      </c>
      <c r="AM24" s="5">
        <f t="shared" si="72"/>
        <v>3286.4201534179429</v>
      </c>
      <c r="AN24" s="5">
        <f t="shared" si="72"/>
        <v>3470.9317465796726</v>
      </c>
      <c r="AO24" s="5">
        <f t="shared" si="72"/>
        <v>3649.1723770387612</v>
      </c>
      <c r="AP24" s="383">
        <f t="shared" si="65"/>
        <v>32455.139064564468</v>
      </c>
      <c r="AQ24" s="5">
        <f t="shared" si="73"/>
        <v>3753.110557405178</v>
      </c>
      <c r="AR24" s="5">
        <f t="shared" si="73"/>
        <v>3863.3201163100625</v>
      </c>
      <c r="AS24" s="5">
        <f t="shared" si="73"/>
        <v>3979.5716880022765</v>
      </c>
      <c r="AT24" s="5">
        <f t="shared" si="73"/>
        <v>4101.6312016607744</v>
      </c>
      <c r="AU24" s="5">
        <f t="shared" si="73"/>
        <v>4229.2604389325725</v>
      </c>
      <c r="AV24" s="5">
        <f t="shared" si="73"/>
        <v>4362.217591246329</v>
      </c>
      <c r="AW24" s="5">
        <f t="shared" si="73"/>
        <v>4500.2578152338438</v>
      </c>
      <c r="AX24" s="5">
        <f t="shared" si="73"/>
        <v>4643.1337846301467</v>
      </c>
      <c r="AY24" s="5">
        <f t="shared" si="73"/>
        <v>4790.5962370668485</v>
      </c>
      <c r="AZ24" s="5">
        <f t="shared" si="73"/>
        <v>4942.3945142231041</v>
      </c>
      <c r="BA24" s="5">
        <f t="shared" si="73"/>
        <v>5098.277093853203</v>
      </c>
      <c r="BB24" s="5">
        <f t="shared" si="73"/>
        <v>5246.5014125868611</v>
      </c>
      <c r="BC24" s="383">
        <f t="shared" si="67"/>
        <v>53510.272451151199</v>
      </c>
      <c r="BD24" s="5">
        <f t="shared" si="74"/>
        <v>5313.3693113676563</v>
      </c>
      <c r="BE24" s="5">
        <f t="shared" si="74"/>
        <v>5387.477974436194</v>
      </c>
      <c r="BF24" s="5">
        <f t="shared" si="74"/>
        <v>5468.5722740222109</v>
      </c>
      <c r="BG24" s="5">
        <f t="shared" si="74"/>
        <v>5556.392982094927</v>
      </c>
      <c r="BH24" s="5">
        <f t="shared" si="74"/>
        <v>5650.6773913256129</v>
      </c>
      <c r="BI24" s="5">
        <f t="shared" si="74"/>
        <v>5751.1599292243545</v>
      </c>
      <c r="BJ24" s="5">
        <f t="shared" si="74"/>
        <v>5857.5727637792133</v>
      </c>
      <c r="BK24" s="5">
        <f t="shared" si="74"/>
        <v>5969.6463989975909</v>
      </c>
      <c r="BL24" s="5">
        <f t="shared" si="74"/>
        <v>6087.1102588256945</v>
      </c>
      <c r="BM24" s="5">
        <f t="shared" si="74"/>
        <v>6209.693258002314</v>
      </c>
      <c r="BN24" s="5">
        <f t="shared" si="74"/>
        <v>6337.1243584871663</v>
      </c>
      <c r="BO24" s="5">
        <f t="shared" si="74"/>
        <v>6456.000565614323</v>
      </c>
      <c r="BP24" s="383">
        <f t="shared" si="69"/>
        <v>70044.797466177261</v>
      </c>
      <c r="CF24" s="287" t="s">
        <v>1092</v>
      </c>
      <c r="CG24" s="13" t="s">
        <v>965</v>
      </c>
    </row>
    <row r="25" spans="1:85" s="5" customFormat="1" outlineLevel="1">
      <c r="A25" s="287" t="s">
        <v>252</v>
      </c>
      <c r="B25" s="12" t="s">
        <v>502</v>
      </c>
      <c r="D25" s="5">
        <f t="shared" ref="D25:O25" si="75">D23*D39</f>
        <v>0</v>
      </c>
      <c r="E25" s="5">
        <f t="shared" si="75"/>
        <v>0</v>
      </c>
      <c r="F25" s="5">
        <f t="shared" si="75"/>
        <v>0</v>
      </c>
      <c r="G25" s="5">
        <f t="shared" si="75"/>
        <v>0</v>
      </c>
      <c r="H25" s="5">
        <f t="shared" si="75"/>
        <v>0</v>
      </c>
      <c r="I25" s="5">
        <f t="shared" si="75"/>
        <v>0</v>
      </c>
      <c r="J25" s="5">
        <f t="shared" si="75"/>
        <v>6.4579980003170645</v>
      </c>
      <c r="K25" s="5">
        <f t="shared" si="75"/>
        <v>13.166295016661222</v>
      </c>
      <c r="L25" s="5">
        <f t="shared" si="75"/>
        <v>20.117181555952037</v>
      </c>
      <c r="M25" s="5">
        <f t="shared" si="75"/>
        <v>27.30261507879694</v>
      </c>
      <c r="N25" s="5">
        <f t="shared" si="75"/>
        <v>34.714237416755317</v>
      </c>
      <c r="O25" s="5">
        <f t="shared" si="75"/>
        <v>42.026281549676447</v>
      </c>
      <c r="P25" s="383">
        <f t="shared" si="61"/>
        <v>143.78460861815901</v>
      </c>
      <c r="Q25" s="5">
        <f t="shared" ref="Q25:AB25" si="76">Q23*Q39</f>
        <v>59.443050748603753</v>
      </c>
      <c r="R25" s="5">
        <f t="shared" si="76"/>
        <v>77.742873565051099</v>
      </c>
      <c r="S25" s="5">
        <f t="shared" si="76"/>
        <v>96.901268800879464</v>
      </c>
      <c r="T25" s="5">
        <f t="shared" si="76"/>
        <v>116.89263876770758</v>
      </c>
      <c r="U25" s="5">
        <f t="shared" si="76"/>
        <v>137.69032829772067</v>
      </c>
      <c r="V25" s="5">
        <f t="shared" si="76"/>
        <v>159.26668598510162</v>
      </c>
      <c r="W25" s="5">
        <f t="shared" si="76"/>
        <v>181.59312745874675</v>
      </c>
      <c r="X25" s="5">
        <f t="shared" si="76"/>
        <v>204.64020048121296</v>
      </c>
      <c r="Y25" s="5">
        <f t="shared" si="76"/>
        <v>228.37765166398952</v>
      </c>
      <c r="Z25" s="5">
        <f t="shared" si="76"/>
        <v>252.77449458521039</v>
      </c>
      <c r="AA25" s="5">
        <f t="shared" si="76"/>
        <v>277.79907909283139</v>
      </c>
      <c r="AB25" s="5">
        <f t="shared" si="76"/>
        <v>302.24464573231654</v>
      </c>
      <c r="AC25" s="383">
        <f t="shared" si="63"/>
        <v>2095.3660451793717</v>
      </c>
      <c r="AD25" s="5">
        <f t="shared" ref="AD25:AO25" si="77">AD23*AD39</f>
        <v>325.45837698060546</v>
      </c>
      <c r="AE25" s="5">
        <f t="shared" si="77"/>
        <v>349.79331800383517</v>
      </c>
      <c r="AF25" s="5">
        <f t="shared" si="77"/>
        <v>375.21055813390831</v>
      </c>
      <c r="AG25" s="5">
        <f t="shared" si="77"/>
        <v>401.67006909275227</v>
      </c>
      <c r="AH25" s="5">
        <f t="shared" si="77"/>
        <v>429.13079957780548</v>
      </c>
      <c r="AI25" s="5">
        <f t="shared" si="77"/>
        <v>457.55077117545272</v>
      </c>
      <c r="AJ25" s="5">
        <f t="shared" si="77"/>
        <v>486.88717529740768</v>
      </c>
      <c r="AK25" s="5">
        <f t="shared" si="77"/>
        <v>517.09647083542143</v>
      </c>
      <c r="AL25" s="5">
        <f t="shared" si="77"/>
        <v>548.13448223129899</v>
      </c>
      <c r="AM25" s="5">
        <f t="shared" si="77"/>
        <v>579.95649766199006</v>
      </c>
      <c r="AN25" s="5">
        <f t="shared" si="77"/>
        <v>612.51736704347172</v>
      </c>
      <c r="AO25" s="5">
        <f t="shared" si="77"/>
        <v>643.97159594801678</v>
      </c>
      <c r="AP25" s="383">
        <f t="shared" si="65"/>
        <v>5727.3774819819664</v>
      </c>
      <c r="AQ25" s="5">
        <f t="shared" ref="AQ25:BB25" si="78">AQ23*AQ39</f>
        <v>662.31362777738445</v>
      </c>
      <c r="AR25" s="5">
        <f t="shared" si="78"/>
        <v>681.76237346648168</v>
      </c>
      <c r="AS25" s="5">
        <f t="shared" si="78"/>
        <v>702.27735670628419</v>
      </c>
      <c r="AT25" s="5">
        <f t="shared" si="78"/>
        <v>723.81727088131333</v>
      </c>
      <c r="AU25" s="5">
        <f t="shared" si="78"/>
        <v>746.34007745868951</v>
      </c>
      <c r="AV25" s="5">
        <f t="shared" si="78"/>
        <v>769.80310433758757</v>
      </c>
      <c r="AW25" s="5">
        <f t="shared" si="78"/>
        <v>794.1631438647961</v>
      </c>
      <c r="AX25" s="5">
        <f t="shared" si="78"/>
        <v>819.37655022884962</v>
      </c>
      <c r="AY25" s="5">
        <f t="shared" si="78"/>
        <v>845.39933595297339</v>
      </c>
      <c r="AZ25" s="5">
        <f t="shared" si="78"/>
        <v>872.18726721584198</v>
      </c>
      <c r="BA25" s="5">
        <f t="shared" si="78"/>
        <v>899.69595773880064</v>
      </c>
      <c r="BB25" s="5">
        <f t="shared" si="78"/>
        <v>925.8531904565051</v>
      </c>
      <c r="BC25" s="383">
        <f t="shared" si="67"/>
        <v>9442.989256085506</v>
      </c>
      <c r="BD25" s="5">
        <f t="shared" ref="BD25:BO25" si="79">BD23*BD39</f>
        <v>937.65340788841002</v>
      </c>
      <c r="BE25" s="5">
        <f t="shared" si="79"/>
        <v>950.73140725344615</v>
      </c>
      <c r="BF25" s="5">
        <f t="shared" si="79"/>
        <v>965.04216600391976</v>
      </c>
      <c r="BG25" s="5">
        <f t="shared" si="79"/>
        <v>980.53993801675199</v>
      </c>
      <c r="BH25" s="5">
        <f t="shared" si="79"/>
        <v>997.17836317510842</v>
      </c>
      <c r="BI25" s="5">
        <f t="shared" si="79"/>
        <v>1014.9105757454745</v>
      </c>
      <c r="BJ25" s="5">
        <f t="shared" si="79"/>
        <v>1033.6893112551554</v>
      </c>
      <c r="BK25" s="5">
        <f t="shared" si="79"/>
        <v>1053.4670115878105</v>
      </c>
      <c r="BL25" s="5">
        <f t="shared" si="79"/>
        <v>1074.1959280280639</v>
      </c>
      <c r="BM25" s="5">
        <f t="shared" si="79"/>
        <v>1095.8282220004085</v>
      </c>
      <c r="BN25" s="5">
        <f t="shared" si="79"/>
        <v>1118.3160632624413</v>
      </c>
      <c r="BO25" s="5">
        <f t="shared" si="79"/>
        <v>1139.2942174613513</v>
      </c>
      <c r="BP25" s="383">
        <f t="shared" si="69"/>
        <v>12360.84661167834</v>
      </c>
      <c r="CF25" s="287" t="s">
        <v>1093</v>
      </c>
      <c r="CG25" s="13" t="s">
        <v>965</v>
      </c>
    </row>
    <row r="26" spans="1:85" s="3" customFormat="1">
      <c r="A26" s="286" t="s">
        <v>253</v>
      </c>
      <c r="B26" s="12" t="s">
        <v>502</v>
      </c>
      <c r="D26" s="3">
        <f t="shared" ref="D26:O26" si="80">D22*D40</f>
        <v>0</v>
      </c>
      <c r="E26" s="3">
        <f t="shared" si="80"/>
        <v>0</v>
      </c>
      <c r="F26" s="3">
        <f t="shared" si="80"/>
        <v>0</v>
      </c>
      <c r="G26" s="3">
        <f t="shared" si="80"/>
        <v>0</v>
      </c>
      <c r="H26" s="3">
        <f t="shared" si="80"/>
        <v>0</v>
      </c>
      <c r="I26" s="3">
        <f t="shared" si="80"/>
        <v>0</v>
      </c>
      <c r="J26" s="3">
        <f t="shared" si="80"/>
        <v>553.54268574146272</v>
      </c>
      <c r="K26" s="3">
        <f t="shared" si="80"/>
        <v>1128.5395728566764</v>
      </c>
      <c r="L26" s="3">
        <f t="shared" si="80"/>
        <v>1724.3298476530319</v>
      </c>
      <c r="M26" s="3">
        <f t="shared" si="80"/>
        <v>2340.2241496111665</v>
      </c>
      <c r="N26" s="3">
        <f t="shared" si="80"/>
        <v>2975.5060642933136</v>
      </c>
      <c r="O26" s="3">
        <f t="shared" si="80"/>
        <v>3602.2527042579818</v>
      </c>
      <c r="P26" s="397">
        <f t="shared" si="61"/>
        <v>12324.395024413634</v>
      </c>
      <c r="Q26" s="3">
        <f t="shared" ref="Q26:AB26" si="81">Q22*Q40</f>
        <v>5095.1186355946083</v>
      </c>
      <c r="R26" s="3">
        <f t="shared" si="81"/>
        <v>6663.6748770043814</v>
      </c>
      <c r="S26" s="3">
        <f t="shared" si="81"/>
        <v>8305.8230400753837</v>
      </c>
      <c r="T26" s="3">
        <f t="shared" si="81"/>
        <v>10019.36903723208</v>
      </c>
      <c r="U26" s="3">
        <f t="shared" si="81"/>
        <v>11802.02813980463</v>
      </c>
      <c r="V26" s="3">
        <f t="shared" si="81"/>
        <v>13651.430227294426</v>
      </c>
      <c r="W26" s="3">
        <f t="shared" si="81"/>
        <v>15565.125210749724</v>
      </c>
      <c r="X26" s="3">
        <f t="shared" si="81"/>
        <v>17540.588612675401</v>
      </c>
      <c r="Y26" s="3">
        <f t="shared" si="81"/>
        <v>19575.22728548482</v>
      </c>
      <c r="Z26" s="3">
        <f t="shared" si="81"/>
        <v>21666.385250160893</v>
      </c>
      <c r="AA26" s="3">
        <f t="shared" si="81"/>
        <v>23811.349636528408</v>
      </c>
      <c r="AB26" s="3">
        <f t="shared" si="81"/>
        <v>25906.683919912852</v>
      </c>
      <c r="AC26" s="397">
        <f t="shared" si="63"/>
        <v>179602.8038725176</v>
      </c>
      <c r="AD26" s="3">
        <f t="shared" ref="AD26:AO26" si="82">AD22*AD40</f>
        <v>27896.432312623328</v>
      </c>
      <c r="AE26" s="3">
        <f t="shared" si="82"/>
        <v>29982.284400328736</v>
      </c>
      <c r="AF26" s="3">
        <f t="shared" si="82"/>
        <v>32160.904982906432</v>
      </c>
      <c r="AG26" s="3">
        <f t="shared" si="82"/>
        <v>34428.863065093057</v>
      </c>
      <c r="AH26" s="3">
        <f t="shared" si="82"/>
        <v>36782.639963811904</v>
      </c>
      <c r="AI26" s="3">
        <f t="shared" si="82"/>
        <v>39218.637529324522</v>
      </c>
      <c r="AJ26" s="3">
        <f t="shared" si="82"/>
        <v>41733.186454063522</v>
      </c>
      <c r="AK26" s="3">
        <f t="shared" si="82"/>
        <v>44322.554643036128</v>
      </c>
      <c r="AL26" s="3">
        <f t="shared" si="82"/>
        <v>46982.95561982564</v>
      </c>
      <c r="AM26" s="3">
        <f t="shared" si="82"/>
        <v>49710.5569424563</v>
      </c>
      <c r="AN26" s="3">
        <f t="shared" si="82"/>
        <v>52501.48860372616</v>
      </c>
      <c r="AO26" s="3">
        <f t="shared" si="82"/>
        <v>55197.565366972871</v>
      </c>
      <c r="AP26" s="397">
        <f t="shared" si="65"/>
        <v>490918.06988416851</v>
      </c>
      <c r="AQ26" s="3">
        <f t="shared" ref="AQ26:BB26" si="83">AQ22*AQ40</f>
        <v>56769.739523775825</v>
      </c>
      <c r="AR26" s="3">
        <f t="shared" si="83"/>
        <v>58436.774868555585</v>
      </c>
      <c r="AS26" s="3">
        <f t="shared" si="83"/>
        <v>60195.202003395803</v>
      </c>
      <c r="AT26" s="3">
        <f t="shared" si="83"/>
        <v>62041.480361255431</v>
      </c>
      <c r="AU26" s="3">
        <f t="shared" si="83"/>
        <v>63972.006639316256</v>
      </c>
      <c r="AV26" s="3">
        <f t="shared" si="83"/>
        <v>65983.123228936092</v>
      </c>
      <c r="AW26" s="3">
        <f t="shared" si="83"/>
        <v>68071.126616982539</v>
      </c>
      <c r="AX26" s="3">
        <f t="shared" si="83"/>
        <v>70232.275733901406</v>
      </c>
      <c r="AY26" s="3">
        <f t="shared" si="83"/>
        <v>72462.800224540595</v>
      </c>
      <c r="AZ26" s="3">
        <f t="shared" si="83"/>
        <v>74758.908618500762</v>
      </c>
      <c r="BA26" s="3">
        <f t="shared" si="83"/>
        <v>77116.796377611507</v>
      </c>
      <c r="BB26" s="3">
        <f t="shared" si="83"/>
        <v>79358.844896271883</v>
      </c>
      <c r="BC26" s="397">
        <f t="shared" si="67"/>
        <v>809399.07909304369</v>
      </c>
      <c r="BD26" s="3">
        <f t="shared" ref="BD26:BO26" si="84">BD22*BD40</f>
        <v>80370.29210472088</v>
      </c>
      <c r="BE26" s="3">
        <f t="shared" si="84"/>
        <v>81491.263478866837</v>
      </c>
      <c r="BF26" s="3">
        <f t="shared" si="84"/>
        <v>82717.89994319313</v>
      </c>
      <c r="BG26" s="3">
        <f t="shared" si="84"/>
        <v>84046.280401435899</v>
      </c>
      <c r="BH26" s="3">
        <f t="shared" si="84"/>
        <v>85472.43112929503</v>
      </c>
      <c r="BI26" s="3">
        <f t="shared" si="84"/>
        <v>86992.33506389783</v>
      </c>
      <c r="BJ26" s="3">
        <f t="shared" si="84"/>
        <v>88601.940964727619</v>
      </c>
      <c r="BK26" s="3">
        <f t="shared" si="84"/>
        <v>90297.172421812342</v>
      </c>
      <c r="BL26" s="3">
        <f t="shared" si="84"/>
        <v>92073.936688119778</v>
      </c>
      <c r="BM26" s="3">
        <f t="shared" si="84"/>
        <v>93928.133314320745</v>
      </c>
      <c r="BN26" s="3">
        <f t="shared" si="84"/>
        <v>95855.662565352133</v>
      </c>
      <c r="BO26" s="3">
        <f t="shared" si="84"/>
        <v>97653.79006811585</v>
      </c>
      <c r="BP26" s="397">
        <f t="shared" si="69"/>
        <v>1059501.1381438582</v>
      </c>
      <c r="CF26" s="286" t="s">
        <v>1094</v>
      </c>
      <c r="CG26" s="13" t="s">
        <v>965</v>
      </c>
    </row>
    <row r="27" spans="1:85" s="5" customFormat="1" outlineLevel="1">
      <c r="A27" s="287" t="s">
        <v>503</v>
      </c>
      <c r="B27" s="12" t="s">
        <v>502</v>
      </c>
      <c r="D27" s="5">
        <f t="shared" ref="D27:O27" si="85">D26*D41</f>
        <v>0</v>
      </c>
      <c r="E27" s="5">
        <f t="shared" si="85"/>
        <v>0</v>
      </c>
      <c r="F27" s="5">
        <f t="shared" si="85"/>
        <v>0</v>
      </c>
      <c r="G27" s="5">
        <f t="shared" si="85"/>
        <v>0</v>
      </c>
      <c r="H27" s="5">
        <f t="shared" si="85"/>
        <v>0</v>
      </c>
      <c r="I27" s="5">
        <f t="shared" si="85"/>
        <v>0</v>
      </c>
      <c r="J27" s="5">
        <f t="shared" si="85"/>
        <v>27.677134287073137</v>
      </c>
      <c r="K27" s="5">
        <f t="shared" si="85"/>
        <v>56.426978642833824</v>
      </c>
      <c r="L27" s="5">
        <f t="shared" si="85"/>
        <v>86.216492382651609</v>
      </c>
      <c r="M27" s="5">
        <f t="shared" si="85"/>
        <v>117.01120748055833</v>
      </c>
      <c r="N27" s="5">
        <f t="shared" si="85"/>
        <v>148.77530321466568</v>
      </c>
      <c r="O27" s="5">
        <f t="shared" si="85"/>
        <v>180.11263521289911</v>
      </c>
      <c r="P27" s="383">
        <f t="shared" si="61"/>
        <v>616.2197512206817</v>
      </c>
      <c r="Q27" s="5">
        <f t="shared" ref="Q27:AB27" si="86">Q26*Q41</f>
        <v>254.75593177973042</v>
      </c>
      <c r="R27" s="5">
        <f t="shared" si="86"/>
        <v>333.18374385021912</v>
      </c>
      <c r="S27" s="5">
        <f t="shared" si="86"/>
        <v>415.29115200376918</v>
      </c>
      <c r="T27" s="5">
        <f t="shared" si="86"/>
        <v>500.96845186160402</v>
      </c>
      <c r="U27" s="5">
        <f t="shared" si="86"/>
        <v>590.10140699023157</v>
      </c>
      <c r="V27" s="5">
        <f t="shared" si="86"/>
        <v>682.57151136472135</v>
      </c>
      <c r="W27" s="5">
        <f t="shared" si="86"/>
        <v>778.25626053748624</v>
      </c>
      <c r="X27" s="5">
        <f t="shared" si="86"/>
        <v>877.02943063377006</v>
      </c>
      <c r="Y27" s="5">
        <f t="shared" si="86"/>
        <v>978.76136427424103</v>
      </c>
      <c r="Z27" s="5">
        <f t="shared" si="86"/>
        <v>1083.3192625080446</v>
      </c>
      <c r="AA27" s="5">
        <f t="shared" si="86"/>
        <v>1190.5674818264204</v>
      </c>
      <c r="AB27" s="5">
        <f t="shared" si="86"/>
        <v>1295.3341959956426</v>
      </c>
      <c r="AC27" s="383">
        <f t="shared" si="63"/>
        <v>8980.1401936258808</v>
      </c>
      <c r="AD27" s="5">
        <f t="shared" ref="AD27:AO27" si="87">AD26*AD41</f>
        <v>1394.8216156311664</v>
      </c>
      <c r="AE27" s="5">
        <f t="shared" si="87"/>
        <v>1499.1142200164368</v>
      </c>
      <c r="AF27" s="5">
        <f t="shared" si="87"/>
        <v>1608.0452491453216</v>
      </c>
      <c r="AG27" s="5">
        <f t="shared" si="87"/>
        <v>1721.443153254653</v>
      </c>
      <c r="AH27" s="5">
        <f t="shared" si="87"/>
        <v>1839.1319981905954</v>
      </c>
      <c r="AI27" s="5">
        <f t="shared" si="87"/>
        <v>1960.9318764662262</v>
      </c>
      <c r="AJ27" s="5">
        <f t="shared" si="87"/>
        <v>2086.6593227031763</v>
      </c>
      <c r="AK27" s="5">
        <f t="shared" si="87"/>
        <v>2216.1277321518064</v>
      </c>
      <c r="AL27" s="5">
        <f t="shared" si="87"/>
        <v>2349.1477809912822</v>
      </c>
      <c r="AM27" s="5">
        <f t="shared" si="87"/>
        <v>2485.5278471228153</v>
      </c>
      <c r="AN27" s="5">
        <f t="shared" si="87"/>
        <v>2625.0744301863083</v>
      </c>
      <c r="AO27" s="5">
        <f t="shared" si="87"/>
        <v>2759.8782683486438</v>
      </c>
      <c r="AP27" s="383">
        <f t="shared" si="65"/>
        <v>24545.903494208433</v>
      </c>
      <c r="AQ27" s="5">
        <f t="shared" ref="AQ27:BB27" si="88">AQ26*AQ41</f>
        <v>2838.4869761887912</v>
      </c>
      <c r="AR27" s="5">
        <f t="shared" si="88"/>
        <v>2921.8387434277793</v>
      </c>
      <c r="AS27" s="5">
        <f t="shared" si="88"/>
        <v>3009.7601001697903</v>
      </c>
      <c r="AT27" s="5">
        <f t="shared" si="88"/>
        <v>3102.0740180627718</v>
      </c>
      <c r="AU27" s="5">
        <f t="shared" si="88"/>
        <v>3198.600331965813</v>
      </c>
      <c r="AV27" s="5">
        <f t="shared" si="88"/>
        <v>3299.1561614468046</v>
      </c>
      <c r="AW27" s="5">
        <f t="shared" si="88"/>
        <v>3403.5563308491273</v>
      </c>
      <c r="AX27" s="5">
        <f t="shared" si="88"/>
        <v>3511.6137866950703</v>
      </c>
      <c r="AY27" s="5">
        <f t="shared" si="88"/>
        <v>3623.1400112270298</v>
      </c>
      <c r="AZ27" s="5">
        <f t="shared" si="88"/>
        <v>3737.9454309250382</v>
      </c>
      <c r="BA27" s="5">
        <f t="shared" si="88"/>
        <v>3855.8398188805754</v>
      </c>
      <c r="BB27" s="5">
        <f t="shared" si="88"/>
        <v>3967.9422448135942</v>
      </c>
      <c r="BC27" s="383">
        <f t="shared" si="67"/>
        <v>40469.953954652192</v>
      </c>
      <c r="BD27" s="5">
        <f t="shared" ref="BD27:BO27" si="89">BD26*BD41</f>
        <v>4018.5146052360442</v>
      </c>
      <c r="BE27" s="5">
        <f t="shared" si="89"/>
        <v>4074.563173943342</v>
      </c>
      <c r="BF27" s="5">
        <f t="shared" si="89"/>
        <v>4135.8949971596567</v>
      </c>
      <c r="BG27" s="5">
        <f t="shared" si="89"/>
        <v>4202.3140200717953</v>
      </c>
      <c r="BH27" s="5">
        <f t="shared" si="89"/>
        <v>4273.6215564647518</v>
      </c>
      <c r="BI27" s="5">
        <f t="shared" si="89"/>
        <v>4349.6167531948913</v>
      </c>
      <c r="BJ27" s="5">
        <f t="shared" si="89"/>
        <v>4430.0970482363809</v>
      </c>
      <c r="BK27" s="5">
        <f t="shared" si="89"/>
        <v>4514.8586210906169</v>
      </c>
      <c r="BL27" s="5">
        <f t="shared" si="89"/>
        <v>4603.6968344059887</v>
      </c>
      <c r="BM27" s="5">
        <f t="shared" si="89"/>
        <v>4696.4066657160374</v>
      </c>
      <c r="BN27" s="5">
        <f t="shared" si="89"/>
        <v>4792.783128267607</v>
      </c>
      <c r="BO27" s="5">
        <f t="shared" si="89"/>
        <v>4882.6895034057925</v>
      </c>
      <c r="BP27" s="383">
        <f t="shared" si="69"/>
        <v>52975.056907192891</v>
      </c>
      <c r="CF27" s="287" t="s">
        <v>1092</v>
      </c>
      <c r="CG27" s="13" t="s">
        <v>965</v>
      </c>
    </row>
    <row r="28" spans="1:85" s="5" customFormat="1" outlineLevel="1">
      <c r="A28" s="288" t="s">
        <v>504</v>
      </c>
      <c r="B28" s="12" t="s">
        <v>502</v>
      </c>
      <c r="D28" s="5">
        <f t="shared" ref="D28:O28" si="90">D26*D42</f>
        <v>0</v>
      </c>
      <c r="E28" s="5">
        <f t="shared" si="90"/>
        <v>0</v>
      </c>
      <c r="F28" s="5">
        <f t="shared" si="90"/>
        <v>0</v>
      </c>
      <c r="G28" s="5">
        <f t="shared" si="90"/>
        <v>0</v>
      </c>
      <c r="H28" s="5">
        <f t="shared" si="90"/>
        <v>0</v>
      </c>
      <c r="I28" s="5">
        <f t="shared" si="90"/>
        <v>0</v>
      </c>
      <c r="J28" s="5">
        <f t="shared" si="90"/>
        <v>16.606280572243882</v>
      </c>
      <c r="K28" s="5">
        <f t="shared" si="90"/>
        <v>33.856187185700293</v>
      </c>
      <c r="L28" s="5">
        <f t="shared" si="90"/>
        <v>51.729895429590954</v>
      </c>
      <c r="M28" s="5">
        <f t="shared" si="90"/>
        <v>70.206724488334984</v>
      </c>
      <c r="N28" s="5">
        <f t="shared" si="90"/>
        <v>89.265181928799407</v>
      </c>
      <c r="O28" s="5">
        <f t="shared" si="90"/>
        <v>108.06758112773944</v>
      </c>
      <c r="P28" s="383">
        <f t="shared" si="61"/>
        <v>369.73185073240899</v>
      </c>
      <c r="Q28" s="5">
        <f t="shared" ref="Q28:AB28" si="91">Q26*Q42</f>
        <v>152.85355906783823</v>
      </c>
      <c r="R28" s="5">
        <f t="shared" si="91"/>
        <v>199.91024631013144</v>
      </c>
      <c r="S28" s="5">
        <f t="shared" si="91"/>
        <v>249.1746912022615</v>
      </c>
      <c r="T28" s="5">
        <f t="shared" si="91"/>
        <v>300.58107111696239</v>
      </c>
      <c r="U28" s="5">
        <f t="shared" si="91"/>
        <v>354.06084419413889</v>
      </c>
      <c r="V28" s="5">
        <f t="shared" si="91"/>
        <v>409.54290681883276</v>
      </c>
      <c r="W28" s="5">
        <f t="shared" si="91"/>
        <v>466.9537563224917</v>
      </c>
      <c r="X28" s="5">
        <f t="shared" si="91"/>
        <v>526.21765838026204</v>
      </c>
      <c r="Y28" s="5">
        <f t="shared" si="91"/>
        <v>587.25681856454457</v>
      </c>
      <c r="Z28" s="5">
        <f t="shared" si="91"/>
        <v>649.9915575048268</v>
      </c>
      <c r="AA28" s="5">
        <f t="shared" si="91"/>
        <v>714.34048909585226</v>
      </c>
      <c r="AB28" s="5">
        <f t="shared" si="91"/>
        <v>777.20051759738556</v>
      </c>
      <c r="AC28" s="383">
        <f t="shared" si="63"/>
        <v>5388.0841161755279</v>
      </c>
      <c r="AD28" s="5">
        <f t="shared" ref="AD28:AO28" si="92">AD26*AD42</f>
        <v>836.89296937869983</v>
      </c>
      <c r="AE28" s="5">
        <f t="shared" si="92"/>
        <v>899.46853200986209</v>
      </c>
      <c r="AF28" s="5">
        <f t="shared" si="92"/>
        <v>964.82714948719286</v>
      </c>
      <c r="AG28" s="5">
        <f t="shared" si="92"/>
        <v>1032.8658919527916</v>
      </c>
      <c r="AH28" s="5">
        <f t="shared" si="92"/>
        <v>1103.4791989143571</v>
      </c>
      <c r="AI28" s="5">
        <f t="shared" si="92"/>
        <v>1176.5591258797356</v>
      </c>
      <c r="AJ28" s="5">
        <f t="shared" si="92"/>
        <v>1251.9955936219055</v>
      </c>
      <c r="AK28" s="5">
        <f t="shared" si="92"/>
        <v>1329.6766392910838</v>
      </c>
      <c r="AL28" s="5">
        <f t="shared" si="92"/>
        <v>1409.488668594769</v>
      </c>
      <c r="AM28" s="5">
        <f t="shared" si="92"/>
        <v>1491.3167082736888</v>
      </c>
      <c r="AN28" s="5">
        <f t="shared" si="92"/>
        <v>1575.0446581117847</v>
      </c>
      <c r="AO28" s="5">
        <f t="shared" si="92"/>
        <v>1655.926961009186</v>
      </c>
      <c r="AP28" s="383">
        <f t="shared" si="65"/>
        <v>14727.54209652506</v>
      </c>
      <c r="AQ28" s="5">
        <f t="shared" ref="AQ28:BB28" si="93">AQ26*AQ42</f>
        <v>1703.0921857132746</v>
      </c>
      <c r="AR28" s="5">
        <f t="shared" si="93"/>
        <v>1753.1032460566676</v>
      </c>
      <c r="AS28" s="5">
        <f t="shared" si="93"/>
        <v>1805.8560601018739</v>
      </c>
      <c r="AT28" s="5">
        <f t="shared" si="93"/>
        <v>1861.2444108376628</v>
      </c>
      <c r="AU28" s="5">
        <f t="shared" si="93"/>
        <v>1919.1601991794876</v>
      </c>
      <c r="AV28" s="5">
        <f t="shared" si="93"/>
        <v>1979.4936968680827</v>
      </c>
      <c r="AW28" s="5">
        <f t="shared" si="93"/>
        <v>2042.133798509476</v>
      </c>
      <c r="AX28" s="5">
        <f t="shared" si="93"/>
        <v>2106.9682720170422</v>
      </c>
      <c r="AY28" s="5">
        <f t="shared" si="93"/>
        <v>2173.884006736218</v>
      </c>
      <c r="AZ28" s="5">
        <f t="shared" si="93"/>
        <v>2242.7672585550226</v>
      </c>
      <c r="BA28" s="5">
        <f t="shared" si="93"/>
        <v>2313.5038913283452</v>
      </c>
      <c r="BB28" s="5">
        <f t="shared" si="93"/>
        <v>2380.7653468881563</v>
      </c>
      <c r="BC28" s="383">
        <f t="shared" si="67"/>
        <v>24281.972372791315</v>
      </c>
      <c r="BD28" s="5">
        <f t="shared" ref="BD28:BO28" si="94">BD26*BD42</f>
        <v>2411.1087631416262</v>
      </c>
      <c r="BE28" s="5">
        <f t="shared" si="94"/>
        <v>2444.7379043660048</v>
      </c>
      <c r="BF28" s="5">
        <f t="shared" si="94"/>
        <v>2481.5369982957936</v>
      </c>
      <c r="BG28" s="5">
        <f t="shared" si="94"/>
        <v>2521.3884120430771</v>
      </c>
      <c r="BH28" s="5">
        <f t="shared" si="94"/>
        <v>2564.1729338788509</v>
      </c>
      <c r="BI28" s="5">
        <f t="shared" si="94"/>
        <v>2609.7700519169348</v>
      </c>
      <c r="BJ28" s="5">
        <f t="shared" si="94"/>
        <v>2658.0582289418285</v>
      </c>
      <c r="BK28" s="5">
        <f t="shared" si="94"/>
        <v>2708.9151726543701</v>
      </c>
      <c r="BL28" s="5">
        <f t="shared" si="94"/>
        <v>2762.2181006435931</v>
      </c>
      <c r="BM28" s="5">
        <f t="shared" si="94"/>
        <v>2817.8439994296223</v>
      </c>
      <c r="BN28" s="5">
        <f t="shared" si="94"/>
        <v>2875.6698769605637</v>
      </c>
      <c r="BO28" s="5">
        <f t="shared" si="94"/>
        <v>2929.6137020434753</v>
      </c>
      <c r="BP28" s="383">
        <f t="shared" si="69"/>
        <v>31785.034144315738</v>
      </c>
      <c r="CF28" s="288" t="s">
        <v>504</v>
      </c>
      <c r="CG28" s="13" t="s">
        <v>965</v>
      </c>
    </row>
    <row r="29" spans="1:85" s="5" customFormat="1" outlineLevel="1">
      <c r="A29" s="287" t="s">
        <v>252</v>
      </c>
      <c r="B29" s="12" t="s">
        <v>502</v>
      </c>
      <c r="D29" s="5">
        <f t="shared" ref="D29:O29" si="95">D26*D43</f>
        <v>0</v>
      </c>
      <c r="E29" s="5">
        <f t="shared" si="95"/>
        <v>0</v>
      </c>
      <c r="F29" s="5">
        <f t="shared" si="95"/>
        <v>0</v>
      </c>
      <c r="G29" s="5">
        <f t="shared" si="95"/>
        <v>0</v>
      </c>
      <c r="H29" s="5">
        <f t="shared" si="95"/>
        <v>0</v>
      </c>
      <c r="I29" s="5">
        <f t="shared" si="95"/>
        <v>0</v>
      </c>
      <c r="J29" s="5">
        <f t="shared" si="95"/>
        <v>509.25927088214564</v>
      </c>
      <c r="K29" s="5">
        <f t="shared" si="95"/>
        <v>1038.2564070281421</v>
      </c>
      <c r="L29" s="5">
        <f t="shared" si="95"/>
        <v>1586.3834598407893</v>
      </c>
      <c r="M29" s="5">
        <f t="shared" si="95"/>
        <v>2153.006217642273</v>
      </c>
      <c r="N29" s="5">
        <f t="shared" si="95"/>
        <v>2737.4655791498481</v>
      </c>
      <c r="O29" s="5">
        <f t="shared" si="95"/>
        <v>3314.0724879173431</v>
      </c>
      <c r="P29" s="383">
        <f t="shared" si="61"/>
        <v>11338.443422460541</v>
      </c>
      <c r="Q29" s="5">
        <f t="shared" ref="Q29:AB29" si="96">Q26*Q43</f>
        <v>4687.5091447470395</v>
      </c>
      <c r="R29" s="5">
        <f t="shared" si="96"/>
        <v>6130.5808868440308</v>
      </c>
      <c r="S29" s="5">
        <f t="shared" si="96"/>
        <v>7641.3571968693523</v>
      </c>
      <c r="T29" s="5">
        <f t="shared" si="96"/>
        <v>9217.8195142535133</v>
      </c>
      <c r="U29" s="5">
        <f t="shared" si="96"/>
        <v>10857.865888620259</v>
      </c>
      <c r="V29" s="5">
        <f t="shared" si="96"/>
        <v>12559.315809110871</v>
      </c>
      <c r="W29" s="5">
        <f t="shared" si="96"/>
        <v>14319.915193889745</v>
      </c>
      <c r="X29" s="5">
        <f t="shared" si="96"/>
        <v>16137.341523661367</v>
      </c>
      <c r="Y29" s="5">
        <f t="shared" si="96"/>
        <v>18009.209102646033</v>
      </c>
      <c r="Z29" s="5">
        <f t="shared" si="96"/>
        <v>19933.074430148019</v>
      </c>
      <c r="AA29" s="5">
        <f t="shared" si="96"/>
        <v>21906.441665606133</v>
      </c>
      <c r="AB29" s="5">
        <f t="shared" si="96"/>
        <v>23834.14920631982</v>
      </c>
      <c r="AC29" s="383">
        <f t="shared" si="63"/>
        <v>165234.57956271616</v>
      </c>
      <c r="AD29" s="5">
        <f t="shared" ref="AD29:AO29" si="97">AD26*AD43</f>
        <v>25664.717727613461</v>
      </c>
      <c r="AE29" s="5">
        <f t="shared" si="97"/>
        <v>27583.701648302434</v>
      </c>
      <c r="AF29" s="5">
        <f t="shared" si="97"/>
        <v>29588.032584273915</v>
      </c>
      <c r="AG29" s="5">
        <f t="shared" si="97"/>
        <v>31674.554019885611</v>
      </c>
      <c r="AH29" s="5">
        <f t="shared" si="97"/>
        <v>33840.02876670695</v>
      </c>
      <c r="AI29" s="5">
        <f t="shared" si="97"/>
        <v>36081.146526978555</v>
      </c>
      <c r="AJ29" s="5">
        <f t="shared" si="97"/>
        <v>38394.53153773844</v>
      </c>
      <c r="AK29" s="5">
        <f t="shared" si="97"/>
        <v>40776.750271593235</v>
      </c>
      <c r="AL29" s="5">
        <f t="shared" si="97"/>
        <v>43224.319170239585</v>
      </c>
      <c r="AM29" s="5">
        <f t="shared" si="97"/>
        <v>45733.712387059793</v>
      </c>
      <c r="AN29" s="5">
        <f t="shared" si="97"/>
        <v>48301.369515428065</v>
      </c>
      <c r="AO29" s="5">
        <f t="shared" si="97"/>
        <v>50781.760137615034</v>
      </c>
      <c r="AP29" s="383">
        <f t="shared" si="65"/>
        <v>451644.62429343513</v>
      </c>
      <c r="AQ29" s="5">
        <f t="shared" ref="AQ29:BB29" si="98">AQ26*AQ43</f>
        <v>52228.160361873757</v>
      </c>
      <c r="AR29" s="5">
        <f t="shared" si="98"/>
        <v>53761.832879071131</v>
      </c>
      <c r="AS29" s="5">
        <f t="shared" si="98"/>
        <v>55379.585843124136</v>
      </c>
      <c r="AT29" s="5">
        <f t="shared" si="98"/>
        <v>57078.161932354989</v>
      </c>
      <c r="AU29" s="5">
        <f t="shared" si="98"/>
        <v>58854.246108170948</v>
      </c>
      <c r="AV29" s="5">
        <f t="shared" si="98"/>
        <v>60704.473370621199</v>
      </c>
      <c r="AW29" s="5">
        <f t="shared" si="98"/>
        <v>62625.436487623934</v>
      </c>
      <c r="AX29" s="5">
        <f t="shared" si="98"/>
        <v>64613.693675189286</v>
      </c>
      <c r="AY29" s="5">
        <f t="shared" si="98"/>
        <v>66665.776206577342</v>
      </c>
      <c r="AZ29" s="5">
        <f t="shared" si="98"/>
        <v>68778.195929020701</v>
      </c>
      <c r="BA29" s="5">
        <f t="shared" si="98"/>
        <v>70947.452667402584</v>
      </c>
      <c r="BB29" s="5">
        <f t="shared" si="98"/>
        <v>73010.137304570133</v>
      </c>
      <c r="BC29" s="383">
        <f t="shared" si="67"/>
        <v>744647.15276560013</v>
      </c>
      <c r="BD29" s="5">
        <f t="shared" ref="BD29:BO29" si="99">BD26*BD43</f>
        <v>73940.668736343199</v>
      </c>
      <c r="BE29" s="5">
        <f t="shared" si="99"/>
        <v>74971.962400557488</v>
      </c>
      <c r="BF29" s="5">
        <f t="shared" si="99"/>
        <v>76100.467947737678</v>
      </c>
      <c r="BG29" s="5">
        <f t="shared" si="99"/>
        <v>77322.577969321021</v>
      </c>
      <c r="BH29" s="5">
        <f t="shared" si="99"/>
        <v>78634.636638951415</v>
      </c>
      <c r="BI29" s="5">
        <f t="shared" si="99"/>
        <v>80032.948258785997</v>
      </c>
      <c r="BJ29" s="5">
        <f t="shared" si="99"/>
        <v>81513.785687549404</v>
      </c>
      <c r="BK29" s="5">
        <f t="shared" si="99"/>
        <v>83073.398628067342</v>
      </c>
      <c r="BL29" s="5">
        <f t="shared" si="99"/>
        <v>84708.021753070192</v>
      </c>
      <c r="BM29" s="5">
        <f t="shared" si="99"/>
        <v>86413.882649175081</v>
      </c>
      <c r="BN29" s="5">
        <f t="shared" si="99"/>
        <v>88187.209560123956</v>
      </c>
      <c r="BO29" s="5">
        <f t="shared" si="99"/>
        <v>89841.48686266657</v>
      </c>
      <c r="BP29" s="383">
        <f t="shared" si="69"/>
        <v>974741.04709234938</v>
      </c>
      <c r="CF29" s="287" t="s">
        <v>1093</v>
      </c>
      <c r="CG29" s="13" t="s">
        <v>965</v>
      </c>
    </row>
    <row r="30" spans="1:85" s="3" customFormat="1">
      <c r="A30" s="286" t="s">
        <v>254</v>
      </c>
      <c r="B30" s="12" t="s">
        <v>502</v>
      </c>
      <c r="D30" s="3">
        <f t="shared" ref="D30:O30" si="100">D22*D44</f>
        <v>0</v>
      </c>
      <c r="E30" s="3">
        <f t="shared" si="100"/>
        <v>0</v>
      </c>
      <c r="F30" s="3">
        <f t="shared" si="100"/>
        <v>0</v>
      </c>
      <c r="G30" s="3">
        <f t="shared" si="100"/>
        <v>0</v>
      </c>
      <c r="H30" s="3">
        <f t="shared" si="100"/>
        <v>0</v>
      </c>
      <c r="I30" s="3">
        <f t="shared" si="100"/>
        <v>0</v>
      </c>
      <c r="J30" s="3">
        <f t="shared" si="100"/>
        <v>12.300948572032505</v>
      </c>
      <c r="K30" s="3">
        <f t="shared" si="100"/>
        <v>25.078657174592809</v>
      </c>
      <c r="L30" s="3">
        <f t="shared" si="100"/>
        <v>38.318441058956267</v>
      </c>
      <c r="M30" s="3">
        <f t="shared" si="100"/>
        <v>52.004981102470367</v>
      </c>
      <c r="N30" s="3">
        <f t="shared" si="100"/>
        <v>66.122356984295863</v>
      </c>
      <c r="O30" s="3">
        <f t="shared" si="100"/>
        <v>80.050060094621813</v>
      </c>
      <c r="P30" s="397">
        <f t="shared" si="61"/>
        <v>273.87544498696963</v>
      </c>
      <c r="Q30" s="3">
        <f t="shared" ref="Q30:AB30" si="101">Q22*Q44</f>
        <v>113.22485856876906</v>
      </c>
      <c r="R30" s="3">
        <f t="shared" si="101"/>
        <v>148.08166393343069</v>
      </c>
      <c r="S30" s="3">
        <f t="shared" si="101"/>
        <v>184.57384533500851</v>
      </c>
      <c r="T30" s="3">
        <f t="shared" si="101"/>
        <v>222.65264527182401</v>
      </c>
      <c r="U30" s="3">
        <f t="shared" si="101"/>
        <v>262.26729199565847</v>
      </c>
      <c r="V30" s="3">
        <f t="shared" si="101"/>
        <v>303.36511616209833</v>
      </c>
      <c r="W30" s="3">
        <f t="shared" si="101"/>
        <v>345.89167134999383</v>
      </c>
      <c r="X30" s="3">
        <f t="shared" si="101"/>
        <v>389.79085805945334</v>
      </c>
      <c r="Y30" s="3">
        <f t="shared" si="101"/>
        <v>435.00505078855156</v>
      </c>
      <c r="Z30" s="3">
        <f t="shared" si="101"/>
        <v>481.47522778135317</v>
      </c>
      <c r="AA30" s="3">
        <f t="shared" si="101"/>
        <v>529.14110303396467</v>
      </c>
      <c r="AB30" s="3">
        <f t="shared" si="101"/>
        <v>575.70408710917445</v>
      </c>
      <c r="AC30" s="397">
        <f t="shared" si="63"/>
        <v>3991.1734193892798</v>
      </c>
      <c r="AD30" s="3">
        <f t="shared" ref="AD30:AO30" si="102">AD22*AD44</f>
        <v>619.92071805829619</v>
      </c>
      <c r="AE30" s="3">
        <f t="shared" si="102"/>
        <v>666.2729866739719</v>
      </c>
      <c r="AF30" s="3">
        <f t="shared" si="102"/>
        <v>714.68677739792065</v>
      </c>
      <c r="AG30" s="3">
        <f t="shared" si="102"/>
        <v>765.08584589095688</v>
      </c>
      <c r="AH30" s="3">
        <f t="shared" si="102"/>
        <v>817.39199919582006</v>
      </c>
      <c r="AI30" s="3">
        <f t="shared" si="102"/>
        <v>871.5252784294338</v>
      </c>
      <c r="AJ30" s="3">
        <f t="shared" si="102"/>
        <v>927.40414342363385</v>
      </c>
      <c r="AK30" s="3">
        <f t="shared" si="102"/>
        <v>984.94565873413615</v>
      </c>
      <c r="AL30" s="3">
        <f t="shared" si="102"/>
        <v>1044.0656804405696</v>
      </c>
      <c r="AM30" s="3">
        <f t="shared" si="102"/>
        <v>1104.6790431656955</v>
      </c>
      <c r="AN30" s="3">
        <f t="shared" si="102"/>
        <v>1166.6997467494703</v>
      </c>
      <c r="AO30" s="3">
        <f t="shared" si="102"/>
        <v>1226.6125637105083</v>
      </c>
      <c r="AP30" s="397">
        <f t="shared" si="65"/>
        <v>10909.290441870415</v>
      </c>
      <c r="AQ30" s="3">
        <f t="shared" ref="AQ30:BB30" si="103">AQ22*AQ44</f>
        <v>1261.5497671950184</v>
      </c>
      <c r="AR30" s="3">
        <f t="shared" si="103"/>
        <v>1298.594997079013</v>
      </c>
      <c r="AS30" s="3">
        <f t="shared" si="103"/>
        <v>1337.6711556310179</v>
      </c>
      <c r="AT30" s="3">
        <f t="shared" si="103"/>
        <v>1378.6995635834539</v>
      </c>
      <c r="AU30" s="3">
        <f t="shared" si="103"/>
        <v>1421.6001475403611</v>
      </c>
      <c r="AV30" s="3">
        <f t="shared" si="103"/>
        <v>1466.2916273096907</v>
      </c>
      <c r="AW30" s="3">
        <f t="shared" si="103"/>
        <v>1512.691702599612</v>
      </c>
      <c r="AX30" s="3">
        <f t="shared" si="103"/>
        <v>1560.7172385311424</v>
      </c>
      <c r="AY30" s="3">
        <f t="shared" si="103"/>
        <v>1610.2844494342353</v>
      </c>
      <c r="AZ30" s="3">
        <f t="shared" si="103"/>
        <v>1661.309080411128</v>
      </c>
      <c r="BA30" s="3">
        <f t="shared" si="103"/>
        <v>1713.7065861691444</v>
      </c>
      <c r="BB30" s="3">
        <f t="shared" si="103"/>
        <v>1763.5298865838195</v>
      </c>
      <c r="BC30" s="397">
        <f t="shared" si="67"/>
        <v>17986.646202067637</v>
      </c>
      <c r="BD30" s="3">
        <f t="shared" ref="BD30:BO30" si="104">BD22*BD44</f>
        <v>1786.0064912160196</v>
      </c>
      <c r="BE30" s="3">
        <f t="shared" si="104"/>
        <v>1810.9169661970409</v>
      </c>
      <c r="BF30" s="3">
        <f t="shared" si="104"/>
        <v>1838.1755542931808</v>
      </c>
      <c r="BG30" s="3">
        <f t="shared" si="104"/>
        <v>1867.6951200319088</v>
      </c>
      <c r="BH30" s="3">
        <f t="shared" si="104"/>
        <v>1899.3873584287783</v>
      </c>
      <c r="BI30" s="3">
        <f t="shared" si="104"/>
        <v>1933.1630014199516</v>
      </c>
      <c r="BJ30" s="3">
        <f t="shared" si="104"/>
        <v>1968.9320214383915</v>
      </c>
      <c r="BK30" s="3">
        <f t="shared" si="104"/>
        <v>2006.6038315958297</v>
      </c>
      <c r="BL30" s="3">
        <f t="shared" si="104"/>
        <v>2046.087481958217</v>
      </c>
      <c r="BM30" s="3">
        <f t="shared" si="104"/>
        <v>2087.2918514293501</v>
      </c>
      <c r="BN30" s="3">
        <f t="shared" si="104"/>
        <v>2130.1258347856028</v>
      </c>
      <c r="BO30" s="3">
        <f t="shared" si="104"/>
        <v>2170.0842237359075</v>
      </c>
      <c r="BP30" s="397">
        <f t="shared" si="69"/>
        <v>23544.469736530176</v>
      </c>
      <c r="CF30" s="286" t="s">
        <v>1095</v>
      </c>
      <c r="CG30" s="13" t="s">
        <v>965</v>
      </c>
    </row>
    <row r="31" spans="1:85" s="5" customFormat="1" outlineLevel="1">
      <c r="A31" s="287" t="s">
        <v>505</v>
      </c>
      <c r="B31" s="12" t="s">
        <v>502</v>
      </c>
      <c r="D31" s="5">
        <f t="shared" ref="D31:O31" si="105">D30*D45</f>
        <v>0</v>
      </c>
      <c r="E31" s="5">
        <f t="shared" si="105"/>
        <v>0</v>
      </c>
      <c r="F31" s="5">
        <f t="shared" si="105"/>
        <v>0</v>
      </c>
      <c r="G31" s="5">
        <f t="shared" si="105"/>
        <v>0</v>
      </c>
      <c r="H31" s="5">
        <f t="shared" si="105"/>
        <v>0</v>
      </c>
      <c r="I31" s="5">
        <f t="shared" si="105"/>
        <v>0</v>
      </c>
      <c r="J31" s="5">
        <f t="shared" si="105"/>
        <v>12.300948572032505</v>
      </c>
      <c r="K31" s="5">
        <f t="shared" si="105"/>
        <v>25.078657174592809</v>
      </c>
      <c r="L31" s="5">
        <f t="shared" si="105"/>
        <v>38.318441058956267</v>
      </c>
      <c r="M31" s="5">
        <f t="shared" si="105"/>
        <v>52.004981102470367</v>
      </c>
      <c r="N31" s="5">
        <f t="shared" si="105"/>
        <v>66.122356984295863</v>
      </c>
      <c r="O31" s="5">
        <f t="shared" si="105"/>
        <v>80.050060094621813</v>
      </c>
      <c r="P31" s="383">
        <f t="shared" si="61"/>
        <v>273.87544498696963</v>
      </c>
      <c r="Q31" s="5">
        <f t="shared" ref="Q31:AB31" si="106">Q30*Q45</f>
        <v>113.22485856876906</v>
      </c>
      <c r="R31" s="5">
        <f t="shared" si="106"/>
        <v>148.08166393343069</v>
      </c>
      <c r="S31" s="5">
        <f t="shared" si="106"/>
        <v>184.57384533500851</v>
      </c>
      <c r="T31" s="5">
        <f t="shared" si="106"/>
        <v>222.65264527182401</v>
      </c>
      <c r="U31" s="5">
        <f t="shared" si="106"/>
        <v>262.26729199565847</v>
      </c>
      <c r="V31" s="5">
        <f t="shared" si="106"/>
        <v>303.36511616209833</v>
      </c>
      <c r="W31" s="5">
        <f t="shared" si="106"/>
        <v>345.89167134999383</v>
      </c>
      <c r="X31" s="5">
        <f t="shared" si="106"/>
        <v>389.79085805945334</v>
      </c>
      <c r="Y31" s="5">
        <f t="shared" si="106"/>
        <v>435.00505078855156</v>
      </c>
      <c r="Z31" s="5">
        <f t="shared" si="106"/>
        <v>481.47522778135317</v>
      </c>
      <c r="AA31" s="5">
        <f t="shared" si="106"/>
        <v>529.14110303396467</v>
      </c>
      <c r="AB31" s="5">
        <f t="shared" si="106"/>
        <v>575.70408710917445</v>
      </c>
      <c r="AC31" s="383">
        <f t="shared" si="63"/>
        <v>3991.1734193892798</v>
      </c>
      <c r="AD31" s="5">
        <f t="shared" ref="AD31:AO31" si="107">AD30*AD45</f>
        <v>619.92071805829619</v>
      </c>
      <c r="AE31" s="5">
        <f t="shared" si="107"/>
        <v>666.2729866739719</v>
      </c>
      <c r="AF31" s="5">
        <f t="shared" si="107"/>
        <v>714.68677739792065</v>
      </c>
      <c r="AG31" s="5">
        <f t="shared" si="107"/>
        <v>765.08584589095688</v>
      </c>
      <c r="AH31" s="5">
        <f t="shared" si="107"/>
        <v>817.39199919582006</v>
      </c>
      <c r="AI31" s="5">
        <f t="shared" si="107"/>
        <v>871.5252784294338</v>
      </c>
      <c r="AJ31" s="5">
        <f t="shared" si="107"/>
        <v>927.40414342363385</v>
      </c>
      <c r="AK31" s="5">
        <f t="shared" si="107"/>
        <v>984.94565873413615</v>
      </c>
      <c r="AL31" s="5">
        <f t="shared" si="107"/>
        <v>1044.0656804405696</v>
      </c>
      <c r="AM31" s="5">
        <f t="shared" si="107"/>
        <v>1104.6790431656955</v>
      </c>
      <c r="AN31" s="5">
        <f t="shared" si="107"/>
        <v>1166.6997467494703</v>
      </c>
      <c r="AO31" s="5">
        <f t="shared" si="107"/>
        <v>1226.6125637105083</v>
      </c>
      <c r="AP31" s="383">
        <f t="shared" si="65"/>
        <v>10909.290441870415</v>
      </c>
      <c r="AQ31" s="5">
        <f t="shared" ref="AQ31:BB31" si="108">AQ30*AQ45</f>
        <v>1261.5497671950184</v>
      </c>
      <c r="AR31" s="5">
        <f t="shared" si="108"/>
        <v>1298.594997079013</v>
      </c>
      <c r="AS31" s="5">
        <f t="shared" si="108"/>
        <v>1337.6711556310179</v>
      </c>
      <c r="AT31" s="5">
        <f t="shared" si="108"/>
        <v>1378.6995635834539</v>
      </c>
      <c r="AU31" s="5">
        <f t="shared" si="108"/>
        <v>1421.6001475403611</v>
      </c>
      <c r="AV31" s="5">
        <f t="shared" si="108"/>
        <v>1466.2916273096907</v>
      </c>
      <c r="AW31" s="5">
        <f t="shared" si="108"/>
        <v>1512.691702599612</v>
      </c>
      <c r="AX31" s="5">
        <f t="shared" si="108"/>
        <v>1560.7172385311424</v>
      </c>
      <c r="AY31" s="5">
        <f t="shared" si="108"/>
        <v>1610.2844494342353</v>
      </c>
      <c r="AZ31" s="5">
        <f t="shared" si="108"/>
        <v>1661.309080411128</v>
      </c>
      <c r="BA31" s="5">
        <f t="shared" si="108"/>
        <v>1713.7065861691444</v>
      </c>
      <c r="BB31" s="5">
        <f t="shared" si="108"/>
        <v>1763.5298865838195</v>
      </c>
      <c r="BC31" s="383">
        <f t="shared" si="67"/>
        <v>17986.646202067637</v>
      </c>
      <c r="BD31" s="5">
        <f t="shared" ref="BD31:BO31" si="109">BD30*BD45</f>
        <v>1786.0064912160196</v>
      </c>
      <c r="BE31" s="5">
        <f t="shared" si="109"/>
        <v>1810.9169661970409</v>
      </c>
      <c r="BF31" s="5">
        <f t="shared" si="109"/>
        <v>1838.1755542931808</v>
      </c>
      <c r="BG31" s="5">
        <f t="shared" si="109"/>
        <v>1867.6951200319088</v>
      </c>
      <c r="BH31" s="5">
        <f t="shared" si="109"/>
        <v>1899.3873584287783</v>
      </c>
      <c r="BI31" s="5">
        <f t="shared" si="109"/>
        <v>1933.1630014199516</v>
      </c>
      <c r="BJ31" s="5">
        <f t="shared" si="109"/>
        <v>1968.9320214383915</v>
      </c>
      <c r="BK31" s="5">
        <f t="shared" si="109"/>
        <v>2006.6038315958297</v>
      </c>
      <c r="BL31" s="5">
        <f t="shared" si="109"/>
        <v>2046.087481958217</v>
      </c>
      <c r="BM31" s="5">
        <f t="shared" si="109"/>
        <v>2087.2918514293501</v>
      </c>
      <c r="BN31" s="5">
        <f t="shared" si="109"/>
        <v>2130.1258347856028</v>
      </c>
      <c r="BO31" s="5">
        <f t="shared" si="109"/>
        <v>2170.0842237359075</v>
      </c>
      <c r="BP31" s="383">
        <f t="shared" si="69"/>
        <v>23544.469736530176</v>
      </c>
      <c r="CF31" s="287" t="s">
        <v>1096</v>
      </c>
      <c r="CG31" s="13" t="s">
        <v>965</v>
      </c>
    </row>
    <row r="32" spans="1:85" s="5" customFormat="1" outlineLevel="1">
      <c r="A32" s="287" t="s">
        <v>506</v>
      </c>
      <c r="B32" s="12" t="s">
        <v>502</v>
      </c>
      <c r="D32" s="5">
        <f t="shared" ref="D32:O32" si="110">D30*D46</f>
        <v>0</v>
      </c>
      <c r="E32" s="5">
        <f t="shared" si="110"/>
        <v>0</v>
      </c>
      <c r="F32" s="5">
        <f t="shared" si="110"/>
        <v>0</v>
      </c>
      <c r="G32" s="5">
        <f t="shared" si="110"/>
        <v>0</v>
      </c>
      <c r="H32" s="5">
        <f t="shared" si="110"/>
        <v>0</v>
      </c>
      <c r="I32" s="5">
        <f t="shared" si="110"/>
        <v>0</v>
      </c>
      <c r="J32" s="5">
        <f t="shared" si="110"/>
        <v>0</v>
      </c>
      <c r="K32" s="5">
        <f t="shared" si="110"/>
        <v>0</v>
      </c>
      <c r="L32" s="5">
        <f t="shared" si="110"/>
        <v>0</v>
      </c>
      <c r="M32" s="5">
        <f t="shared" si="110"/>
        <v>0</v>
      </c>
      <c r="N32" s="5">
        <f t="shared" si="110"/>
        <v>0</v>
      </c>
      <c r="O32" s="5">
        <f t="shared" si="110"/>
        <v>0</v>
      </c>
      <c r="P32" s="383">
        <f t="shared" si="61"/>
        <v>0</v>
      </c>
      <c r="Q32" s="5">
        <f t="shared" ref="Q32:AB32" si="111">Q30*Q46</f>
        <v>0</v>
      </c>
      <c r="R32" s="5">
        <f t="shared" si="111"/>
        <v>0</v>
      </c>
      <c r="S32" s="5">
        <f t="shared" si="111"/>
        <v>0</v>
      </c>
      <c r="T32" s="5">
        <f t="shared" si="111"/>
        <v>0</v>
      </c>
      <c r="U32" s="5">
        <f t="shared" si="111"/>
        <v>0</v>
      </c>
      <c r="V32" s="5">
        <f t="shared" si="111"/>
        <v>0</v>
      </c>
      <c r="W32" s="5">
        <f t="shared" si="111"/>
        <v>0</v>
      </c>
      <c r="X32" s="5">
        <f t="shared" si="111"/>
        <v>0</v>
      </c>
      <c r="Y32" s="5">
        <f t="shared" si="111"/>
        <v>0</v>
      </c>
      <c r="Z32" s="5">
        <f t="shared" si="111"/>
        <v>0</v>
      </c>
      <c r="AA32" s="5">
        <f t="shared" si="111"/>
        <v>0</v>
      </c>
      <c r="AB32" s="5">
        <f t="shared" si="111"/>
        <v>0</v>
      </c>
      <c r="AC32" s="383">
        <f t="shared" si="63"/>
        <v>0</v>
      </c>
      <c r="AD32" s="5">
        <f t="shared" ref="AD32:AO32" si="112">AD30*AD46</f>
        <v>0</v>
      </c>
      <c r="AE32" s="5">
        <f t="shared" si="112"/>
        <v>0</v>
      </c>
      <c r="AF32" s="5">
        <f t="shared" si="112"/>
        <v>0</v>
      </c>
      <c r="AG32" s="5">
        <f t="shared" si="112"/>
        <v>0</v>
      </c>
      <c r="AH32" s="5">
        <f t="shared" si="112"/>
        <v>0</v>
      </c>
      <c r="AI32" s="5">
        <f t="shared" si="112"/>
        <v>0</v>
      </c>
      <c r="AJ32" s="5">
        <f t="shared" si="112"/>
        <v>0</v>
      </c>
      <c r="AK32" s="5">
        <f t="shared" si="112"/>
        <v>0</v>
      </c>
      <c r="AL32" s="5">
        <f t="shared" si="112"/>
        <v>0</v>
      </c>
      <c r="AM32" s="5">
        <f t="shared" si="112"/>
        <v>0</v>
      </c>
      <c r="AN32" s="5">
        <f t="shared" si="112"/>
        <v>0</v>
      </c>
      <c r="AO32" s="5">
        <f t="shared" si="112"/>
        <v>0</v>
      </c>
      <c r="AP32" s="383">
        <f t="shared" si="65"/>
        <v>0</v>
      </c>
      <c r="AQ32" s="5">
        <f t="shared" ref="AQ32:BB32" si="113">AQ30*AQ46</f>
        <v>0</v>
      </c>
      <c r="AR32" s="5">
        <f t="shared" si="113"/>
        <v>0</v>
      </c>
      <c r="AS32" s="5">
        <f t="shared" si="113"/>
        <v>0</v>
      </c>
      <c r="AT32" s="5">
        <f t="shared" si="113"/>
        <v>0</v>
      </c>
      <c r="AU32" s="5">
        <f t="shared" si="113"/>
        <v>0</v>
      </c>
      <c r="AV32" s="5">
        <f t="shared" si="113"/>
        <v>0</v>
      </c>
      <c r="AW32" s="5">
        <f t="shared" si="113"/>
        <v>0</v>
      </c>
      <c r="AX32" s="5">
        <f t="shared" si="113"/>
        <v>0</v>
      </c>
      <c r="AY32" s="5">
        <f t="shared" si="113"/>
        <v>0</v>
      </c>
      <c r="AZ32" s="5">
        <f t="shared" si="113"/>
        <v>0</v>
      </c>
      <c r="BA32" s="5">
        <f t="shared" si="113"/>
        <v>0</v>
      </c>
      <c r="BB32" s="5">
        <f t="shared" si="113"/>
        <v>0</v>
      </c>
      <c r="BC32" s="383">
        <f t="shared" si="67"/>
        <v>0</v>
      </c>
      <c r="BD32" s="5">
        <f t="shared" ref="BD32:BO32" si="114">BD30*BD46</f>
        <v>0</v>
      </c>
      <c r="BE32" s="5">
        <f t="shared" si="114"/>
        <v>0</v>
      </c>
      <c r="BF32" s="5">
        <f t="shared" si="114"/>
        <v>0</v>
      </c>
      <c r="BG32" s="5">
        <f t="shared" si="114"/>
        <v>0</v>
      </c>
      <c r="BH32" s="5">
        <f t="shared" si="114"/>
        <v>0</v>
      </c>
      <c r="BI32" s="5">
        <f t="shared" si="114"/>
        <v>0</v>
      </c>
      <c r="BJ32" s="5">
        <f t="shared" si="114"/>
        <v>0</v>
      </c>
      <c r="BK32" s="5">
        <f t="shared" si="114"/>
        <v>0</v>
      </c>
      <c r="BL32" s="5">
        <f t="shared" si="114"/>
        <v>0</v>
      </c>
      <c r="BM32" s="5">
        <f t="shared" si="114"/>
        <v>0</v>
      </c>
      <c r="BN32" s="5">
        <f t="shared" si="114"/>
        <v>0</v>
      </c>
      <c r="BO32" s="5">
        <f t="shared" si="114"/>
        <v>0</v>
      </c>
      <c r="BP32" s="383">
        <f t="shared" si="69"/>
        <v>0</v>
      </c>
      <c r="CF32" s="287" t="s">
        <v>1097</v>
      </c>
      <c r="CG32" s="13" t="s">
        <v>965</v>
      </c>
    </row>
    <row r="33" spans="1:85" s="3" customFormat="1">
      <c r="A33" s="286" t="s">
        <v>507</v>
      </c>
      <c r="B33" s="12" t="s">
        <v>502</v>
      </c>
      <c r="D33" s="3">
        <f t="shared" ref="D33:O33" si="115">D22*D47</f>
        <v>0</v>
      </c>
      <c r="E33" s="3">
        <f t="shared" si="115"/>
        <v>0</v>
      </c>
      <c r="F33" s="3">
        <f t="shared" si="115"/>
        <v>0</v>
      </c>
      <c r="G33" s="3">
        <f t="shared" si="115"/>
        <v>0</v>
      </c>
      <c r="H33" s="3">
        <f t="shared" si="115"/>
        <v>0</v>
      </c>
      <c r="I33" s="3">
        <f t="shared" si="115"/>
        <v>0</v>
      </c>
      <c r="J33" s="3">
        <f t="shared" si="115"/>
        <v>6.1504742860162525</v>
      </c>
      <c r="K33" s="3">
        <f t="shared" si="115"/>
        <v>12.539328587296405</v>
      </c>
      <c r="L33" s="3">
        <f t="shared" si="115"/>
        <v>19.159220529478134</v>
      </c>
      <c r="M33" s="3">
        <f t="shared" si="115"/>
        <v>26.002490551235184</v>
      </c>
      <c r="N33" s="3">
        <f t="shared" si="115"/>
        <v>33.061178492147931</v>
      </c>
      <c r="O33" s="3">
        <f t="shared" si="115"/>
        <v>40.025030047310906</v>
      </c>
      <c r="P33" s="397">
        <f t="shared" si="61"/>
        <v>136.93772249348481</v>
      </c>
      <c r="Q33" s="3">
        <f t="shared" ref="Q33:AB33" si="116">Q22*Q47</f>
        <v>56.612429284384532</v>
      </c>
      <c r="R33" s="3">
        <f t="shared" si="116"/>
        <v>74.040831966715345</v>
      </c>
      <c r="S33" s="3">
        <f t="shared" si="116"/>
        <v>92.286922667504257</v>
      </c>
      <c r="T33" s="3">
        <f t="shared" si="116"/>
        <v>111.32632263591201</v>
      </c>
      <c r="U33" s="3">
        <f t="shared" si="116"/>
        <v>131.13364599782923</v>
      </c>
      <c r="V33" s="3">
        <f t="shared" si="116"/>
        <v>151.68255808104917</v>
      </c>
      <c r="W33" s="3">
        <f t="shared" si="116"/>
        <v>172.94583567499691</v>
      </c>
      <c r="X33" s="3">
        <f t="shared" si="116"/>
        <v>194.89542902972667</v>
      </c>
      <c r="Y33" s="3">
        <f t="shared" si="116"/>
        <v>217.50252539427578</v>
      </c>
      <c r="Z33" s="3">
        <f t="shared" si="116"/>
        <v>240.73761389067658</v>
      </c>
      <c r="AA33" s="3">
        <f t="shared" si="116"/>
        <v>264.57055151698233</v>
      </c>
      <c r="AB33" s="3">
        <f t="shared" si="116"/>
        <v>287.85204355458723</v>
      </c>
      <c r="AC33" s="397">
        <f t="shared" si="63"/>
        <v>1995.5867096946399</v>
      </c>
      <c r="AD33" s="3">
        <f t="shared" ref="AD33:AO33" si="117">AD22*AD47</f>
        <v>309.96035902914809</v>
      </c>
      <c r="AE33" s="3">
        <f t="shared" si="117"/>
        <v>333.13649333698595</v>
      </c>
      <c r="AF33" s="3">
        <f t="shared" si="117"/>
        <v>357.34338869896033</v>
      </c>
      <c r="AG33" s="3">
        <f t="shared" si="117"/>
        <v>382.54292294547844</v>
      </c>
      <c r="AH33" s="3">
        <f t="shared" si="117"/>
        <v>408.69599959791003</v>
      </c>
      <c r="AI33" s="3">
        <f t="shared" si="117"/>
        <v>435.7626392147169</v>
      </c>
      <c r="AJ33" s="3">
        <f t="shared" si="117"/>
        <v>463.70207171181693</v>
      </c>
      <c r="AK33" s="3">
        <f t="shared" si="117"/>
        <v>492.47282936706807</v>
      </c>
      <c r="AL33" s="3">
        <f t="shared" si="117"/>
        <v>522.03284022028481</v>
      </c>
      <c r="AM33" s="3">
        <f t="shared" si="117"/>
        <v>552.33952158284774</v>
      </c>
      <c r="AN33" s="3">
        <f t="shared" si="117"/>
        <v>583.34987337473513</v>
      </c>
      <c r="AO33" s="3">
        <f t="shared" si="117"/>
        <v>613.30628185525416</v>
      </c>
      <c r="AP33" s="397">
        <f t="shared" si="65"/>
        <v>5454.6452209352074</v>
      </c>
      <c r="AQ33" s="3">
        <f t="shared" ref="AQ33:BB33" si="118">AQ22*AQ47</f>
        <v>630.77488359750919</v>
      </c>
      <c r="AR33" s="3">
        <f t="shared" si="118"/>
        <v>649.29749853950648</v>
      </c>
      <c r="AS33" s="3">
        <f t="shared" si="118"/>
        <v>668.83557781550894</v>
      </c>
      <c r="AT33" s="3">
        <f t="shared" si="118"/>
        <v>689.34978179172697</v>
      </c>
      <c r="AU33" s="3">
        <f t="shared" si="118"/>
        <v>710.80007377018057</v>
      </c>
      <c r="AV33" s="3">
        <f t="shared" si="118"/>
        <v>733.14581365484537</v>
      </c>
      <c r="AW33" s="3">
        <f t="shared" si="118"/>
        <v>756.34585129980599</v>
      </c>
      <c r="AX33" s="3">
        <f t="shared" si="118"/>
        <v>780.35861926557118</v>
      </c>
      <c r="AY33" s="3">
        <f t="shared" si="118"/>
        <v>805.14222471711764</v>
      </c>
      <c r="AZ33" s="3">
        <f t="shared" si="118"/>
        <v>830.65454020556399</v>
      </c>
      <c r="BA33" s="3">
        <f t="shared" si="118"/>
        <v>856.85329308457221</v>
      </c>
      <c r="BB33" s="3">
        <f t="shared" si="118"/>
        <v>881.76494329190973</v>
      </c>
      <c r="BC33" s="397">
        <f t="shared" si="67"/>
        <v>8993.3231010338186</v>
      </c>
      <c r="BD33" s="3">
        <f t="shared" ref="BD33:BO33" si="119">BD22*BD47</f>
        <v>893.00324560800982</v>
      </c>
      <c r="BE33" s="3">
        <f t="shared" si="119"/>
        <v>905.45848309852045</v>
      </c>
      <c r="BF33" s="3">
        <f t="shared" si="119"/>
        <v>919.08777714659038</v>
      </c>
      <c r="BG33" s="3">
        <f t="shared" si="119"/>
        <v>933.8475600159544</v>
      </c>
      <c r="BH33" s="3">
        <f t="shared" si="119"/>
        <v>949.69367921438914</v>
      </c>
      <c r="BI33" s="3">
        <f t="shared" si="119"/>
        <v>966.58150070997578</v>
      </c>
      <c r="BJ33" s="3">
        <f t="shared" si="119"/>
        <v>984.46601071919576</v>
      </c>
      <c r="BK33" s="3">
        <f t="shared" si="119"/>
        <v>1003.3019157979148</v>
      </c>
      <c r="BL33" s="3">
        <f t="shared" si="119"/>
        <v>1023.0437409791085</v>
      </c>
      <c r="BM33" s="3">
        <f t="shared" si="119"/>
        <v>1043.6459257146751</v>
      </c>
      <c r="BN33" s="3">
        <f t="shared" si="119"/>
        <v>1065.0629173928014</v>
      </c>
      <c r="BO33" s="3">
        <f t="shared" si="119"/>
        <v>1085.0421118679537</v>
      </c>
      <c r="BP33" s="397">
        <f t="shared" si="69"/>
        <v>11772.234868265088</v>
      </c>
      <c r="CF33" s="286" t="s">
        <v>1098</v>
      </c>
      <c r="CG33" s="13" t="s">
        <v>965</v>
      </c>
    </row>
    <row r="34" spans="1:85" s="290" customFormat="1" ht="10.199999999999999">
      <c r="A34" s="289" t="s">
        <v>508</v>
      </c>
      <c r="D34" s="290">
        <f t="shared" ref="D34:AI34" si="120">D22-D24-D25-D27-D28-D29-D31-D32-D33</f>
        <v>0</v>
      </c>
      <c r="E34" s="290">
        <f t="shared" si="120"/>
        <v>0</v>
      </c>
      <c r="F34" s="290">
        <f t="shared" si="120"/>
        <v>0</v>
      </c>
      <c r="G34" s="290">
        <f t="shared" si="120"/>
        <v>0</v>
      </c>
      <c r="H34" s="290">
        <f t="shared" si="120"/>
        <v>0</v>
      </c>
      <c r="I34" s="290">
        <f t="shared" si="120"/>
        <v>0</v>
      </c>
      <c r="J34" s="290">
        <f t="shared" si="120"/>
        <v>1.5099033134902129E-14</v>
      </c>
      <c r="K34" s="290">
        <f t="shared" si="120"/>
        <v>2.7178259642823832E-13</v>
      </c>
      <c r="L34" s="290">
        <f t="shared" si="120"/>
        <v>1.5631940186722204E-13</v>
      </c>
      <c r="M34" s="290">
        <f t="shared" si="120"/>
        <v>2.8421709430404007E-14</v>
      </c>
      <c r="N34" s="290">
        <f t="shared" si="120"/>
        <v>5.8264504332328215E-13</v>
      </c>
      <c r="O34" s="290">
        <f t="shared" si="120"/>
        <v>5.6843418860808015E-13</v>
      </c>
      <c r="P34" s="472">
        <f t="shared" si="120"/>
        <v>-8.8107299234252423E-13</v>
      </c>
      <c r="Q34" s="290">
        <f t="shared" si="120"/>
        <v>-8.9528384705772623E-13</v>
      </c>
      <c r="R34" s="290">
        <f t="shared" si="120"/>
        <v>4.9737991503207013E-13</v>
      </c>
      <c r="S34" s="290">
        <f t="shared" si="120"/>
        <v>6.2527760746888816E-13</v>
      </c>
      <c r="T34" s="290">
        <f t="shared" si="120"/>
        <v>2.4584778657299466E-12</v>
      </c>
      <c r="U34" s="290">
        <f t="shared" si="120"/>
        <v>9.9475983006414026E-13</v>
      </c>
      <c r="V34" s="290">
        <f t="shared" si="120"/>
        <v>0</v>
      </c>
      <c r="W34" s="290">
        <f t="shared" si="120"/>
        <v>5.4001247917767614E-13</v>
      </c>
      <c r="X34" s="290">
        <f t="shared" si="120"/>
        <v>0</v>
      </c>
      <c r="Y34" s="290">
        <f t="shared" si="120"/>
        <v>2.8990143619012088E-12</v>
      </c>
      <c r="Z34" s="290">
        <f t="shared" si="120"/>
        <v>3.637978807091713E-12</v>
      </c>
      <c r="AA34" s="290">
        <f t="shared" si="120"/>
        <v>5.5138116294983774E-12</v>
      </c>
      <c r="AB34" s="290">
        <f t="shared" si="120"/>
        <v>2.9558577807620168E-12</v>
      </c>
      <c r="AC34" s="472">
        <f t="shared" si="120"/>
        <v>4.6838977141305804E-11</v>
      </c>
      <c r="AD34" s="290">
        <f t="shared" si="120"/>
        <v>3.637978807091713E-12</v>
      </c>
      <c r="AE34" s="290">
        <f t="shared" si="120"/>
        <v>5.4569682106375694E-12</v>
      </c>
      <c r="AF34" s="290">
        <f t="shared" si="120"/>
        <v>6.1390892369672656E-12</v>
      </c>
      <c r="AG34" s="290">
        <f t="shared" si="120"/>
        <v>1.1084466677857563E-11</v>
      </c>
      <c r="AH34" s="290">
        <f t="shared" si="120"/>
        <v>6.8212102632969618E-12</v>
      </c>
      <c r="AI34" s="290">
        <f t="shared" si="120"/>
        <v>5.8548721426632255E-12</v>
      </c>
      <c r="AJ34" s="290">
        <f t="shared" ref="AJ34:BO34" si="121">AJ22-AJ24-AJ25-AJ27-AJ28-AJ29-AJ31-AJ32-AJ33</f>
        <v>-1.7621459846850485E-12</v>
      </c>
      <c r="AK34" s="290">
        <f t="shared" si="121"/>
        <v>-7.2191141953226179E-12</v>
      </c>
      <c r="AL34" s="290">
        <f t="shared" si="121"/>
        <v>-1.4779288903810084E-12</v>
      </c>
      <c r="AM34" s="290">
        <f t="shared" si="121"/>
        <v>-1.8189894035458565E-12</v>
      </c>
      <c r="AN34" s="290">
        <f t="shared" si="121"/>
        <v>0</v>
      </c>
      <c r="AO34" s="290">
        <f t="shared" si="121"/>
        <v>8.8675733422860503E-12</v>
      </c>
      <c r="AP34" s="472">
        <f t="shared" si="121"/>
        <v>-1.1186784831807017E-10</v>
      </c>
      <c r="AQ34" s="290">
        <f t="shared" si="121"/>
        <v>8.4128259913995862E-12</v>
      </c>
      <c r="AR34" s="290">
        <f t="shared" si="121"/>
        <v>9.7770680440589786E-12</v>
      </c>
      <c r="AS34" s="290">
        <f t="shared" si="121"/>
        <v>0</v>
      </c>
      <c r="AT34" s="290">
        <f t="shared" si="121"/>
        <v>3.2969182939268649E-12</v>
      </c>
      <c r="AU34" s="290">
        <f t="shared" si="121"/>
        <v>6.9348971010185778E-12</v>
      </c>
      <c r="AV34" s="290">
        <f t="shared" si="121"/>
        <v>2.7284841053187847E-12</v>
      </c>
      <c r="AW34" s="290">
        <f t="shared" si="121"/>
        <v>1.602984411874786E-11</v>
      </c>
      <c r="AX34" s="290">
        <f t="shared" si="121"/>
        <v>1.4551915228366852E-11</v>
      </c>
      <c r="AY34" s="290">
        <f t="shared" si="121"/>
        <v>3.637978807091713E-12</v>
      </c>
      <c r="AZ34" s="290">
        <f t="shared" si="121"/>
        <v>-1.3642420526593924E-12</v>
      </c>
      <c r="BA34" s="290">
        <f t="shared" si="121"/>
        <v>-1.0913936421275139E-11</v>
      </c>
      <c r="BB34" s="290">
        <f t="shared" si="121"/>
        <v>-3.637978807091713E-12</v>
      </c>
      <c r="BC34" s="472">
        <f t="shared" si="121"/>
        <v>1.9463186617940664E-10</v>
      </c>
      <c r="BD34" s="290">
        <f t="shared" si="121"/>
        <v>-5.4569682106375694E-12</v>
      </c>
      <c r="BE34" s="290">
        <f t="shared" si="121"/>
        <v>1.8189894035458565E-12</v>
      </c>
      <c r="BF34" s="290">
        <f t="shared" si="121"/>
        <v>1.1482370609883219E-11</v>
      </c>
      <c r="BG34" s="290">
        <f t="shared" si="121"/>
        <v>1.1254996934439987E-11</v>
      </c>
      <c r="BH34" s="290">
        <f t="shared" si="121"/>
        <v>-5.5706550483591855E-12</v>
      </c>
      <c r="BI34" s="290">
        <f t="shared" si="121"/>
        <v>2.262368070660159E-11</v>
      </c>
      <c r="BJ34" s="290">
        <f t="shared" si="121"/>
        <v>7.2759576141834259E-12</v>
      </c>
      <c r="BK34" s="290">
        <f t="shared" si="121"/>
        <v>1.2846612662542611E-11</v>
      </c>
      <c r="BL34" s="290">
        <f t="shared" si="121"/>
        <v>3.2969182939268649E-12</v>
      </c>
      <c r="BM34" s="290">
        <f t="shared" si="121"/>
        <v>8.8675733422860503E-12</v>
      </c>
      <c r="BN34" s="290">
        <f t="shared" si="121"/>
        <v>1.8644641386345029E-11</v>
      </c>
      <c r="BO34" s="290">
        <f t="shared" si="121"/>
        <v>7.73070496506989E-12</v>
      </c>
      <c r="BP34" s="472">
        <f t="shared" ref="BP34" si="122">BP22-BP24-BP25-BP27-BP28-BP29-BP31-BP32-BP33</f>
        <v>-1.7826096154749393E-10</v>
      </c>
      <c r="CF34" s="289" t="s">
        <v>913</v>
      </c>
    </row>
    <row r="35" spans="1:85" s="65" customFormat="1">
      <c r="A35" s="76" t="s">
        <v>509</v>
      </c>
      <c r="B35" s="285"/>
      <c r="C35" s="40"/>
      <c r="P35" s="358"/>
      <c r="AC35" s="358"/>
      <c r="AP35" s="358"/>
      <c r="BC35" s="358"/>
      <c r="BP35" s="358"/>
      <c r="CF35" s="76" t="s">
        <v>1099</v>
      </c>
      <c r="CG35" s="285"/>
    </row>
    <row r="36" spans="1:85" s="291" customFormat="1">
      <c r="A36" s="291" t="s">
        <v>249</v>
      </c>
      <c r="B36" s="285" t="s">
        <v>231</v>
      </c>
      <c r="D36" s="291">
        <f t="shared" ref="D36:AI36" si="123">D37+D40+D44+D47</f>
        <v>1</v>
      </c>
      <c r="E36" s="291">
        <f t="shared" si="123"/>
        <v>1</v>
      </c>
      <c r="F36" s="291">
        <f t="shared" si="123"/>
        <v>1</v>
      </c>
      <c r="G36" s="291">
        <f t="shared" si="123"/>
        <v>1</v>
      </c>
      <c r="H36" s="291">
        <f t="shared" si="123"/>
        <v>1</v>
      </c>
      <c r="I36" s="291">
        <f t="shared" si="123"/>
        <v>1</v>
      </c>
      <c r="J36" s="291">
        <f t="shared" si="123"/>
        <v>1</v>
      </c>
      <c r="K36" s="291">
        <f t="shared" si="123"/>
        <v>1</v>
      </c>
      <c r="L36" s="291">
        <f t="shared" si="123"/>
        <v>1</v>
      </c>
      <c r="M36" s="291">
        <f t="shared" si="123"/>
        <v>1</v>
      </c>
      <c r="N36" s="291">
        <f t="shared" si="123"/>
        <v>1</v>
      </c>
      <c r="O36" s="291">
        <f t="shared" si="123"/>
        <v>1</v>
      </c>
      <c r="P36" s="470">
        <f t="shared" si="123"/>
        <v>1</v>
      </c>
      <c r="Q36" s="291">
        <f t="shared" si="123"/>
        <v>1</v>
      </c>
      <c r="R36" s="291">
        <f t="shared" si="123"/>
        <v>1</v>
      </c>
      <c r="S36" s="291">
        <f t="shared" si="123"/>
        <v>1</v>
      </c>
      <c r="T36" s="291">
        <f t="shared" si="123"/>
        <v>1</v>
      </c>
      <c r="U36" s="291">
        <f t="shared" si="123"/>
        <v>1</v>
      </c>
      <c r="V36" s="291">
        <f t="shared" si="123"/>
        <v>1</v>
      </c>
      <c r="W36" s="291">
        <f t="shared" si="123"/>
        <v>1</v>
      </c>
      <c r="X36" s="291">
        <f t="shared" si="123"/>
        <v>1</v>
      </c>
      <c r="Y36" s="291">
        <f t="shared" si="123"/>
        <v>1</v>
      </c>
      <c r="Z36" s="291">
        <f t="shared" si="123"/>
        <v>1</v>
      </c>
      <c r="AA36" s="291">
        <f t="shared" si="123"/>
        <v>1</v>
      </c>
      <c r="AB36" s="291">
        <f t="shared" si="123"/>
        <v>1</v>
      </c>
      <c r="AC36" s="470">
        <f t="shared" si="123"/>
        <v>1</v>
      </c>
      <c r="AD36" s="291">
        <f t="shared" si="123"/>
        <v>1</v>
      </c>
      <c r="AE36" s="291">
        <f t="shared" si="123"/>
        <v>1</v>
      </c>
      <c r="AF36" s="291">
        <f t="shared" si="123"/>
        <v>1</v>
      </c>
      <c r="AG36" s="291">
        <f t="shared" si="123"/>
        <v>1</v>
      </c>
      <c r="AH36" s="291">
        <f t="shared" si="123"/>
        <v>1</v>
      </c>
      <c r="AI36" s="291">
        <f t="shared" si="123"/>
        <v>1</v>
      </c>
      <c r="AJ36" s="291">
        <f t="shared" ref="AJ36:BO36" si="124">AJ37+AJ40+AJ44+AJ47</f>
        <v>1</v>
      </c>
      <c r="AK36" s="291">
        <f t="shared" si="124"/>
        <v>1</v>
      </c>
      <c r="AL36" s="291">
        <f t="shared" si="124"/>
        <v>1</v>
      </c>
      <c r="AM36" s="291">
        <f t="shared" si="124"/>
        <v>1</v>
      </c>
      <c r="AN36" s="291">
        <f t="shared" si="124"/>
        <v>1</v>
      </c>
      <c r="AO36" s="291">
        <f t="shared" si="124"/>
        <v>1</v>
      </c>
      <c r="AP36" s="470">
        <f t="shared" si="124"/>
        <v>1</v>
      </c>
      <c r="AQ36" s="291">
        <f t="shared" si="124"/>
        <v>1</v>
      </c>
      <c r="AR36" s="291">
        <f t="shared" si="124"/>
        <v>1</v>
      </c>
      <c r="AS36" s="291">
        <f t="shared" si="124"/>
        <v>1</v>
      </c>
      <c r="AT36" s="291">
        <f t="shared" si="124"/>
        <v>1</v>
      </c>
      <c r="AU36" s="291">
        <f t="shared" si="124"/>
        <v>1</v>
      </c>
      <c r="AV36" s="291">
        <f t="shared" si="124"/>
        <v>1</v>
      </c>
      <c r="AW36" s="291">
        <f t="shared" si="124"/>
        <v>1</v>
      </c>
      <c r="AX36" s="291">
        <f t="shared" si="124"/>
        <v>1</v>
      </c>
      <c r="AY36" s="291">
        <f t="shared" si="124"/>
        <v>1</v>
      </c>
      <c r="AZ36" s="291">
        <f t="shared" si="124"/>
        <v>1</v>
      </c>
      <c r="BA36" s="291">
        <f t="shared" si="124"/>
        <v>1</v>
      </c>
      <c r="BB36" s="291">
        <f t="shared" si="124"/>
        <v>1</v>
      </c>
      <c r="BC36" s="470">
        <f t="shared" si="124"/>
        <v>1</v>
      </c>
      <c r="BD36" s="291">
        <f t="shared" si="124"/>
        <v>1</v>
      </c>
      <c r="BE36" s="291">
        <f t="shared" si="124"/>
        <v>1</v>
      </c>
      <c r="BF36" s="291">
        <f t="shared" si="124"/>
        <v>1</v>
      </c>
      <c r="BG36" s="291">
        <f t="shared" si="124"/>
        <v>1</v>
      </c>
      <c r="BH36" s="291">
        <f t="shared" si="124"/>
        <v>1</v>
      </c>
      <c r="BI36" s="291">
        <f t="shared" si="124"/>
        <v>1</v>
      </c>
      <c r="BJ36" s="291">
        <f t="shared" si="124"/>
        <v>1</v>
      </c>
      <c r="BK36" s="291">
        <f t="shared" si="124"/>
        <v>1</v>
      </c>
      <c r="BL36" s="291">
        <f t="shared" si="124"/>
        <v>1</v>
      </c>
      <c r="BM36" s="291">
        <f t="shared" si="124"/>
        <v>1</v>
      </c>
      <c r="BN36" s="291">
        <f t="shared" si="124"/>
        <v>1</v>
      </c>
      <c r="BO36" s="291">
        <f t="shared" si="124"/>
        <v>1</v>
      </c>
      <c r="BP36" s="470">
        <f t="shared" ref="BP36" si="125">BP37+BP40+BP44+BP47</f>
        <v>1</v>
      </c>
      <c r="CF36" s="291" t="s">
        <v>1090</v>
      </c>
      <c r="CG36" s="285" t="s">
        <v>231</v>
      </c>
    </row>
    <row r="37" spans="1:85" s="291" customFormat="1">
      <c r="A37" s="292" t="s">
        <v>250</v>
      </c>
      <c r="B37" s="285" t="s">
        <v>231</v>
      </c>
      <c r="D37" s="291">
        <f t="shared" ref="D37:AI37" si="126">100%-D40-D44-D47</f>
        <v>6.9999999999999979E-2</v>
      </c>
      <c r="E37" s="291">
        <f t="shared" si="126"/>
        <v>6.9999999999999979E-2</v>
      </c>
      <c r="F37" s="291">
        <f t="shared" si="126"/>
        <v>6.9999999999999979E-2</v>
      </c>
      <c r="G37" s="291">
        <f t="shared" si="126"/>
        <v>6.9999999999999979E-2</v>
      </c>
      <c r="H37" s="291">
        <f t="shared" si="126"/>
        <v>6.9999999999999979E-2</v>
      </c>
      <c r="I37" s="291">
        <f t="shared" si="126"/>
        <v>6.9999999999999979E-2</v>
      </c>
      <c r="J37" s="291">
        <f t="shared" si="126"/>
        <v>6.9999999999999979E-2</v>
      </c>
      <c r="K37" s="291">
        <f t="shared" si="126"/>
        <v>6.9999999999999979E-2</v>
      </c>
      <c r="L37" s="291">
        <f t="shared" si="126"/>
        <v>6.9999999999999979E-2</v>
      </c>
      <c r="M37" s="291">
        <f t="shared" si="126"/>
        <v>6.9999999999999979E-2</v>
      </c>
      <c r="N37" s="291">
        <f t="shared" si="126"/>
        <v>6.9999999999999979E-2</v>
      </c>
      <c r="O37" s="291">
        <f t="shared" si="126"/>
        <v>6.9999999999999979E-2</v>
      </c>
      <c r="P37" s="470">
        <f t="shared" si="126"/>
        <v>6.9999999999999979E-2</v>
      </c>
      <c r="Q37" s="291">
        <f t="shared" si="126"/>
        <v>6.9999999999999979E-2</v>
      </c>
      <c r="R37" s="291">
        <f t="shared" si="126"/>
        <v>6.9999999999999979E-2</v>
      </c>
      <c r="S37" s="291">
        <f t="shared" si="126"/>
        <v>6.9999999999999979E-2</v>
      </c>
      <c r="T37" s="291">
        <f t="shared" si="126"/>
        <v>6.9999999999999979E-2</v>
      </c>
      <c r="U37" s="291">
        <f t="shared" si="126"/>
        <v>6.9999999999999979E-2</v>
      </c>
      <c r="V37" s="291">
        <f t="shared" si="126"/>
        <v>6.9999999999999979E-2</v>
      </c>
      <c r="W37" s="291">
        <f t="shared" si="126"/>
        <v>6.9999999999999979E-2</v>
      </c>
      <c r="X37" s="291">
        <f t="shared" si="126"/>
        <v>6.9999999999999979E-2</v>
      </c>
      <c r="Y37" s="291">
        <f t="shared" si="126"/>
        <v>6.9999999999999979E-2</v>
      </c>
      <c r="Z37" s="291">
        <f t="shared" si="126"/>
        <v>6.9999999999999979E-2</v>
      </c>
      <c r="AA37" s="291">
        <f t="shared" si="126"/>
        <v>6.9999999999999979E-2</v>
      </c>
      <c r="AB37" s="291">
        <f t="shared" si="126"/>
        <v>6.9999999999999979E-2</v>
      </c>
      <c r="AC37" s="470">
        <f t="shared" si="126"/>
        <v>6.9999999999999979E-2</v>
      </c>
      <c r="AD37" s="291">
        <f t="shared" si="126"/>
        <v>6.9999999999999979E-2</v>
      </c>
      <c r="AE37" s="291">
        <f t="shared" si="126"/>
        <v>6.9999999999999979E-2</v>
      </c>
      <c r="AF37" s="291">
        <f t="shared" si="126"/>
        <v>6.9999999999999979E-2</v>
      </c>
      <c r="AG37" s="291">
        <f t="shared" si="126"/>
        <v>6.9999999999999979E-2</v>
      </c>
      <c r="AH37" s="291">
        <f t="shared" si="126"/>
        <v>6.9999999999999979E-2</v>
      </c>
      <c r="AI37" s="291">
        <f t="shared" si="126"/>
        <v>6.9999999999999979E-2</v>
      </c>
      <c r="AJ37" s="291">
        <f t="shared" ref="AJ37:BP37" si="127">100%-AJ40-AJ44-AJ47</f>
        <v>6.9999999999999979E-2</v>
      </c>
      <c r="AK37" s="291">
        <f t="shared" si="127"/>
        <v>6.9999999999999979E-2</v>
      </c>
      <c r="AL37" s="291">
        <f t="shared" si="127"/>
        <v>6.9999999999999979E-2</v>
      </c>
      <c r="AM37" s="291">
        <f t="shared" si="127"/>
        <v>6.9999999999999979E-2</v>
      </c>
      <c r="AN37" s="291">
        <f t="shared" si="127"/>
        <v>6.9999999999999979E-2</v>
      </c>
      <c r="AO37" s="291">
        <f t="shared" si="127"/>
        <v>6.9999999999999979E-2</v>
      </c>
      <c r="AP37" s="470">
        <f t="shared" si="127"/>
        <v>6.9999999999999979E-2</v>
      </c>
      <c r="AQ37" s="291">
        <f t="shared" si="127"/>
        <v>6.9999999999999979E-2</v>
      </c>
      <c r="AR37" s="291">
        <f t="shared" si="127"/>
        <v>6.9999999999999979E-2</v>
      </c>
      <c r="AS37" s="291">
        <f t="shared" si="127"/>
        <v>6.9999999999999979E-2</v>
      </c>
      <c r="AT37" s="291">
        <f t="shared" si="127"/>
        <v>6.9999999999999979E-2</v>
      </c>
      <c r="AU37" s="291">
        <f t="shared" si="127"/>
        <v>6.9999999999999979E-2</v>
      </c>
      <c r="AV37" s="291">
        <f t="shared" si="127"/>
        <v>6.9999999999999979E-2</v>
      </c>
      <c r="AW37" s="291">
        <f t="shared" si="127"/>
        <v>6.9999999999999979E-2</v>
      </c>
      <c r="AX37" s="291">
        <f t="shared" si="127"/>
        <v>6.9999999999999979E-2</v>
      </c>
      <c r="AY37" s="291">
        <f t="shared" si="127"/>
        <v>6.9999999999999979E-2</v>
      </c>
      <c r="AZ37" s="291">
        <f t="shared" si="127"/>
        <v>6.9999999999999979E-2</v>
      </c>
      <c r="BA37" s="291">
        <f t="shared" si="127"/>
        <v>6.9999999999999979E-2</v>
      </c>
      <c r="BB37" s="291">
        <f t="shared" si="127"/>
        <v>6.9999999999999979E-2</v>
      </c>
      <c r="BC37" s="470">
        <f t="shared" si="127"/>
        <v>6.9999999999999979E-2</v>
      </c>
      <c r="BD37" s="291">
        <f t="shared" si="127"/>
        <v>6.9999999999999979E-2</v>
      </c>
      <c r="BE37" s="291">
        <f t="shared" si="127"/>
        <v>6.9999999999999979E-2</v>
      </c>
      <c r="BF37" s="291">
        <f t="shared" si="127"/>
        <v>6.9999999999999979E-2</v>
      </c>
      <c r="BG37" s="291">
        <f t="shared" si="127"/>
        <v>6.9999999999999979E-2</v>
      </c>
      <c r="BH37" s="291">
        <f t="shared" si="127"/>
        <v>6.9999999999999979E-2</v>
      </c>
      <c r="BI37" s="291">
        <f t="shared" si="127"/>
        <v>6.9999999999999979E-2</v>
      </c>
      <c r="BJ37" s="291">
        <f t="shared" si="127"/>
        <v>6.9999999999999979E-2</v>
      </c>
      <c r="BK37" s="291">
        <f t="shared" si="127"/>
        <v>6.9999999999999979E-2</v>
      </c>
      <c r="BL37" s="291">
        <f t="shared" si="127"/>
        <v>6.9999999999999979E-2</v>
      </c>
      <c r="BM37" s="291">
        <f t="shared" si="127"/>
        <v>6.9999999999999979E-2</v>
      </c>
      <c r="BN37" s="291">
        <f t="shared" si="127"/>
        <v>6.9999999999999979E-2</v>
      </c>
      <c r="BO37" s="291">
        <f t="shared" si="127"/>
        <v>6.9999999999999979E-2</v>
      </c>
      <c r="BP37" s="470">
        <f t="shared" si="127"/>
        <v>6.9999999999999979E-2</v>
      </c>
      <c r="CF37" s="292" t="s">
        <v>1091</v>
      </c>
      <c r="CG37" s="285" t="s">
        <v>231</v>
      </c>
    </row>
    <row r="38" spans="1:85" s="40" customFormat="1" outlineLevel="1">
      <c r="A38" s="288" t="s">
        <v>503</v>
      </c>
      <c r="B38" s="285" t="s">
        <v>231</v>
      </c>
      <c r="D38" s="40">
        <f>P38</f>
        <v>0.85</v>
      </c>
      <c r="E38" s="40">
        <f t="shared" ref="E38:O38" si="128">D38</f>
        <v>0.85</v>
      </c>
      <c r="F38" s="40">
        <f t="shared" si="128"/>
        <v>0.85</v>
      </c>
      <c r="G38" s="40">
        <f t="shared" si="128"/>
        <v>0.85</v>
      </c>
      <c r="H38" s="40">
        <f t="shared" si="128"/>
        <v>0.85</v>
      </c>
      <c r="I38" s="40">
        <f t="shared" si="128"/>
        <v>0.85</v>
      </c>
      <c r="J38" s="40">
        <f t="shared" si="128"/>
        <v>0.85</v>
      </c>
      <c r="K38" s="40">
        <f t="shared" si="128"/>
        <v>0.85</v>
      </c>
      <c r="L38" s="40">
        <f t="shared" si="128"/>
        <v>0.85</v>
      </c>
      <c r="M38" s="40">
        <f t="shared" si="128"/>
        <v>0.85</v>
      </c>
      <c r="N38" s="40">
        <f t="shared" si="128"/>
        <v>0.85</v>
      </c>
      <c r="O38" s="40">
        <f t="shared" si="128"/>
        <v>0.85</v>
      </c>
      <c r="P38" s="471">
        <v>0.85</v>
      </c>
      <c r="Q38" s="40">
        <f>AC38</f>
        <v>0.85</v>
      </c>
      <c r="R38" s="40">
        <f t="shared" ref="R38:AB38" si="129">Q38</f>
        <v>0.85</v>
      </c>
      <c r="S38" s="40">
        <f t="shared" si="129"/>
        <v>0.85</v>
      </c>
      <c r="T38" s="40">
        <f t="shared" si="129"/>
        <v>0.85</v>
      </c>
      <c r="U38" s="40">
        <f t="shared" si="129"/>
        <v>0.85</v>
      </c>
      <c r="V38" s="40">
        <f t="shared" si="129"/>
        <v>0.85</v>
      </c>
      <c r="W38" s="40">
        <f t="shared" si="129"/>
        <v>0.85</v>
      </c>
      <c r="X38" s="40">
        <f t="shared" si="129"/>
        <v>0.85</v>
      </c>
      <c r="Y38" s="40">
        <f t="shared" si="129"/>
        <v>0.85</v>
      </c>
      <c r="Z38" s="40">
        <f t="shared" si="129"/>
        <v>0.85</v>
      </c>
      <c r="AA38" s="40">
        <f t="shared" si="129"/>
        <v>0.85</v>
      </c>
      <c r="AB38" s="40">
        <f t="shared" si="129"/>
        <v>0.85</v>
      </c>
      <c r="AC38" s="471">
        <v>0.85</v>
      </c>
      <c r="AD38" s="40">
        <f>AP38</f>
        <v>0.85</v>
      </c>
      <c r="AE38" s="40">
        <f t="shared" ref="AE38:AO38" si="130">AD38</f>
        <v>0.85</v>
      </c>
      <c r="AF38" s="40">
        <f t="shared" si="130"/>
        <v>0.85</v>
      </c>
      <c r="AG38" s="40">
        <f t="shared" si="130"/>
        <v>0.85</v>
      </c>
      <c r="AH38" s="40">
        <f t="shared" si="130"/>
        <v>0.85</v>
      </c>
      <c r="AI38" s="40">
        <f t="shared" si="130"/>
        <v>0.85</v>
      </c>
      <c r="AJ38" s="40">
        <f t="shared" si="130"/>
        <v>0.85</v>
      </c>
      <c r="AK38" s="40">
        <f t="shared" si="130"/>
        <v>0.85</v>
      </c>
      <c r="AL38" s="40">
        <f t="shared" si="130"/>
        <v>0.85</v>
      </c>
      <c r="AM38" s="40">
        <f t="shared" si="130"/>
        <v>0.85</v>
      </c>
      <c r="AN38" s="40">
        <f t="shared" si="130"/>
        <v>0.85</v>
      </c>
      <c r="AO38" s="40">
        <f t="shared" si="130"/>
        <v>0.85</v>
      </c>
      <c r="AP38" s="471">
        <v>0.85</v>
      </c>
      <c r="AQ38" s="40">
        <f>BC38</f>
        <v>0.85</v>
      </c>
      <c r="AR38" s="40">
        <f t="shared" ref="AR38:BB38" si="131">AQ38</f>
        <v>0.85</v>
      </c>
      <c r="AS38" s="40">
        <f t="shared" si="131"/>
        <v>0.85</v>
      </c>
      <c r="AT38" s="40">
        <f t="shared" si="131"/>
        <v>0.85</v>
      </c>
      <c r="AU38" s="40">
        <f t="shared" si="131"/>
        <v>0.85</v>
      </c>
      <c r="AV38" s="40">
        <f t="shared" si="131"/>
        <v>0.85</v>
      </c>
      <c r="AW38" s="40">
        <f t="shared" si="131"/>
        <v>0.85</v>
      </c>
      <c r="AX38" s="40">
        <f t="shared" si="131"/>
        <v>0.85</v>
      </c>
      <c r="AY38" s="40">
        <f t="shared" si="131"/>
        <v>0.85</v>
      </c>
      <c r="AZ38" s="40">
        <f t="shared" si="131"/>
        <v>0.85</v>
      </c>
      <c r="BA38" s="40">
        <f t="shared" si="131"/>
        <v>0.85</v>
      </c>
      <c r="BB38" s="40">
        <f t="shared" si="131"/>
        <v>0.85</v>
      </c>
      <c r="BC38" s="471">
        <v>0.85</v>
      </c>
      <c r="BD38" s="40">
        <f>BP38</f>
        <v>0.85</v>
      </c>
      <c r="BE38" s="40">
        <f t="shared" ref="BE38:BO38" si="132">BD38</f>
        <v>0.85</v>
      </c>
      <c r="BF38" s="40">
        <f t="shared" si="132"/>
        <v>0.85</v>
      </c>
      <c r="BG38" s="40">
        <f t="shared" si="132"/>
        <v>0.85</v>
      </c>
      <c r="BH38" s="40">
        <f t="shared" si="132"/>
        <v>0.85</v>
      </c>
      <c r="BI38" s="40">
        <f t="shared" si="132"/>
        <v>0.85</v>
      </c>
      <c r="BJ38" s="40">
        <f t="shared" si="132"/>
        <v>0.85</v>
      </c>
      <c r="BK38" s="40">
        <f t="shared" si="132"/>
        <v>0.85</v>
      </c>
      <c r="BL38" s="40">
        <f t="shared" si="132"/>
        <v>0.85</v>
      </c>
      <c r="BM38" s="40">
        <f t="shared" si="132"/>
        <v>0.85</v>
      </c>
      <c r="BN38" s="40">
        <f t="shared" si="132"/>
        <v>0.85</v>
      </c>
      <c r="BO38" s="40">
        <f t="shared" si="132"/>
        <v>0.85</v>
      </c>
      <c r="BP38" s="471">
        <v>0.85</v>
      </c>
      <c r="CF38" s="288" t="s">
        <v>1092</v>
      </c>
      <c r="CG38" s="285" t="s">
        <v>231</v>
      </c>
    </row>
    <row r="39" spans="1:85" s="40" customFormat="1" outlineLevel="1">
      <c r="A39" s="288" t="s">
        <v>252</v>
      </c>
      <c r="B39" s="285" t="s">
        <v>231</v>
      </c>
      <c r="D39" s="40">
        <f t="shared" ref="D39:AI39" si="133">100%-D38</f>
        <v>0.15000000000000002</v>
      </c>
      <c r="E39" s="40">
        <f t="shared" si="133"/>
        <v>0.15000000000000002</v>
      </c>
      <c r="F39" s="40">
        <f t="shared" si="133"/>
        <v>0.15000000000000002</v>
      </c>
      <c r="G39" s="40">
        <f t="shared" si="133"/>
        <v>0.15000000000000002</v>
      </c>
      <c r="H39" s="40">
        <f t="shared" si="133"/>
        <v>0.15000000000000002</v>
      </c>
      <c r="I39" s="40">
        <f t="shared" si="133"/>
        <v>0.15000000000000002</v>
      </c>
      <c r="J39" s="40">
        <f t="shared" si="133"/>
        <v>0.15000000000000002</v>
      </c>
      <c r="K39" s="40">
        <f t="shared" si="133"/>
        <v>0.15000000000000002</v>
      </c>
      <c r="L39" s="40">
        <f t="shared" si="133"/>
        <v>0.15000000000000002</v>
      </c>
      <c r="M39" s="40">
        <f t="shared" si="133"/>
        <v>0.15000000000000002</v>
      </c>
      <c r="N39" s="40">
        <f t="shared" si="133"/>
        <v>0.15000000000000002</v>
      </c>
      <c r="O39" s="40">
        <f t="shared" si="133"/>
        <v>0.15000000000000002</v>
      </c>
      <c r="P39" s="427">
        <f t="shared" si="133"/>
        <v>0.15000000000000002</v>
      </c>
      <c r="Q39" s="40">
        <f t="shared" si="133"/>
        <v>0.15000000000000002</v>
      </c>
      <c r="R39" s="40">
        <f t="shared" si="133"/>
        <v>0.15000000000000002</v>
      </c>
      <c r="S39" s="40">
        <f t="shared" si="133"/>
        <v>0.15000000000000002</v>
      </c>
      <c r="T39" s="40">
        <f t="shared" si="133"/>
        <v>0.15000000000000002</v>
      </c>
      <c r="U39" s="40">
        <f t="shared" si="133"/>
        <v>0.15000000000000002</v>
      </c>
      <c r="V39" s="40">
        <f t="shared" si="133"/>
        <v>0.15000000000000002</v>
      </c>
      <c r="W39" s="40">
        <f t="shared" si="133"/>
        <v>0.15000000000000002</v>
      </c>
      <c r="X39" s="40">
        <f t="shared" si="133"/>
        <v>0.15000000000000002</v>
      </c>
      <c r="Y39" s="40">
        <f t="shared" si="133"/>
        <v>0.15000000000000002</v>
      </c>
      <c r="Z39" s="40">
        <f t="shared" si="133"/>
        <v>0.15000000000000002</v>
      </c>
      <c r="AA39" s="40">
        <f t="shared" si="133"/>
        <v>0.15000000000000002</v>
      </c>
      <c r="AB39" s="40">
        <f t="shared" si="133"/>
        <v>0.15000000000000002</v>
      </c>
      <c r="AC39" s="427">
        <f t="shared" si="133"/>
        <v>0.15000000000000002</v>
      </c>
      <c r="AD39" s="40">
        <f t="shared" si="133"/>
        <v>0.15000000000000002</v>
      </c>
      <c r="AE39" s="40">
        <f t="shared" si="133"/>
        <v>0.15000000000000002</v>
      </c>
      <c r="AF39" s="40">
        <f t="shared" si="133"/>
        <v>0.15000000000000002</v>
      </c>
      <c r="AG39" s="40">
        <f t="shared" si="133"/>
        <v>0.15000000000000002</v>
      </c>
      <c r="AH39" s="40">
        <f t="shared" si="133"/>
        <v>0.15000000000000002</v>
      </c>
      <c r="AI39" s="40">
        <f t="shared" si="133"/>
        <v>0.15000000000000002</v>
      </c>
      <c r="AJ39" s="40">
        <f t="shared" ref="AJ39:BO39" si="134">100%-AJ38</f>
        <v>0.15000000000000002</v>
      </c>
      <c r="AK39" s="40">
        <f t="shared" si="134"/>
        <v>0.15000000000000002</v>
      </c>
      <c r="AL39" s="40">
        <f t="shared" si="134"/>
        <v>0.15000000000000002</v>
      </c>
      <c r="AM39" s="40">
        <f t="shared" si="134"/>
        <v>0.15000000000000002</v>
      </c>
      <c r="AN39" s="40">
        <f t="shared" si="134"/>
        <v>0.15000000000000002</v>
      </c>
      <c r="AO39" s="40">
        <f t="shared" si="134"/>
        <v>0.15000000000000002</v>
      </c>
      <c r="AP39" s="427">
        <f t="shared" si="134"/>
        <v>0.15000000000000002</v>
      </c>
      <c r="AQ39" s="40">
        <f t="shared" si="134"/>
        <v>0.15000000000000002</v>
      </c>
      <c r="AR39" s="40">
        <f t="shared" si="134"/>
        <v>0.15000000000000002</v>
      </c>
      <c r="AS39" s="40">
        <f t="shared" si="134"/>
        <v>0.15000000000000002</v>
      </c>
      <c r="AT39" s="40">
        <f t="shared" si="134"/>
        <v>0.15000000000000002</v>
      </c>
      <c r="AU39" s="40">
        <f t="shared" si="134"/>
        <v>0.15000000000000002</v>
      </c>
      <c r="AV39" s="40">
        <f t="shared" si="134"/>
        <v>0.15000000000000002</v>
      </c>
      <c r="AW39" s="40">
        <f t="shared" si="134"/>
        <v>0.15000000000000002</v>
      </c>
      <c r="AX39" s="40">
        <f t="shared" si="134"/>
        <v>0.15000000000000002</v>
      </c>
      <c r="AY39" s="40">
        <f t="shared" si="134"/>
        <v>0.15000000000000002</v>
      </c>
      <c r="AZ39" s="40">
        <f t="shared" si="134"/>
        <v>0.15000000000000002</v>
      </c>
      <c r="BA39" s="40">
        <f t="shared" si="134"/>
        <v>0.15000000000000002</v>
      </c>
      <c r="BB39" s="40">
        <f t="shared" si="134"/>
        <v>0.15000000000000002</v>
      </c>
      <c r="BC39" s="427">
        <f t="shared" si="134"/>
        <v>0.15000000000000002</v>
      </c>
      <c r="BD39" s="40">
        <f t="shared" si="134"/>
        <v>0.15000000000000002</v>
      </c>
      <c r="BE39" s="40">
        <f t="shared" si="134"/>
        <v>0.15000000000000002</v>
      </c>
      <c r="BF39" s="40">
        <f t="shared" si="134"/>
        <v>0.15000000000000002</v>
      </c>
      <c r="BG39" s="40">
        <f t="shared" si="134"/>
        <v>0.15000000000000002</v>
      </c>
      <c r="BH39" s="40">
        <f t="shared" si="134"/>
        <v>0.15000000000000002</v>
      </c>
      <c r="BI39" s="40">
        <f t="shared" si="134"/>
        <v>0.15000000000000002</v>
      </c>
      <c r="BJ39" s="40">
        <f t="shared" si="134"/>
        <v>0.15000000000000002</v>
      </c>
      <c r="BK39" s="40">
        <f t="shared" si="134"/>
        <v>0.15000000000000002</v>
      </c>
      <c r="BL39" s="40">
        <f t="shared" si="134"/>
        <v>0.15000000000000002</v>
      </c>
      <c r="BM39" s="40">
        <f t="shared" si="134"/>
        <v>0.15000000000000002</v>
      </c>
      <c r="BN39" s="40">
        <f t="shared" si="134"/>
        <v>0.15000000000000002</v>
      </c>
      <c r="BO39" s="40">
        <f t="shared" si="134"/>
        <v>0.15000000000000002</v>
      </c>
      <c r="BP39" s="427">
        <f t="shared" ref="BP39" si="135">100%-BP38</f>
        <v>0.15000000000000002</v>
      </c>
      <c r="CF39" s="288" t="s">
        <v>1093</v>
      </c>
      <c r="CG39" s="285" t="s">
        <v>231</v>
      </c>
    </row>
    <row r="40" spans="1:85" s="291" customFormat="1">
      <c r="A40" s="292" t="s">
        <v>253</v>
      </c>
      <c r="B40" s="285" t="s">
        <v>231</v>
      </c>
      <c r="D40" s="291">
        <f>P40</f>
        <v>0.9</v>
      </c>
      <c r="E40" s="291">
        <f t="shared" ref="E40:O40" si="136">D40</f>
        <v>0.9</v>
      </c>
      <c r="F40" s="291">
        <f t="shared" si="136"/>
        <v>0.9</v>
      </c>
      <c r="G40" s="291">
        <f t="shared" si="136"/>
        <v>0.9</v>
      </c>
      <c r="H40" s="291">
        <f t="shared" si="136"/>
        <v>0.9</v>
      </c>
      <c r="I40" s="291">
        <f t="shared" si="136"/>
        <v>0.9</v>
      </c>
      <c r="J40" s="291">
        <f t="shared" si="136"/>
        <v>0.9</v>
      </c>
      <c r="K40" s="291">
        <f t="shared" si="136"/>
        <v>0.9</v>
      </c>
      <c r="L40" s="291">
        <f t="shared" si="136"/>
        <v>0.9</v>
      </c>
      <c r="M40" s="291">
        <f t="shared" si="136"/>
        <v>0.9</v>
      </c>
      <c r="N40" s="291">
        <f t="shared" si="136"/>
        <v>0.9</v>
      </c>
      <c r="O40" s="291">
        <f t="shared" si="136"/>
        <v>0.9</v>
      </c>
      <c r="P40" s="424">
        <v>0.9</v>
      </c>
      <c r="Q40" s="291">
        <f>AC40</f>
        <v>0.9</v>
      </c>
      <c r="R40" s="291">
        <f t="shared" ref="R40:AB40" si="137">Q40</f>
        <v>0.9</v>
      </c>
      <c r="S40" s="291">
        <f t="shared" si="137"/>
        <v>0.9</v>
      </c>
      <c r="T40" s="291">
        <f t="shared" si="137"/>
        <v>0.9</v>
      </c>
      <c r="U40" s="291">
        <f t="shared" si="137"/>
        <v>0.9</v>
      </c>
      <c r="V40" s="291">
        <f t="shared" si="137"/>
        <v>0.9</v>
      </c>
      <c r="W40" s="291">
        <f t="shared" si="137"/>
        <v>0.9</v>
      </c>
      <c r="X40" s="291">
        <f t="shared" si="137"/>
        <v>0.9</v>
      </c>
      <c r="Y40" s="291">
        <f t="shared" si="137"/>
        <v>0.9</v>
      </c>
      <c r="Z40" s="291">
        <f t="shared" si="137"/>
        <v>0.9</v>
      </c>
      <c r="AA40" s="291">
        <f t="shared" si="137"/>
        <v>0.9</v>
      </c>
      <c r="AB40" s="291">
        <f t="shared" si="137"/>
        <v>0.9</v>
      </c>
      <c r="AC40" s="424">
        <f>P40</f>
        <v>0.9</v>
      </c>
      <c r="AD40" s="291">
        <f>AP40</f>
        <v>0.9</v>
      </c>
      <c r="AE40" s="291">
        <f t="shared" ref="AE40:AO40" si="138">AD40</f>
        <v>0.9</v>
      </c>
      <c r="AF40" s="291">
        <f t="shared" si="138"/>
        <v>0.9</v>
      </c>
      <c r="AG40" s="291">
        <f t="shared" si="138"/>
        <v>0.9</v>
      </c>
      <c r="AH40" s="291">
        <f t="shared" si="138"/>
        <v>0.9</v>
      </c>
      <c r="AI40" s="291">
        <f t="shared" si="138"/>
        <v>0.9</v>
      </c>
      <c r="AJ40" s="291">
        <f t="shared" si="138"/>
        <v>0.9</v>
      </c>
      <c r="AK40" s="291">
        <f t="shared" si="138"/>
        <v>0.9</v>
      </c>
      <c r="AL40" s="291">
        <f t="shared" si="138"/>
        <v>0.9</v>
      </c>
      <c r="AM40" s="291">
        <f t="shared" si="138"/>
        <v>0.9</v>
      </c>
      <c r="AN40" s="291">
        <f t="shared" si="138"/>
        <v>0.9</v>
      </c>
      <c r="AO40" s="291">
        <f t="shared" si="138"/>
        <v>0.9</v>
      </c>
      <c r="AP40" s="424">
        <f>AC40</f>
        <v>0.9</v>
      </c>
      <c r="AQ40" s="291">
        <f>BC40</f>
        <v>0.9</v>
      </c>
      <c r="AR40" s="291">
        <f t="shared" ref="AR40:BB40" si="139">AQ40</f>
        <v>0.9</v>
      </c>
      <c r="AS40" s="291">
        <f t="shared" si="139"/>
        <v>0.9</v>
      </c>
      <c r="AT40" s="291">
        <f t="shared" si="139"/>
        <v>0.9</v>
      </c>
      <c r="AU40" s="291">
        <f t="shared" si="139"/>
        <v>0.9</v>
      </c>
      <c r="AV40" s="291">
        <f t="shared" si="139"/>
        <v>0.9</v>
      </c>
      <c r="AW40" s="291">
        <f t="shared" si="139"/>
        <v>0.9</v>
      </c>
      <c r="AX40" s="291">
        <f t="shared" si="139"/>
        <v>0.9</v>
      </c>
      <c r="AY40" s="291">
        <f t="shared" si="139"/>
        <v>0.9</v>
      </c>
      <c r="AZ40" s="291">
        <f t="shared" si="139"/>
        <v>0.9</v>
      </c>
      <c r="BA40" s="291">
        <f t="shared" si="139"/>
        <v>0.9</v>
      </c>
      <c r="BB40" s="291">
        <f t="shared" si="139"/>
        <v>0.9</v>
      </c>
      <c r="BC40" s="424">
        <f>AP40</f>
        <v>0.9</v>
      </c>
      <c r="BD40" s="291">
        <f>BP40</f>
        <v>0.9</v>
      </c>
      <c r="BE40" s="291">
        <f t="shared" ref="BE40:BO40" si="140">BD40</f>
        <v>0.9</v>
      </c>
      <c r="BF40" s="291">
        <f t="shared" si="140"/>
        <v>0.9</v>
      </c>
      <c r="BG40" s="291">
        <f t="shared" si="140"/>
        <v>0.9</v>
      </c>
      <c r="BH40" s="291">
        <f t="shared" si="140"/>
        <v>0.9</v>
      </c>
      <c r="BI40" s="291">
        <f t="shared" si="140"/>
        <v>0.9</v>
      </c>
      <c r="BJ40" s="291">
        <f t="shared" si="140"/>
        <v>0.9</v>
      </c>
      <c r="BK40" s="291">
        <f t="shared" si="140"/>
        <v>0.9</v>
      </c>
      <c r="BL40" s="291">
        <f t="shared" si="140"/>
        <v>0.9</v>
      </c>
      <c r="BM40" s="291">
        <f t="shared" si="140"/>
        <v>0.9</v>
      </c>
      <c r="BN40" s="291">
        <f t="shared" si="140"/>
        <v>0.9</v>
      </c>
      <c r="BO40" s="291">
        <f t="shared" si="140"/>
        <v>0.9</v>
      </c>
      <c r="BP40" s="424">
        <f>BC40</f>
        <v>0.9</v>
      </c>
      <c r="CF40" s="292" t="s">
        <v>1094</v>
      </c>
      <c r="CG40" s="285" t="s">
        <v>231</v>
      </c>
    </row>
    <row r="41" spans="1:85" s="40" customFormat="1" outlineLevel="1">
      <c r="A41" s="288" t="s">
        <v>503</v>
      </c>
      <c r="B41" s="285" t="s">
        <v>231</v>
      </c>
      <c r="D41" s="40">
        <f>P41</f>
        <v>0.05</v>
      </c>
      <c r="E41" s="40">
        <f t="shared" ref="E41:O41" si="141">D41</f>
        <v>0.05</v>
      </c>
      <c r="F41" s="40">
        <f t="shared" si="141"/>
        <v>0.05</v>
      </c>
      <c r="G41" s="40">
        <f t="shared" si="141"/>
        <v>0.05</v>
      </c>
      <c r="H41" s="40">
        <f t="shared" si="141"/>
        <v>0.05</v>
      </c>
      <c r="I41" s="40">
        <f t="shared" si="141"/>
        <v>0.05</v>
      </c>
      <c r="J41" s="40">
        <f t="shared" si="141"/>
        <v>0.05</v>
      </c>
      <c r="K41" s="40">
        <f t="shared" si="141"/>
        <v>0.05</v>
      </c>
      <c r="L41" s="40">
        <f t="shared" si="141"/>
        <v>0.05</v>
      </c>
      <c r="M41" s="40">
        <f t="shared" si="141"/>
        <v>0.05</v>
      </c>
      <c r="N41" s="40">
        <f t="shared" si="141"/>
        <v>0.05</v>
      </c>
      <c r="O41" s="40">
        <f t="shared" si="141"/>
        <v>0.05</v>
      </c>
      <c r="P41" s="471">
        <v>0.05</v>
      </c>
      <c r="Q41" s="40">
        <f>AC41</f>
        <v>0.05</v>
      </c>
      <c r="R41" s="40">
        <f t="shared" ref="R41:AB41" si="142">Q41</f>
        <v>0.05</v>
      </c>
      <c r="S41" s="40">
        <f t="shared" si="142"/>
        <v>0.05</v>
      </c>
      <c r="T41" s="40">
        <f t="shared" si="142"/>
        <v>0.05</v>
      </c>
      <c r="U41" s="40">
        <f t="shared" si="142"/>
        <v>0.05</v>
      </c>
      <c r="V41" s="40">
        <f t="shared" si="142"/>
        <v>0.05</v>
      </c>
      <c r="W41" s="40">
        <f t="shared" si="142"/>
        <v>0.05</v>
      </c>
      <c r="X41" s="40">
        <f t="shared" si="142"/>
        <v>0.05</v>
      </c>
      <c r="Y41" s="40">
        <f t="shared" si="142"/>
        <v>0.05</v>
      </c>
      <c r="Z41" s="40">
        <f t="shared" si="142"/>
        <v>0.05</v>
      </c>
      <c r="AA41" s="40">
        <f t="shared" si="142"/>
        <v>0.05</v>
      </c>
      <c r="AB41" s="40">
        <f t="shared" si="142"/>
        <v>0.05</v>
      </c>
      <c r="AC41" s="471">
        <f>P41</f>
        <v>0.05</v>
      </c>
      <c r="AD41" s="40">
        <f>AP41</f>
        <v>0.05</v>
      </c>
      <c r="AE41" s="40">
        <f t="shared" ref="AE41:AO41" si="143">AD41</f>
        <v>0.05</v>
      </c>
      <c r="AF41" s="40">
        <f t="shared" si="143"/>
        <v>0.05</v>
      </c>
      <c r="AG41" s="40">
        <f t="shared" si="143"/>
        <v>0.05</v>
      </c>
      <c r="AH41" s="40">
        <f t="shared" si="143"/>
        <v>0.05</v>
      </c>
      <c r="AI41" s="40">
        <f t="shared" si="143"/>
        <v>0.05</v>
      </c>
      <c r="AJ41" s="40">
        <f t="shared" si="143"/>
        <v>0.05</v>
      </c>
      <c r="AK41" s="40">
        <f t="shared" si="143"/>
        <v>0.05</v>
      </c>
      <c r="AL41" s="40">
        <f t="shared" si="143"/>
        <v>0.05</v>
      </c>
      <c r="AM41" s="40">
        <f t="shared" si="143"/>
        <v>0.05</v>
      </c>
      <c r="AN41" s="40">
        <f t="shared" si="143"/>
        <v>0.05</v>
      </c>
      <c r="AO41" s="40">
        <f t="shared" si="143"/>
        <v>0.05</v>
      </c>
      <c r="AP41" s="471">
        <f>AC41</f>
        <v>0.05</v>
      </c>
      <c r="AQ41" s="40">
        <f>BC41</f>
        <v>0.05</v>
      </c>
      <c r="AR41" s="40">
        <f t="shared" ref="AR41:BB41" si="144">AQ41</f>
        <v>0.05</v>
      </c>
      <c r="AS41" s="40">
        <f t="shared" si="144"/>
        <v>0.05</v>
      </c>
      <c r="AT41" s="40">
        <f t="shared" si="144"/>
        <v>0.05</v>
      </c>
      <c r="AU41" s="40">
        <f t="shared" si="144"/>
        <v>0.05</v>
      </c>
      <c r="AV41" s="40">
        <f t="shared" si="144"/>
        <v>0.05</v>
      </c>
      <c r="AW41" s="40">
        <f t="shared" si="144"/>
        <v>0.05</v>
      </c>
      <c r="AX41" s="40">
        <f t="shared" si="144"/>
        <v>0.05</v>
      </c>
      <c r="AY41" s="40">
        <f t="shared" si="144"/>
        <v>0.05</v>
      </c>
      <c r="AZ41" s="40">
        <f t="shared" si="144"/>
        <v>0.05</v>
      </c>
      <c r="BA41" s="40">
        <f t="shared" si="144"/>
        <v>0.05</v>
      </c>
      <c r="BB41" s="40">
        <f t="shared" si="144"/>
        <v>0.05</v>
      </c>
      <c r="BC41" s="471">
        <f>AP41</f>
        <v>0.05</v>
      </c>
      <c r="BD41" s="40">
        <f>BP41</f>
        <v>0.05</v>
      </c>
      <c r="BE41" s="40">
        <f t="shared" ref="BE41:BO41" si="145">BD41</f>
        <v>0.05</v>
      </c>
      <c r="BF41" s="40">
        <f t="shared" si="145"/>
        <v>0.05</v>
      </c>
      <c r="BG41" s="40">
        <f t="shared" si="145"/>
        <v>0.05</v>
      </c>
      <c r="BH41" s="40">
        <f t="shared" si="145"/>
        <v>0.05</v>
      </c>
      <c r="BI41" s="40">
        <f t="shared" si="145"/>
        <v>0.05</v>
      </c>
      <c r="BJ41" s="40">
        <f t="shared" si="145"/>
        <v>0.05</v>
      </c>
      <c r="BK41" s="40">
        <f t="shared" si="145"/>
        <v>0.05</v>
      </c>
      <c r="BL41" s="40">
        <f t="shared" si="145"/>
        <v>0.05</v>
      </c>
      <c r="BM41" s="40">
        <f t="shared" si="145"/>
        <v>0.05</v>
      </c>
      <c r="BN41" s="40">
        <f t="shared" si="145"/>
        <v>0.05</v>
      </c>
      <c r="BO41" s="40">
        <f t="shared" si="145"/>
        <v>0.05</v>
      </c>
      <c r="BP41" s="471">
        <f>BC41</f>
        <v>0.05</v>
      </c>
      <c r="CF41" s="288" t="s">
        <v>1092</v>
      </c>
      <c r="CG41" s="285" t="s">
        <v>231</v>
      </c>
    </row>
    <row r="42" spans="1:85" s="40" customFormat="1" outlineLevel="1">
      <c r="A42" s="288" t="s">
        <v>504</v>
      </c>
      <c r="B42" s="285" t="s">
        <v>231</v>
      </c>
      <c r="D42" s="40">
        <f>P42</f>
        <v>0.03</v>
      </c>
      <c r="E42" s="40">
        <f t="shared" ref="E42:O42" si="146">D42</f>
        <v>0.03</v>
      </c>
      <c r="F42" s="40">
        <f t="shared" si="146"/>
        <v>0.03</v>
      </c>
      <c r="G42" s="40">
        <f t="shared" si="146"/>
        <v>0.03</v>
      </c>
      <c r="H42" s="40">
        <f t="shared" si="146"/>
        <v>0.03</v>
      </c>
      <c r="I42" s="40">
        <f t="shared" si="146"/>
        <v>0.03</v>
      </c>
      <c r="J42" s="40">
        <f t="shared" si="146"/>
        <v>0.03</v>
      </c>
      <c r="K42" s="40">
        <f t="shared" si="146"/>
        <v>0.03</v>
      </c>
      <c r="L42" s="40">
        <f t="shared" si="146"/>
        <v>0.03</v>
      </c>
      <c r="M42" s="40">
        <f t="shared" si="146"/>
        <v>0.03</v>
      </c>
      <c r="N42" s="40">
        <f t="shared" si="146"/>
        <v>0.03</v>
      </c>
      <c r="O42" s="40">
        <f t="shared" si="146"/>
        <v>0.03</v>
      </c>
      <c r="P42" s="471">
        <v>0.03</v>
      </c>
      <c r="Q42" s="40">
        <f>AC42</f>
        <v>0.03</v>
      </c>
      <c r="R42" s="40">
        <f t="shared" ref="R42:AB42" si="147">Q42</f>
        <v>0.03</v>
      </c>
      <c r="S42" s="40">
        <f t="shared" si="147"/>
        <v>0.03</v>
      </c>
      <c r="T42" s="40">
        <f t="shared" si="147"/>
        <v>0.03</v>
      </c>
      <c r="U42" s="40">
        <f t="shared" si="147"/>
        <v>0.03</v>
      </c>
      <c r="V42" s="40">
        <f t="shared" si="147"/>
        <v>0.03</v>
      </c>
      <c r="W42" s="40">
        <f t="shared" si="147"/>
        <v>0.03</v>
      </c>
      <c r="X42" s="40">
        <f t="shared" si="147"/>
        <v>0.03</v>
      </c>
      <c r="Y42" s="40">
        <f t="shared" si="147"/>
        <v>0.03</v>
      </c>
      <c r="Z42" s="40">
        <f t="shared" si="147"/>
        <v>0.03</v>
      </c>
      <c r="AA42" s="40">
        <f t="shared" si="147"/>
        <v>0.03</v>
      </c>
      <c r="AB42" s="40">
        <f t="shared" si="147"/>
        <v>0.03</v>
      </c>
      <c r="AC42" s="471">
        <f>P42</f>
        <v>0.03</v>
      </c>
      <c r="AD42" s="40">
        <f>AP42</f>
        <v>0.03</v>
      </c>
      <c r="AE42" s="40">
        <f t="shared" ref="AE42:AO42" si="148">AD42</f>
        <v>0.03</v>
      </c>
      <c r="AF42" s="40">
        <f t="shared" si="148"/>
        <v>0.03</v>
      </c>
      <c r="AG42" s="40">
        <f t="shared" si="148"/>
        <v>0.03</v>
      </c>
      <c r="AH42" s="40">
        <f t="shared" si="148"/>
        <v>0.03</v>
      </c>
      <c r="AI42" s="40">
        <f t="shared" si="148"/>
        <v>0.03</v>
      </c>
      <c r="AJ42" s="40">
        <f t="shared" si="148"/>
        <v>0.03</v>
      </c>
      <c r="AK42" s="40">
        <f t="shared" si="148"/>
        <v>0.03</v>
      </c>
      <c r="AL42" s="40">
        <f t="shared" si="148"/>
        <v>0.03</v>
      </c>
      <c r="AM42" s="40">
        <f t="shared" si="148"/>
        <v>0.03</v>
      </c>
      <c r="AN42" s="40">
        <f t="shared" si="148"/>
        <v>0.03</v>
      </c>
      <c r="AO42" s="40">
        <f t="shared" si="148"/>
        <v>0.03</v>
      </c>
      <c r="AP42" s="471">
        <f>AC42</f>
        <v>0.03</v>
      </c>
      <c r="AQ42" s="40">
        <f>BC42</f>
        <v>0.03</v>
      </c>
      <c r="AR42" s="40">
        <f t="shared" ref="AR42:BB42" si="149">AQ42</f>
        <v>0.03</v>
      </c>
      <c r="AS42" s="40">
        <f t="shared" si="149"/>
        <v>0.03</v>
      </c>
      <c r="AT42" s="40">
        <f t="shared" si="149"/>
        <v>0.03</v>
      </c>
      <c r="AU42" s="40">
        <f t="shared" si="149"/>
        <v>0.03</v>
      </c>
      <c r="AV42" s="40">
        <f t="shared" si="149"/>
        <v>0.03</v>
      </c>
      <c r="AW42" s="40">
        <f t="shared" si="149"/>
        <v>0.03</v>
      </c>
      <c r="AX42" s="40">
        <f t="shared" si="149"/>
        <v>0.03</v>
      </c>
      <c r="AY42" s="40">
        <f t="shared" si="149"/>
        <v>0.03</v>
      </c>
      <c r="AZ42" s="40">
        <f t="shared" si="149"/>
        <v>0.03</v>
      </c>
      <c r="BA42" s="40">
        <f t="shared" si="149"/>
        <v>0.03</v>
      </c>
      <c r="BB42" s="40">
        <f t="shared" si="149"/>
        <v>0.03</v>
      </c>
      <c r="BC42" s="471">
        <f>AP42</f>
        <v>0.03</v>
      </c>
      <c r="BD42" s="40">
        <f>BP42</f>
        <v>0.03</v>
      </c>
      <c r="BE42" s="40">
        <f t="shared" ref="BE42:BO42" si="150">BD42</f>
        <v>0.03</v>
      </c>
      <c r="BF42" s="40">
        <f t="shared" si="150"/>
        <v>0.03</v>
      </c>
      <c r="BG42" s="40">
        <f t="shared" si="150"/>
        <v>0.03</v>
      </c>
      <c r="BH42" s="40">
        <f t="shared" si="150"/>
        <v>0.03</v>
      </c>
      <c r="BI42" s="40">
        <f t="shared" si="150"/>
        <v>0.03</v>
      </c>
      <c r="BJ42" s="40">
        <f t="shared" si="150"/>
        <v>0.03</v>
      </c>
      <c r="BK42" s="40">
        <f t="shared" si="150"/>
        <v>0.03</v>
      </c>
      <c r="BL42" s="40">
        <f t="shared" si="150"/>
        <v>0.03</v>
      </c>
      <c r="BM42" s="40">
        <f t="shared" si="150"/>
        <v>0.03</v>
      </c>
      <c r="BN42" s="40">
        <f t="shared" si="150"/>
        <v>0.03</v>
      </c>
      <c r="BO42" s="40">
        <f t="shared" si="150"/>
        <v>0.03</v>
      </c>
      <c r="BP42" s="471">
        <f>BC42</f>
        <v>0.03</v>
      </c>
      <c r="CF42" s="288" t="s">
        <v>504</v>
      </c>
      <c r="CG42" s="285" t="s">
        <v>231</v>
      </c>
    </row>
    <row r="43" spans="1:85" s="40" customFormat="1" outlineLevel="1">
      <c r="A43" s="288" t="s">
        <v>252</v>
      </c>
      <c r="B43" s="285" t="s">
        <v>231</v>
      </c>
      <c r="D43" s="40">
        <f t="shared" ref="D43:AI43" si="151">100%-D41-D42</f>
        <v>0.91999999999999993</v>
      </c>
      <c r="E43" s="40">
        <f t="shared" si="151"/>
        <v>0.91999999999999993</v>
      </c>
      <c r="F43" s="40">
        <f t="shared" si="151"/>
        <v>0.91999999999999993</v>
      </c>
      <c r="G43" s="40">
        <f t="shared" si="151"/>
        <v>0.91999999999999993</v>
      </c>
      <c r="H43" s="40">
        <f t="shared" si="151"/>
        <v>0.91999999999999993</v>
      </c>
      <c r="I43" s="40">
        <f t="shared" si="151"/>
        <v>0.91999999999999993</v>
      </c>
      <c r="J43" s="40">
        <f t="shared" si="151"/>
        <v>0.91999999999999993</v>
      </c>
      <c r="K43" s="40">
        <f t="shared" si="151"/>
        <v>0.91999999999999993</v>
      </c>
      <c r="L43" s="40">
        <f t="shared" si="151"/>
        <v>0.91999999999999993</v>
      </c>
      <c r="M43" s="40">
        <f t="shared" si="151"/>
        <v>0.91999999999999993</v>
      </c>
      <c r="N43" s="40">
        <f t="shared" si="151"/>
        <v>0.91999999999999993</v>
      </c>
      <c r="O43" s="40">
        <f t="shared" si="151"/>
        <v>0.91999999999999993</v>
      </c>
      <c r="P43" s="427">
        <f t="shared" si="151"/>
        <v>0.91999999999999993</v>
      </c>
      <c r="Q43" s="40">
        <f t="shared" si="151"/>
        <v>0.91999999999999993</v>
      </c>
      <c r="R43" s="40">
        <f t="shared" si="151"/>
        <v>0.91999999999999993</v>
      </c>
      <c r="S43" s="40">
        <f t="shared" si="151"/>
        <v>0.91999999999999993</v>
      </c>
      <c r="T43" s="40">
        <f t="shared" si="151"/>
        <v>0.91999999999999993</v>
      </c>
      <c r="U43" s="40">
        <f t="shared" si="151"/>
        <v>0.91999999999999993</v>
      </c>
      <c r="V43" s="40">
        <f t="shared" si="151"/>
        <v>0.91999999999999993</v>
      </c>
      <c r="W43" s="40">
        <f t="shared" si="151"/>
        <v>0.91999999999999993</v>
      </c>
      <c r="X43" s="40">
        <f t="shared" si="151"/>
        <v>0.91999999999999993</v>
      </c>
      <c r="Y43" s="40">
        <f t="shared" si="151"/>
        <v>0.91999999999999993</v>
      </c>
      <c r="Z43" s="40">
        <f t="shared" si="151"/>
        <v>0.91999999999999993</v>
      </c>
      <c r="AA43" s="40">
        <f t="shared" si="151"/>
        <v>0.91999999999999993</v>
      </c>
      <c r="AB43" s="40">
        <f t="shared" si="151"/>
        <v>0.91999999999999993</v>
      </c>
      <c r="AC43" s="427">
        <f t="shared" si="151"/>
        <v>0.91999999999999993</v>
      </c>
      <c r="AD43" s="40">
        <f t="shared" si="151"/>
        <v>0.91999999999999993</v>
      </c>
      <c r="AE43" s="40">
        <f t="shared" si="151"/>
        <v>0.91999999999999993</v>
      </c>
      <c r="AF43" s="40">
        <f t="shared" si="151"/>
        <v>0.91999999999999993</v>
      </c>
      <c r="AG43" s="40">
        <f t="shared" si="151"/>
        <v>0.91999999999999993</v>
      </c>
      <c r="AH43" s="40">
        <f t="shared" si="151"/>
        <v>0.91999999999999993</v>
      </c>
      <c r="AI43" s="40">
        <f t="shared" si="151"/>
        <v>0.91999999999999993</v>
      </c>
      <c r="AJ43" s="40">
        <f t="shared" ref="AJ43:BO43" si="152">100%-AJ41-AJ42</f>
        <v>0.91999999999999993</v>
      </c>
      <c r="AK43" s="40">
        <f t="shared" si="152"/>
        <v>0.91999999999999993</v>
      </c>
      <c r="AL43" s="40">
        <f t="shared" si="152"/>
        <v>0.91999999999999993</v>
      </c>
      <c r="AM43" s="40">
        <f t="shared" si="152"/>
        <v>0.91999999999999993</v>
      </c>
      <c r="AN43" s="40">
        <f t="shared" si="152"/>
        <v>0.91999999999999993</v>
      </c>
      <c r="AO43" s="40">
        <f t="shared" si="152"/>
        <v>0.91999999999999993</v>
      </c>
      <c r="AP43" s="427">
        <f t="shared" si="152"/>
        <v>0.91999999999999993</v>
      </c>
      <c r="AQ43" s="40">
        <f t="shared" si="152"/>
        <v>0.91999999999999993</v>
      </c>
      <c r="AR43" s="40">
        <f t="shared" si="152"/>
        <v>0.91999999999999993</v>
      </c>
      <c r="AS43" s="40">
        <f t="shared" si="152"/>
        <v>0.91999999999999993</v>
      </c>
      <c r="AT43" s="40">
        <f t="shared" si="152"/>
        <v>0.91999999999999993</v>
      </c>
      <c r="AU43" s="40">
        <f t="shared" si="152"/>
        <v>0.91999999999999993</v>
      </c>
      <c r="AV43" s="40">
        <f t="shared" si="152"/>
        <v>0.91999999999999993</v>
      </c>
      <c r="AW43" s="40">
        <f t="shared" si="152"/>
        <v>0.91999999999999993</v>
      </c>
      <c r="AX43" s="40">
        <f t="shared" si="152"/>
        <v>0.91999999999999993</v>
      </c>
      <c r="AY43" s="40">
        <f t="shared" si="152"/>
        <v>0.91999999999999993</v>
      </c>
      <c r="AZ43" s="40">
        <f t="shared" si="152"/>
        <v>0.91999999999999993</v>
      </c>
      <c r="BA43" s="40">
        <f t="shared" si="152"/>
        <v>0.91999999999999993</v>
      </c>
      <c r="BB43" s="40">
        <f t="shared" si="152"/>
        <v>0.91999999999999993</v>
      </c>
      <c r="BC43" s="427">
        <f t="shared" si="152"/>
        <v>0.91999999999999993</v>
      </c>
      <c r="BD43" s="40">
        <f t="shared" si="152"/>
        <v>0.91999999999999993</v>
      </c>
      <c r="BE43" s="40">
        <f t="shared" si="152"/>
        <v>0.91999999999999993</v>
      </c>
      <c r="BF43" s="40">
        <f t="shared" si="152"/>
        <v>0.91999999999999993</v>
      </c>
      <c r="BG43" s="40">
        <f t="shared" si="152"/>
        <v>0.91999999999999993</v>
      </c>
      <c r="BH43" s="40">
        <f t="shared" si="152"/>
        <v>0.91999999999999993</v>
      </c>
      <c r="BI43" s="40">
        <f t="shared" si="152"/>
        <v>0.91999999999999993</v>
      </c>
      <c r="BJ43" s="40">
        <f t="shared" si="152"/>
        <v>0.91999999999999993</v>
      </c>
      <c r="BK43" s="40">
        <f t="shared" si="152"/>
        <v>0.91999999999999993</v>
      </c>
      <c r="BL43" s="40">
        <f t="shared" si="152"/>
        <v>0.91999999999999993</v>
      </c>
      <c r="BM43" s="40">
        <f t="shared" si="152"/>
        <v>0.91999999999999993</v>
      </c>
      <c r="BN43" s="40">
        <f t="shared" si="152"/>
        <v>0.91999999999999993</v>
      </c>
      <c r="BO43" s="40">
        <f t="shared" si="152"/>
        <v>0.91999999999999993</v>
      </c>
      <c r="BP43" s="427">
        <f t="shared" ref="BP43" si="153">100%-BP41-BP42</f>
        <v>0.91999999999999993</v>
      </c>
      <c r="CF43" s="288" t="s">
        <v>1093</v>
      </c>
      <c r="CG43" s="285" t="s">
        <v>231</v>
      </c>
    </row>
    <row r="44" spans="1:85" s="291" customFormat="1">
      <c r="A44" s="292" t="s">
        <v>254</v>
      </c>
      <c r="B44" s="285" t="s">
        <v>231</v>
      </c>
      <c r="D44" s="291">
        <f>P44</f>
        <v>0.02</v>
      </c>
      <c r="E44" s="291">
        <f t="shared" ref="E44:O44" si="154">D44</f>
        <v>0.02</v>
      </c>
      <c r="F44" s="291">
        <f t="shared" si="154"/>
        <v>0.02</v>
      </c>
      <c r="G44" s="291">
        <f t="shared" si="154"/>
        <v>0.02</v>
      </c>
      <c r="H44" s="291">
        <f t="shared" si="154"/>
        <v>0.02</v>
      </c>
      <c r="I44" s="291">
        <f t="shared" si="154"/>
        <v>0.02</v>
      </c>
      <c r="J44" s="291">
        <f t="shared" si="154"/>
        <v>0.02</v>
      </c>
      <c r="K44" s="291">
        <f t="shared" si="154"/>
        <v>0.02</v>
      </c>
      <c r="L44" s="291">
        <f t="shared" si="154"/>
        <v>0.02</v>
      </c>
      <c r="M44" s="291">
        <f t="shared" si="154"/>
        <v>0.02</v>
      </c>
      <c r="N44" s="291">
        <f t="shared" si="154"/>
        <v>0.02</v>
      </c>
      <c r="O44" s="291">
        <f t="shared" si="154"/>
        <v>0.02</v>
      </c>
      <c r="P44" s="424">
        <v>0.02</v>
      </c>
      <c r="Q44" s="291">
        <f>AC44</f>
        <v>0.02</v>
      </c>
      <c r="R44" s="291">
        <f t="shared" ref="R44:AB44" si="155">Q44</f>
        <v>0.02</v>
      </c>
      <c r="S44" s="291">
        <f t="shared" si="155"/>
        <v>0.02</v>
      </c>
      <c r="T44" s="291">
        <f t="shared" si="155"/>
        <v>0.02</v>
      </c>
      <c r="U44" s="291">
        <f t="shared" si="155"/>
        <v>0.02</v>
      </c>
      <c r="V44" s="291">
        <f t="shared" si="155"/>
        <v>0.02</v>
      </c>
      <c r="W44" s="291">
        <f t="shared" si="155"/>
        <v>0.02</v>
      </c>
      <c r="X44" s="291">
        <f t="shared" si="155"/>
        <v>0.02</v>
      </c>
      <c r="Y44" s="291">
        <f t="shared" si="155"/>
        <v>0.02</v>
      </c>
      <c r="Z44" s="291">
        <f t="shared" si="155"/>
        <v>0.02</v>
      </c>
      <c r="AA44" s="291">
        <f t="shared" si="155"/>
        <v>0.02</v>
      </c>
      <c r="AB44" s="291">
        <f t="shared" si="155"/>
        <v>0.02</v>
      </c>
      <c r="AC44" s="424">
        <f>P44</f>
        <v>0.02</v>
      </c>
      <c r="AD44" s="291">
        <f>AP44</f>
        <v>0.02</v>
      </c>
      <c r="AE44" s="291">
        <f t="shared" ref="AE44:AO44" si="156">AD44</f>
        <v>0.02</v>
      </c>
      <c r="AF44" s="291">
        <f t="shared" si="156"/>
        <v>0.02</v>
      </c>
      <c r="AG44" s="291">
        <f t="shared" si="156"/>
        <v>0.02</v>
      </c>
      <c r="AH44" s="291">
        <f t="shared" si="156"/>
        <v>0.02</v>
      </c>
      <c r="AI44" s="291">
        <f t="shared" si="156"/>
        <v>0.02</v>
      </c>
      <c r="AJ44" s="291">
        <f t="shared" si="156"/>
        <v>0.02</v>
      </c>
      <c r="AK44" s="291">
        <f t="shared" si="156"/>
        <v>0.02</v>
      </c>
      <c r="AL44" s="291">
        <f t="shared" si="156"/>
        <v>0.02</v>
      </c>
      <c r="AM44" s="291">
        <f t="shared" si="156"/>
        <v>0.02</v>
      </c>
      <c r="AN44" s="291">
        <f t="shared" si="156"/>
        <v>0.02</v>
      </c>
      <c r="AO44" s="291">
        <f t="shared" si="156"/>
        <v>0.02</v>
      </c>
      <c r="AP44" s="424">
        <f>AC44</f>
        <v>0.02</v>
      </c>
      <c r="AQ44" s="291">
        <f>BC44</f>
        <v>0.02</v>
      </c>
      <c r="AR44" s="291">
        <f t="shared" ref="AR44:BB44" si="157">AQ44</f>
        <v>0.02</v>
      </c>
      <c r="AS44" s="291">
        <f t="shared" si="157"/>
        <v>0.02</v>
      </c>
      <c r="AT44" s="291">
        <f t="shared" si="157"/>
        <v>0.02</v>
      </c>
      <c r="AU44" s="291">
        <f t="shared" si="157"/>
        <v>0.02</v>
      </c>
      <c r="AV44" s="291">
        <f t="shared" si="157"/>
        <v>0.02</v>
      </c>
      <c r="AW44" s="291">
        <f t="shared" si="157"/>
        <v>0.02</v>
      </c>
      <c r="AX44" s="291">
        <f t="shared" si="157"/>
        <v>0.02</v>
      </c>
      <c r="AY44" s="291">
        <f t="shared" si="157"/>
        <v>0.02</v>
      </c>
      <c r="AZ44" s="291">
        <f t="shared" si="157"/>
        <v>0.02</v>
      </c>
      <c r="BA44" s="291">
        <f t="shared" si="157"/>
        <v>0.02</v>
      </c>
      <c r="BB44" s="291">
        <f t="shared" si="157"/>
        <v>0.02</v>
      </c>
      <c r="BC44" s="424">
        <f>AP44</f>
        <v>0.02</v>
      </c>
      <c r="BD44" s="291">
        <f>BP44</f>
        <v>0.02</v>
      </c>
      <c r="BE44" s="291">
        <f t="shared" ref="BE44:BO44" si="158">BD44</f>
        <v>0.02</v>
      </c>
      <c r="BF44" s="291">
        <f t="shared" si="158"/>
        <v>0.02</v>
      </c>
      <c r="BG44" s="291">
        <f t="shared" si="158"/>
        <v>0.02</v>
      </c>
      <c r="BH44" s="291">
        <f t="shared" si="158"/>
        <v>0.02</v>
      </c>
      <c r="BI44" s="291">
        <f t="shared" si="158"/>
        <v>0.02</v>
      </c>
      <c r="BJ44" s="291">
        <f t="shared" si="158"/>
        <v>0.02</v>
      </c>
      <c r="BK44" s="291">
        <f t="shared" si="158"/>
        <v>0.02</v>
      </c>
      <c r="BL44" s="291">
        <f t="shared" si="158"/>
        <v>0.02</v>
      </c>
      <c r="BM44" s="291">
        <f t="shared" si="158"/>
        <v>0.02</v>
      </c>
      <c r="BN44" s="291">
        <f t="shared" si="158"/>
        <v>0.02</v>
      </c>
      <c r="BO44" s="291">
        <f t="shared" si="158"/>
        <v>0.02</v>
      </c>
      <c r="BP44" s="424">
        <f>BC44</f>
        <v>0.02</v>
      </c>
      <c r="CF44" s="292" t="s">
        <v>1095</v>
      </c>
      <c r="CG44" s="285" t="s">
        <v>231</v>
      </c>
    </row>
    <row r="45" spans="1:85" s="40" customFormat="1" outlineLevel="1">
      <c r="A45" s="288" t="s">
        <v>505</v>
      </c>
      <c r="B45" s="285" t="s">
        <v>231</v>
      </c>
      <c r="D45" s="40">
        <f>P45</f>
        <v>1</v>
      </c>
      <c r="E45" s="40">
        <f t="shared" ref="E45:O45" si="159">D45</f>
        <v>1</v>
      </c>
      <c r="F45" s="40">
        <f t="shared" si="159"/>
        <v>1</v>
      </c>
      <c r="G45" s="40">
        <f t="shared" si="159"/>
        <v>1</v>
      </c>
      <c r="H45" s="40">
        <f t="shared" si="159"/>
        <v>1</v>
      </c>
      <c r="I45" s="40">
        <f t="shared" si="159"/>
        <v>1</v>
      </c>
      <c r="J45" s="40">
        <f t="shared" si="159"/>
        <v>1</v>
      </c>
      <c r="K45" s="40">
        <f t="shared" si="159"/>
        <v>1</v>
      </c>
      <c r="L45" s="40">
        <f t="shared" si="159"/>
        <v>1</v>
      </c>
      <c r="M45" s="40">
        <f t="shared" si="159"/>
        <v>1</v>
      </c>
      <c r="N45" s="40">
        <f t="shared" si="159"/>
        <v>1</v>
      </c>
      <c r="O45" s="40">
        <f t="shared" si="159"/>
        <v>1</v>
      </c>
      <c r="P45" s="471">
        <v>1</v>
      </c>
      <c r="Q45" s="40">
        <f>AC45</f>
        <v>1</v>
      </c>
      <c r="R45" s="40">
        <f t="shared" ref="R45:AB45" si="160">Q45</f>
        <v>1</v>
      </c>
      <c r="S45" s="40">
        <f t="shared" si="160"/>
        <v>1</v>
      </c>
      <c r="T45" s="40">
        <f t="shared" si="160"/>
        <v>1</v>
      </c>
      <c r="U45" s="40">
        <f t="shared" si="160"/>
        <v>1</v>
      </c>
      <c r="V45" s="40">
        <f t="shared" si="160"/>
        <v>1</v>
      </c>
      <c r="W45" s="40">
        <f t="shared" si="160"/>
        <v>1</v>
      </c>
      <c r="X45" s="40">
        <f t="shared" si="160"/>
        <v>1</v>
      </c>
      <c r="Y45" s="40">
        <f t="shared" si="160"/>
        <v>1</v>
      </c>
      <c r="Z45" s="40">
        <f t="shared" si="160"/>
        <v>1</v>
      </c>
      <c r="AA45" s="40">
        <f t="shared" si="160"/>
        <v>1</v>
      </c>
      <c r="AB45" s="40">
        <f t="shared" si="160"/>
        <v>1</v>
      </c>
      <c r="AC45" s="471">
        <f>P45</f>
        <v>1</v>
      </c>
      <c r="AD45" s="40">
        <f>AP45</f>
        <v>1</v>
      </c>
      <c r="AE45" s="40">
        <f t="shared" ref="AE45:AO45" si="161">AD45</f>
        <v>1</v>
      </c>
      <c r="AF45" s="40">
        <f t="shared" si="161"/>
        <v>1</v>
      </c>
      <c r="AG45" s="40">
        <f t="shared" si="161"/>
        <v>1</v>
      </c>
      <c r="AH45" s="40">
        <f t="shared" si="161"/>
        <v>1</v>
      </c>
      <c r="AI45" s="40">
        <f t="shared" si="161"/>
        <v>1</v>
      </c>
      <c r="AJ45" s="40">
        <f t="shared" si="161"/>
        <v>1</v>
      </c>
      <c r="AK45" s="40">
        <f t="shared" si="161"/>
        <v>1</v>
      </c>
      <c r="AL45" s="40">
        <f t="shared" si="161"/>
        <v>1</v>
      </c>
      <c r="AM45" s="40">
        <f t="shared" si="161"/>
        <v>1</v>
      </c>
      <c r="AN45" s="40">
        <f t="shared" si="161"/>
        <v>1</v>
      </c>
      <c r="AO45" s="40">
        <f t="shared" si="161"/>
        <v>1</v>
      </c>
      <c r="AP45" s="471">
        <f>AC45</f>
        <v>1</v>
      </c>
      <c r="AQ45" s="40">
        <f>BC45</f>
        <v>1</v>
      </c>
      <c r="AR45" s="40">
        <f t="shared" ref="AR45:BB45" si="162">AQ45</f>
        <v>1</v>
      </c>
      <c r="AS45" s="40">
        <f t="shared" si="162"/>
        <v>1</v>
      </c>
      <c r="AT45" s="40">
        <f t="shared" si="162"/>
        <v>1</v>
      </c>
      <c r="AU45" s="40">
        <f t="shared" si="162"/>
        <v>1</v>
      </c>
      <c r="AV45" s="40">
        <f t="shared" si="162"/>
        <v>1</v>
      </c>
      <c r="AW45" s="40">
        <f t="shared" si="162"/>
        <v>1</v>
      </c>
      <c r="AX45" s="40">
        <f t="shared" si="162"/>
        <v>1</v>
      </c>
      <c r="AY45" s="40">
        <f t="shared" si="162"/>
        <v>1</v>
      </c>
      <c r="AZ45" s="40">
        <f t="shared" si="162"/>
        <v>1</v>
      </c>
      <c r="BA45" s="40">
        <f t="shared" si="162"/>
        <v>1</v>
      </c>
      <c r="BB45" s="40">
        <f t="shared" si="162"/>
        <v>1</v>
      </c>
      <c r="BC45" s="471">
        <f>AP45</f>
        <v>1</v>
      </c>
      <c r="BD45" s="40">
        <f>BP45</f>
        <v>1</v>
      </c>
      <c r="BE45" s="40">
        <f t="shared" ref="BE45:BO45" si="163">BD45</f>
        <v>1</v>
      </c>
      <c r="BF45" s="40">
        <f t="shared" si="163"/>
        <v>1</v>
      </c>
      <c r="BG45" s="40">
        <f t="shared" si="163"/>
        <v>1</v>
      </c>
      <c r="BH45" s="40">
        <f t="shared" si="163"/>
        <v>1</v>
      </c>
      <c r="BI45" s="40">
        <f t="shared" si="163"/>
        <v>1</v>
      </c>
      <c r="BJ45" s="40">
        <f t="shared" si="163"/>
        <v>1</v>
      </c>
      <c r="BK45" s="40">
        <f t="shared" si="163"/>
        <v>1</v>
      </c>
      <c r="BL45" s="40">
        <f t="shared" si="163"/>
        <v>1</v>
      </c>
      <c r="BM45" s="40">
        <f t="shared" si="163"/>
        <v>1</v>
      </c>
      <c r="BN45" s="40">
        <f t="shared" si="163"/>
        <v>1</v>
      </c>
      <c r="BO45" s="40">
        <f t="shared" si="163"/>
        <v>1</v>
      </c>
      <c r="BP45" s="471">
        <f>BC45</f>
        <v>1</v>
      </c>
      <c r="CF45" s="288" t="s">
        <v>1096</v>
      </c>
      <c r="CG45" s="285" t="s">
        <v>231</v>
      </c>
    </row>
    <row r="46" spans="1:85" s="40" customFormat="1" outlineLevel="1">
      <c r="A46" s="288" t="s">
        <v>506</v>
      </c>
      <c r="B46" s="285" t="s">
        <v>231</v>
      </c>
      <c r="D46" s="40">
        <f t="shared" ref="D46:AI46" si="164">100%-D45</f>
        <v>0</v>
      </c>
      <c r="E46" s="40">
        <f t="shared" si="164"/>
        <v>0</v>
      </c>
      <c r="F46" s="40">
        <f t="shared" si="164"/>
        <v>0</v>
      </c>
      <c r="G46" s="40">
        <f t="shared" si="164"/>
        <v>0</v>
      </c>
      <c r="H46" s="40">
        <f t="shared" si="164"/>
        <v>0</v>
      </c>
      <c r="I46" s="40">
        <f t="shared" si="164"/>
        <v>0</v>
      </c>
      <c r="J46" s="40">
        <f t="shared" si="164"/>
        <v>0</v>
      </c>
      <c r="K46" s="40">
        <f t="shared" si="164"/>
        <v>0</v>
      </c>
      <c r="L46" s="40">
        <f t="shared" si="164"/>
        <v>0</v>
      </c>
      <c r="M46" s="40">
        <f t="shared" si="164"/>
        <v>0</v>
      </c>
      <c r="N46" s="40">
        <f t="shared" si="164"/>
        <v>0</v>
      </c>
      <c r="O46" s="40">
        <f t="shared" si="164"/>
        <v>0</v>
      </c>
      <c r="P46" s="427">
        <f t="shared" si="164"/>
        <v>0</v>
      </c>
      <c r="Q46" s="40">
        <f t="shared" si="164"/>
        <v>0</v>
      </c>
      <c r="R46" s="40">
        <f t="shared" si="164"/>
        <v>0</v>
      </c>
      <c r="S46" s="40">
        <f t="shared" si="164"/>
        <v>0</v>
      </c>
      <c r="T46" s="40">
        <f t="shared" si="164"/>
        <v>0</v>
      </c>
      <c r="U46" s="40">
        <f t="shared" si="164"/>
        <v>0</v>
      </c>
      <c r="V46" s="40">
        <f t="shared" si="164"/>
        <v>0</v>
      </c>
      <c r="W46" s="40">
        <f t="shared" si="164"/>
        <v>0</v>
      </c>
      <c r="X46" s="40">
        <f t="shared" si="164"/>
        <v>0</v>
      </c>
      <c r="Y46" s="40">
        <f t="shared" si="164"/>
        <v>0</v>
      </c>
      <c r="Z46" s="40">
        <f t="shared" si="164"/>
        <v>0</v>
      </c>
      <c r="AA46" s="40">
        <f t="shared" si="164"/>
        <v>0</v>
      </c>
      <c r="AB46" s="40">
        <f t="shared" si="164"/>
        <v>0</v>
      </c>
      <c r="AC46" s="427">
        <f t="shared" si="164"/>
        <v>0</v>
      </c>
      <c r="AD46" s="40">
        <f t="shared" si="164"/>
        <v>0</v>
      </c>
      <c r="AE46" s="40">
        <f t="shared" si="164"/>
        <v>0</v>
      </c>
      <c r="AF46" s="40">
        <f t="shared" si="164"/>
        <v>0</v>
      </c>
      <c r="AG46" s="40">
        <f t="shared" si="164"/>
        <v>0</v>
      </c>
      <c r="AH46" s="40">
        <f t="shared" si="164"/>
        <v>0</v>
      </c>
      <c r="AI46" s="40">
        <f t="shared" si="164"/>
        <v>0</v>
      </c>
      <c r="AJ46" s="40">
        <f t="shared" ref="AJ46:BO46" si="165">100%-AJ45</f>
        <v>0</v>
      </c>
      <c r="AK46" s="40">
        <f t="shared" si="165"/>
        <v>0</v>
      </c>
      <c r="AL46" s="40">
        <f t="shared" si="165"/>
        <v>0</v>
      </c>
      <c r="AM46" s="40">
        <f t="shared" si="165"/>
        <v>0</v>
      </c>
      <c r="AN46" s="40">
        <f t="shared" si="165"/>
        <v>0</v>
      </c>
      <c r="AO46" s="40">
        <f t="shared" si="165"/>
        <v>0</v>
      </c>
      <c r="AP46" s="427">
        <f t="shared" si="165"/>
        <v>0</v>
      </c>
      <c r="AQ46" s="40">
        <f t="shared" si="165"/>
        <v>0</v>
      </c>
      <c r="AR46" s="40">
        <f t="shared" si="165"/>
        <v>0</v>
      </c>
      <c r="AS46" s="40">
        <f t="shared" si="165"/>
        <v>0</v>
      </c>
      <c r="AT46" s="40">
        <f t="shared" si="165"/>
        <v>0</v>
      </c>
      <c r="AU46" s="40">
        <f t="shared" si="165"/>
        <v>0</v>
      </c>
      <c r="AV46" s="40">
        <f t="shared" si="165"/>
        <v>0</v>
      </c>
      <c r="AW46" s="40">
        <f t="shared" si="165"/>
        <v>0</v>
      </c>
      <c r="AX46" s="40">
        <f t="shared" si="165"/>
        <v>0</v>
      </c>
      <c r="AY46" s="40">
        <f t="shared" si="165"/>
        <v>0</v>
      </c>
      <c r="AZ46" s="40">
        <f t="shared" si="165"/>
        <v>0</v>
      </c>
      <c r="BA46" s="40">
        <f t="shared" si="165"/>
        <v>0</v>
      </c>
      <c r="BB46" s="40">
        <f t="shared" si="165"/>
        <v>0</v>
      </c>
      <c r="BC46" s="427">
        <f t="shared" si="165"/>
        <v>0</v>
      </c>
      <c r="BD46" s="40">
        <f t="shared" si="165"/>
        <v>0</v>
      </c>
      <c r="BE46" s="40">
        <f t="shared" si="165"/>
        <v>0</v>
      </c>
      <c r="BF46" s="40">
        <f t="shared" si="165"/>
        <v>0</v>
      </c>
      <c r="BG46" s="40">
        <f t="shared" si="165"/>
        <v>0</v>
      </c>
      <c r="BH46" s="40">
        <f t="shared" si="165"/>
        <v>0</v>
      </c>
      <c r="BI46" s="40">
        <f t="shared" si="165"/>
        <v>0</v>
      </c>
      <c r="BJ46" s="40">
        <f t="shared" si="165"/>
        <v>0</v>
      </c>
      <c r="BK46" s="40">
        <f t="shared" si="165"/>
        <v>0</v>
      </c>
      <c r="BL46" s="40">
        <f t="shared" si="165"/>
        <v>0</v>
      </c>
      <c r="BM46" s="40">
        <f t="shared" si="165"/>
        <v>0</v>
      </c>
      <c r="BN46" s="40">
        <f t="shared" si="165"/>
        <v>0</v>
      </c>
      <c r="BO46" s="40">
        <f t="shared" si="165"/>
        <v>0</v>
      </c>
      <c r="BP46" s="427">
        <f t="shared" ref="BP46" si="166">100%-BP45</f>
        <v>0</v>
      </c>
      <c r="CF46" s="288" t="s">
        <v>1097</v>
      </c>
      <c r="CG46" s="285" t="s">
        <v>231</v>
      </c>
    </row>
    <row r="47" spans="1:85" s="291" customFormat="1">
      <c r="A47" s="292" t="s">
        <v>507</v>
      </c>
      <c r="B47" s="285" t="s">
        <v>231</v>
      </c>
      <c r="D47" s="291">
        <f>P47</f>
        <v>0.01</v>
      </c>
      <c r="E47" s="291">
        <f t="shared" ref="E47:O47" si="167">D47</f>
        <v>0.01</v>
      </c>
      <c r="F47" s="291">
        <f t="shared" si="167"/>
        <v>0.01</v>
      </c>
      <c r="G47" s="291">
        <f t="shared" si="167"/>
        <v>0.01</v>
      </c>
      <c r="H47" s="291">
        <f t="shared" si="167"/>
        <v>0.01</v>
      </c>
      <c r="I47" s="291">
        <f t="shared" si="167"/>
        <v>0.01</v>
      </c>
      <c r="J47" s="291">
        <f t="shared" si="167"/>
        <v>0.01</v>
      </c>
      <c r="K47" s="291">
        <f t="shared" si="167"/>
        <v>0.01</v>
      </c>
      <c r="L47" s="291">
        <f t="shared" si="167"/>
        <v>0.01</v>
      </c>
      <c r="M47" s="291">
        <f t="shared" si="167"/>
        <v>0.01</v>
      </c>
      <c r="N47" s="291">
        <f t="shared" si="167"/>
        <v>0.01</v>
      </c>
      <c r="O47" s="291">
        <f t="shared" si="167"/>
        <v>0.01</v>
      </c>
      <c r="P47" s="424">
        <v>0.01</v>
      </c>
      <c r="Q47" s="291">
        <f>AC47</f>
        <v>0.01</v>
      </c>
      <c r="R47" s="291">
        <f t="shared" ref="R47:AB47" si="168">Q47</f>
        <v>0.01</v>
      </c>
      <c r="S47" s="291">
        <f t="shared" si="168"/>
        <v>0.01</v>
      </c>
      <c r="T47" s="291">
        <f t="shared" si="168"/>
        <v>0.01</v>
      </c>
      <c r="U47" s="291">
        <f t="shared" si="168"/>
        <v>0.01</v>
      </c>
      <c r="V47" s="291">
        <f t="shared" si="168"/>
        <v>0.01</v>
      </c>
      <c r="W47" s="291">
        <f t="shared" si="168"/>
        <v>0.01</v>
      </c>
      <c r="X47" s="291">
        <f t="shared" si="168"/>
        <v>0.01</v>
      </c>
      <c r="Y47" s="291">
        <f t="shared" si="168"/>
        <v>0.01</v>
      </c>
      <c r="Z47" s="291">
        <f t="shared" si="168"/>
        <v>0.01</v>
      </c>
      <c r="AA47" s="291">
        <f t="shared" si="168"/>
        <v>0.01</v>
      </c>
      <c r="AB47" s="291">
        <f t="shared" si="168"/>
        <v>0.01</v>
      </c>
      <c r="AC47" s="424">
        <f>P47</f>
        <v>0.01</v>
      </c>
      <c r="AD47" s="291">
        <f>AP47</f>
        <v>0.01</v>
      </c>
      <c r="AE47" s="291">
        <f t="shared" ref="AE47:AO47" si="169">AD47</f>
        <v>0.01</v>
      </c>
      <c r="AF47" s="291">
        <f t="shared" si="169"/>
        <v>0.01</v>
      </c>
      <c r="AG47" s="291">
        <f t="shared" si="169"/>
        <v>0.01</v>
      </c>
      <c r="AH47" s="291">
        <f t="shared" si="169"/>
        <v>0.01</v>
      </c>
      <c r="AI47" s="291">
        <f t="shared" si="169"/>
        <v>0.01</v>
      </c>
      <c r="AJ47" s="291">
        <f t="shared" si="169"/>
        <v>0.01</v>
      </c>
      <c r="AK47" s="291">
        <f t="shared" si="169"/>
        <v>0.01</v>
      </c>
      <c r="AL47" s="291">
        <f t="shared" si="169"/>
        <v>0.01</v>
      </c>
      <c r="AM47" s="291">
        <f t="shared" si="169"/>
        <v>0.01</v>
      </c>
      <c r="AN47" s="291">
        <f t="shared" si="169"/>
        <v>0.01</v>
      </c>
      <c r="AO47" s="291">
        <f t="shared" si="169"/>
        <v>0.01</v>
      </c>
      <c r="AP47" s="424">
        <f>AC47</f>
        <v>0.01</v>
      </c>
      <c r="AQ47" s="291">
        <f>BC47</f>
        <v>0.01</v>
      </c>
      <c r="AR47" s="291">
        <f t="shared" ref="AR47:BB47" si="170">AQ47</f>
        <v>0.01</v>
      </c>
      <c r="AS47" s="291">
        <f t="shared" si="170"/>
        <v>0.01</v>
      </c>
      <c r="AT47" s="291">
        <f t="shared" si="170"/>
        <v>0.01</v>
      </c>
      <c r="AU47" s="291">
        <f t="shared" si="170"/>
        <v>0.01</v>
      </c>
      <c r="AV47" s="291">
        <f t="shared" si="170"/>
        <v>0.01</v>
      </c>
      <c r="AW47" s="291">
        <f t="shared" si="170"/>
        <v>0.01</v>
      </c>
      <c r="AX47" s="291">
        <f t="shared" si="170"/>
        <v>0.01</v>
      </c>
      <c r="AY47" s="291">
        <f t="shared" si="170"/>
        <v>0.01</v>
      </c>
      <c r="AZ47" s="291">
        <f t="shared" si="170"/>
        <v>0.01</v>
      </c>
      <c r="BA47" s="291">
        <f t="shared" si="170"/>
        <v>0.01</v>
      </c>
      <c r="BB47" s="291">
        <f t="shared" si="170"/>
        <v>0.01</v>
      </c>
      <c r="BC47" s="424">
        <f>AP47</f>
        <v>0.01</v>
      </c>
      <c r="BD47" s="291">
        <f>BP47</f>
        <v>0.01</v>
      </c>
      <c r="BE47" s="291">
        <f t="shared" ref="BE47:BO47" si="171">BD47</f>
        <v>0.01</v>
      </c>
      <c r="BF47" s="291">
        <f t="shared" si="171"/>
        <v>0.01</v>
      </c>
      <c r="BG47" s="291">
        <f t="shared" si="171"/>
        <v>0.01</v>
      </c>
      <c r="BH47" s="291">
        <f t="shared" si="171"/>
        <v>0.01</v>
      </c>
      <c r="BI47" s="291">
        <f t="shared" si="171"/>
        <v>0.01</v>
      </c>
      <c r="BJ47" s="291">
        <f t="shared" si="171"/>
        <v>0.01</v>
      </c>
      <c r="BK47" s="291">
        <f t="shared" si="171"/>
        <v>0.01</v>
      </c>
      <c r="BL47" s="291">
        <f t="shared" si="171"/>
        <v>0.01</v>
      </c>
      <c r="BM47" s="291">
        <f t="shared" si="171"/>
        <v>0.01</v>
      </c>
      <c r="BN47" s="291">
        <f t="shared" si="171"/>
        <v>0.01</v>
      </c>
      <c r="BO47" s="291">
        <f t="shared" si="171"/>
        <v>0.01</v>
      </c>
      <c r="BP47" s="424">
        <f>BC47</f>
        <v>0.01</v>
      </c>
      <c r="CF47" s="292" t="s">
        <v>1098</v>
      </c>
      <c r="CG47" s="285" t="s">
        <v>231</v>
      </c>
    </row>
    <row r="48" spans="1:85">
      <c r="P48" s="349"/>
      <c r="AC48" s="349"/>
      <c r="AP48" s="349"/>
      <c r="BC48" s="349"/>
      <c r="BP48" s="349"/>
    </row>
    <row r="49" spans="1:85" s="291" customFormat="1">
      <c r="A49" s="291" t="s">
        <v>729</v>
      </c>
      <c r="B49" s="285"/>
      <c r="P49" s="470"/>
      <c r="AC49" s="470"/>
      <c r="AP49" s="470"/>
      <c r="BC49" s="470"/>
      <c r="BP49" s="470"/>
      <c r="CF49" s="291" t="s">
        <v>1108</v>
      </c>
      <c r="CG49" s="285"/>
    </row>
    <row r="50" spans="1:85" s="291" customFormat="1">
      <c r="A50" s="292" t="s">
        <v>130</v>
      </c>
      <c r="B50" s="285" t="s">
        <v>231</v>
      </c>
      <c r="D50" s="291">
        <f t="shared" ref="D50:D55" si="172">P50</f>
        <v>0.11</v>
      </c>
      <c r="E50" s="291">
        <f t="shared" ref="E50:O50" si="173">D50</f>
        <v>0.11</v>
      </c>
      <c r="F50" s="291">
        <f t="shared" si="173"/>
        <v>0.11</v>
      </c>
      <c r="G50" s="291">
        <f t="shared" si="173"/>
        <v>0.11</v>
      </c>
      <c r="H50" s="291">
        <f t="shared" si="173"/>
        <v>0.11</v>
      </c>
      <c r="I50" s="291">
        <f t="shared" si="173"/>
        <v>0.11</v>
      </c>
      <c r="J50" s="291">
        <f t="shared" si="173"/>
        <v>0.11</v>
      </c>
      <c r="K50" s="291">
        <f t="shared" si="173"/>
        <v>0.11</v>
      </c>
      <c r="L50" s="291">
        <f t="shared" si="173"/>
        <v>0.11</v>
      </c>
      <c r="M50" s="291">
        <f t="shared" si="173"/>
        <v>0.11</v>
      </c>
      <c r="N50" s="291">
        <f t="shared" si="173"/>
        <v>0.11</v>
      </c>
      <c r="O50" s="291">
        <f t="shared" si="173"/>
        <v>0.11</v>
      </c>
      <c r="P50" s="424">
        <v>0.11</v>
      </c>
      <c r="Q50" s="291">
        <f t="shared" ref="Q50:Q55" si="174">AC50</f>
        <v>0.1</v>
      </c>
      <c r="R50" s="291">
        <f t="shared" ref="R50:AB50" si="175">Q50</f>
        <v>0.1</v>
      </c>
      <c r="S50" s="291">
        <f t="shared" si="175"/>
        <v>0.1</v>
      </c>
      <c r="T50" s="291">
        <f t="shared" si="175"/>
        <v>0.1</v>
      </c>
      <c r="U50" s="291">
        <f t="shared" si="175"/>
        <v>0.1</v>
      </c>
      <c r="V50" s="291">
        <f t="shared" si="175"/>
        <v>0.1</v>
      </c>
      <c r="W50" s="291">
        <f t="shared" si="175"/>
        <v>0.1</v>
      </c>
      <c r="X50" s="291">
        <f t="shared" si="175"/>
        <v>0.1</v>
      </c>
      <c r="Y50" s="291">
        <f t="shared" si="175"/>
        <v>0.1</v>
      </c>
      <c r="Z50" s="291">
        <f t="shared" si="175"/>
        <v>0.1</v>
      </c>
      <c r="AA50" s="291">
        <f t="shared" si="175"/>
        <v>0.1</v>
      </c>
      <c r="AB50" s="291">
        <f t="shared" si="175"/>
        <v>0.1</v>
      </c>
      <c r="AC50" s="424">
        <f>P50-1%</f>
        <v>0.1</v>
      </c>
      <c r="AD50" s="291">
        <f t="shared" ref="AD50:AD55" si="176">AP50</f>
        <v>9.0000000000000011E-2</v>
      </c>
      <c r="AE50" s="291">
        <f t="shared" ref="AE50:AO50" si="177">AD50</f>
        <v>9.0000000000000011E-2</v>
      </c>
      <c r="AF50" s="291">
        <f t="shared" si="177"/>
        <v>9.0000000000000011E-2</v>
      </c>
      <c r="AG50" s="291">
        <f t="shared" si="177"/>
        <v>9.0000000000000011E-2</v>
      </c>
      <c r="AH50" s="291">
        <f t="shared" si="177"/>
        <v>9.0000000000000011E-2</v>
      </c>
      <c r="AI50" s="291">
        <f t="shared" si="177"/>
        <v>9.0000000000000011E-2</v>
      </c>
      <c r="AJ50" s="291">
        <f t="shared" si="177"/>
        <v>9.0000000000000011E-2</v>
      </c>
      <c r="AK50" s="291">
        <f t="shared" si="177"/>
        <v>9.0000000000000011E-2</v>
      </c>
      <c r="AL50" s="291">
        <f t="shared" si="177"/>
        <v>9.0000000000000011E-2</v>
      </c>
      <c r="AM50" s="291">
        <f t="shared" si="177"/>
        <v>9.0000000000000011E-2</v>
      </c>
      <c r="AN50" s="291">
        <f t="shared" si="177"/>
        <v>9.0000000000000011E-2</v>
      </c>
      <c r="AO50" s="291">
        <f t="shared" si="177"/>
        <v>9.0000000000000011E-2</v>
      </c>
      <c r="AP50" s="424">
        <f>AC50-1%</f>
        <v>9.0000000000000011E-2</v>
      </c>
      <c r="AQ50" s="291">
        <f t="shared" ref="AQ50:AQ55" si="178">BC50</f>
        <v>8.0000000000000016E-2</v>
      </c>
      <c r="AR50" s="291">
        <f t="shared" ref="AR50:BB50" si="179">AQ50</f>
        <v>8.0000000000000016E-2</v>
      </c>
      <c r="AS50" s="291">
        <f t="shared" si="179"/>
        <v>8.0000000000000016E-2</v>
      </c>
      <c r="AT50" s="291">
        <f t="shared" si="179"/>
        <v>8.0000000000000016E-2</v>
      </c>
      <c r="AU50" s="291">
        <f t="shared" si="179"/>
        <v>8.0000000000000016E-2</v>
      </c>
      <c r="AV50" s="291">
        <f t="shared" si="179"/>
        <v>8.0000000000000016E-2</v>
      </c>
      <c r="AW50" s="291">
        <f t="shared" si="179"/>
        <v>8.0000000000000016E-2</v>
      </c>
      <c r="AX50" s="291">
        <f t="shared" si="179"/>
        <v>8.0000000000000016E-2</v>
      </c>
      <c r="AY50" s="291">
        <f t="shared" si="179"/>
        <v>8.0000000000000016E-2</v>
      </c>
      <c r="AZ50" s="291">
        <f t="shared" si="179"/>
        <v>8.0000000000000016E-2</v>
      </c>
      <c r="BA50" s="291">
        <f t="shared" si="179"/>
        <v>8.0000000000000016E-2</v>
      </c>
      <c r="BB50" s="291">
        <f t="shared" si="179"/>
        <v>8.0000000000000016E-2</v>
      </c>
      <c r="BC50" s="424">
        <f>AP50-1%</f>
        <v>8.0000000000000016E-2</v>
      </c>
      <c r="BD50" s="291">
        <f t="shared" ref="BD50:BD55" si="180">BP50</f>
        <v>7.0000000000000021E-2</v>
      </c>
      <c r="BE50" s="291">
        <f t="shared" ref="BE50:BO50" si="181">BD50</f>
        <v>7.0000000000000021E-2</v>
      </c>
      <c r="BF50" s="291">
        <f t="shared" si="181"/>
        <v>7.0000000000000021E-2</v>
      </c>
      <c r="BG50" s="291">
        <f t="shared" si="181"/>
        <v>7.0000000000000021E-2</v>
      </c>
      <c r="BH50" s="291">
        <f t="shared" si="181"/>
        <v>7.0000000000000021E-2</v>
      </c>
      <c r="BI50" s="291">
        <f t="shared" si="181"/>
        <v>7.0000000000000021E-2</v>
      </c>
      <c r="BJ50" s="291">
        <f t="shared" si="181"/>
        <v>7.0000000000000021E-2</v>
      </c>
      <c r="BK50" s="291">
        <f t="shared" si="181"/>
        <v>7.0000000000000021E-2</v>
      </c>
      <c r="BL50" s="291">
        <f t="shared" si="181"/>
        <v>7.0000000000000021E-2</v>
      </c>
      <c r="BM50" s="291">
        <f t="shared" si="181"/>
        <v>7.0000000000000021E-2</v>
      </c>
      <c r="BN50" s="291">
        <f t="shared" si="181"/>
        <v>7.0000000000000021E-2</v>
      </c>
      <c r="BO50" s="291">
        <f t="shared" si="181"/>
        <v>7.0000000000000021E-2</v>
      </c>
      <c r="BP50" s="424">
        <f>BC50-1%</f>
        <v>7.0000000000000021E-2</v>
      </c>
      <c r="CF50" s="292" t="s">
        <v>966</v>
      </c>
      <c r="CG50" s="285" t="s">
        <v>231</v>
      </c>
    </row>
    <row r="51" spans="1:85" s="291" customFormat="1">
      <c r="A51" s="292" t="s">
        <v>268</v>
      </c>
      <c r="B51" s="285" t="s">
        <v>231</v>
      </c>
      <c r="D51" s="291">
        <f t="shared" si="172"/>
        <v>3.5000000000000003E-2</v>
      </c>
      <c r="E51" s="291">
        <f t="shared" ref="E51:O51" si="182">D51</f>
        <v>3.5000000000000003E-2</v>
      </c>
      <c r="F51" s="291">
        <f t="shared" si="182"/>
        <v>3.5000000000000003E-2</v>
      </c>
      <c r="G51" s="291">
        <f t="shared" si="182"/>
        <v>3.5000000000000003E-2</v>
      </c>
      <c r="H51" s="291">
        <f t="shared" si="182"/>
        <v>3.5000000000000003E-2</v>
      </c>
      <c r="I51" s="291">
        <f t="shared" si="182"/>
        <v>3.5000000000000003E-2</v>
      </c>
      <c r="J51" s="291">
        <f t="shared" si="182"/>
        <v>3.5000000000000003E-2</v>
      </c>
      <c r="K51" s="291">
        <f t="shared" si="182"/>
        <v>3.5000000000000003E-2</v>
      </c>
      <c r="L51" s="291">
        <f t="shared" si="182"/>
        <v>3.5000000000000003E-2</v>
      </c>
      <c r="M51" s="291">
        <f t="shared" si="182"/>
        <v>3.5000000000000003E-2</v>
      </c>
      <c r="N51" s="291">
        <f t="shared" si="182"/>
        <v>3.5000000000000003E-2</v>
      </c>
      <c r="O51" s="291">
        <f t="shared" si="182"/>
        <v>3.5000000000000003E-2</v>
      </c>
      <c r="P51" s="424">
        <v>3.5000000000000003E-2</v>
      </c>
      <c r="Q51" s="291">
        <f t="shared" si="174"/>
        <v>3.0000000000000002E-2</v>
      </c>
      <c r="R51" s="291">
        <f t="shared" ref="R51:AB51" si="183">Q51</f>
        <v>3.0000000000000002E-2</v>
      </c>
      <c r="S51" s="291">
        <f t="shared" si="183"/>
        <v>3.0000000000000002E-2</v>
      </c>
      <c r="T51" s="291">
        <f t="shared" si="183"/>
        <v>3.0000000000000002E-2</v>
      </c>
      <c r="U51" s="291">
        <f t="shared" si="183"/>
        <v>3.0000000000000002E-2</v>
      </c>
      <c r="V51" s="291">
        <f t="shared" si="183"/>
        <v>3.0000000000000002E-2</v>
      </c>
      <c r="W51" s="291">
        <f t="shared" si="183"/>
        <v>3.0000000000000002E-2</v>
      </c>
      <c r="X51" s="291">
        <f t="shared" si="183"/>
        <v>3.0000000000000002E-2</v>
      </c>
      <c r="Y51" s="291">
        <f t="shared" si="183"/>
        <v>3.0000000000000002E-2</v>
      </c>
      <c r="Z51" s="291">
        <f t="shared" si="183"/>
        <v>3.0000000000000002E-2</v>
      </c>
      <c r="AA51" s="291">
        <f t="shared" si="183"/>
        <v>3.0000000000000002E-2</v>
      </c>
      <c r="AB51" s="291">
        <f t="shared" si="183"/>
        <v>3.0000000000000002E-2</v>
      </c>
      <c r="AC51" s="424">
        <f>P51-0.5%</f>
        <v>3.0000000000000002E-2</v>
      </c>
      <c r="AD51" s="291">
        <f t="shared" si="176"/>
        <v>2.5000000000000001E-2</v>
      </c>
      <c r="AE51" s="291">
        <f t="shared" ref="AE51:AO51" si="184">AD51</f>
        <v>2.5000000000000001E-2</v>
      </c>
      <c r="AF51" s="291">
        <f t="shared" si="184"/>
        <v>2.5000000000000001E-2</v>
      </c>
      <c r="AG51" s="291">
        <f t="shared" si="184"/>
        <v>2.5000000000000001E-2</v>
      </c>
      <c r="AH51" s="291">
        <f t="shared" si="184"/>
        <v>2.5000000000000001E-2</v>
      </c>
      <c r="AI51" s="291">
        <f t="shared" si="184"/>
        <v>2.5000000000000001E-2</v>
      </c>
      <c r="AJ51" s="291">
        <f t="shared" si="184"/>
        <v>2.5000000000000001E-2</v>
      </c>
      <c r="AK51" s="291">
        <f t="shared" si="184"/>
        <v>2.5000000000000001E-2</v>
      </c>
      <c r="AL51" s="291">
        <f t="shared" si="184"/>
        <v>2.5000000000000001E-2</v>
      </c>
      <c r="AM51" s="291">
        <f t="shared" si="184"/>
        <v>2.5000000000000001E-2</v>
      </c>
      <c r="AN51" s="291">
        <f t="shared" si="184"/>
        <v>2.5000000000000001E-2</v>
      </c>
      <c r="AO51" s="291">
        <f t="shared" si="184"/>
        <v>2.5000000000000001E-2</v>
      </c>
      <c r="AP51" s="424">
        <f>AC51-0.5%</f>
        <v>2.5000000000000001E-2</v>
      </c>
      <c r="AQ51" s="291">
        <f t="shared" si="178"/>
        <v>0.02</v>
      </c>
      <c r="AR51" s="291">
        <f t="shared" ref="AR51:BB51" si="185">AQ51</f>
        <v>0.02</v>
      </c>
      <c r="AS51" s="291">
        <f t="shared" si="185"/>
        <v>0.02</v>
      </c>
      <c r="AT51" s="291">
        <f t="shared" si="185"/>
        <v>0.02</v>
      </c>
      <c r="AU51" s="291">
        <f t="shared" si="185"/>
        <v>0.02</v>
      </c>
      <c r="AV51" s="291">
        <f t="shared" si="185"/>
        <v>0.02</v>
      </c>
      <c r="AW51" s="291">
        <f t="shared" si="185"/>
        <v>0.02</v>
      </c>
      <c r="AX51" s="291">
        <f t="shared" si="185"/>
        <v>0.02</v>
      </c>
      <c r="AY51" s="291">
        <f t="shared" si="185"/>
        <v>0.02</v>
      </c>
      <c r="AZ51" s="291">
        <f t="shared" si="185"/>
        <v>0.02</v>
      </c>
      <c r="BA51" s="291">
        <f t="shared" si="185"/>
        <v>0.02</v>
      </c>
      <c r="BB51" s="291">
        <f t="shared" si="185"/>
        <v>0.02</v>
      </c>
      <c r="BC51" s="424">
        <f>AP51-0.5%</f>
        <v>0.02</v>
      </c>
      <c r="BD51" s="291">
        <f t="shared" si="180"/>
        <v>1.4999999999999999E-2</v>
      </c>
      <c r="BE51" s="291">
        <f t="shared" ref="BE51:BO51" si="186">BD51</f>
        <v>1.4999999999999999E-2</v>
      </c>
      <c r="BF51" s="291">
        <f t="shared" si="186"/>
        <v>1.4999999999999999E-2</v>
      </c>
      <c r="BG51" s="291">
        <f t="shared" si="186"/>
        <v>1.4999999999999999E-2</v>
      </c>
      <c r="BH51" s="291">
        <f t="shared" si="186"/>
        <v>1.4999999999999999E-2</v>
      </c>
      <c r="BI51" s="291">
        <f t="shared" si="186"/>
        <v>1.4999999999999999E-2</v>
      </c>
      <c r="BJ51" s="291">
        <f t="shared" si="186"/>
        <v>1.4999999999999999E-2</v>
      </c>
      <c r="BK51" s="291">
        <f t="shared" si="186"/>
        <v>1.4999999999999999E-2</v>
      </c>
      <c r="BL51" s="291">
        <f t="shared" si="186"/>
        <v>1.4999999999999999E-2</v>
      </c>
      <c r="BM51" s="291">
        <f t="shared" si="186"/>
        <v>1.4999999999999999E-2</v>
      </c>
      <c r="BN51" s="291">
        <f t="shared" si="186"/>
        <v>1.4999999999999999E-2</v>
      </c>
      <c r="BO51" s="291">
        <f t="shared" si="186"/>
        <v>1.4999999999999999E-2</v>
      </c>
      <c r="BP51" s="424">
        <f>BC51-0.5%</f>
        <v>1.4999999999999999E-2</v>
      </c>
      <c r="CF51" s="292" t="s">
        <v>1088</v>
      </c>
      <c r="CG51" s="285" t="s">
        <v>231</v>
      </c>
    </row>
    <row r="52" spans="1:85" s="291" customFormat="1">
      <c r="A52" s="291" t="s">
        <v>269</v>
      </c>
      <c r="B52" s="285" t="s">
        <v>231</v>
      </c>
      <c r="D52" s="293">
        <f t="shared" si="172"/>
        <v>-2.8E-3</v>
      </c>
      <c r="E52" s="293">
        <f t="shared" ref="E52:O52" si="187">D52</f>
        <v>-2.8E-3</v>
      </c>
      <c r="F52" s="293">
        <f t="shared" si="187"/>
        <v>-2.8E-3</v>
      </c>
      <c r="G52" s="293">
        <f t="shared" si="187"/>
        <v>-2.8E-3</v>
      </c>
      <c r="H52" s="293">
        <f t="shared" si="187"/>
        <v>-2.8E-3</v>
      </c>
      <c r="I52" s="293">
        <f t="shared" si="187"/>
        <v>-2.8E-3</v>
      </c>
      <c r="J52" s="293">
        <f t="shared" si="187"/>
        <v>-2.8E-3</v>
      </c>
      <c r="K52" s="293">
        <f t="shared" si="187"/>
        <v>-2.8E-3</v>
      </c>
      <c r="L52" s="293">
        <f t="shared" si="187"/>
        <v>-2.8E-3</v>
      </c>
      <c r="M52" s="293">
        <f t="shared" si="187"/>
        <v>-2.8E-3</v>
      </c>
      <c r="N52" s="293">
        <f t="shared" si="187"/>
        <v>-2.8E-3</v>
      </c>
      <c r="O52" s="293">
        <f t="shared" si="187"/>
        <v>-2.8E-3</v>
      </c>
      <c r="P52" s="350">
        <v>-2.8E-3</v>
      </c>
      <c r="Q52" s="293">
        <f t="shared" si="174"/>
        <v>-2.8E-3</v>
      </c>
      <c r="R52" s="293">
        <f t="shared" ref="R52:AB52" si="188">Q52</f>
        <v>-2.8E-3</v>
      </c>
      <c r="S52" s="293">
        <f t="shared" si="188"/>
        <v>-2.8E-3</v>
      </c>
      <c r="T52" s="293">
        <f t="shared" si="188"/>
        <v>-2.8E-3</v>
      </c>
      <c r="U52" s="293">
        <f t="shared" si="188"/>
        <v>-2.8E-3</v>
      </c>
      <c r="V52" s="293">
        <f t="shared" si="188"/>
        <v>-2.8E-3</v>
      </c>
      <c r="W52" s="293">
        <f t="shared" si="188"/>
        <v>-2.8E-3</v>
      </c>
      <c r="X52" s="293">
        <f t="shared" si="188"/>
        <v>-2.8E-3</v>
      </c>
      <c r="Y52" s="293">
        <f t="shared" si="188"/>
        <v>-2.8E-3</v>
      </c>
      <c r="Z52" s="293">
        <f t="shared" si="188"/>
        <v>-2.8E-3</v>
      </c>
      <c r="AA52" s="293">
        <f t="shared" si="188"/>
        <v>-2.8E-3</v>
      </c>
      <c r="AB52" s="293">
        <f t="shared" si="188"/>
        <v>-2.8E-3</v>
      </c>
      <c r="AC52" s="350">
        <f>P52</f>
        <v>-2.8E-3</v>
      </c>
      <c r="AD52" s="293">
        <f t="shared" si="176"/>
        <v>-2.8E-3</v>
      </c>
      <c r="AE52" s="293">
        <f t="shared" ref="AE52:AO52" si="189">AD52</f>
        <v>-2.8E-3</v>
      </c>
      <c r="AF52" s="293">
        <f t="shared" si="189"/>
        <v>-2.8E-3</v>
      </c>
      <c r="AG52" s="293">
        <f t="shared" si="189"/>
        <v>-2.8E-3</v>
      </c>
      <c r="AH52" s="293">
        <f t="shared" si="189"/>
        <v>-2.8E-3</v>
      </c>
      <c r="AI52" s="293">
        <f t="shared" si="189"/>
        <v>-2.8E-3</v>
      </c>
      <c r="AJ52" s="293">
        <f t="shared" si="189"/>
        <v>-2.8E-3</v>
      </c>
      <c r="AK52" s="293">
        <f t="shared" si="189"/>
        <v>-2.8E-3</v>
      </c>
      <c r="AL52" s="293">
        <f t="shared" si="189"/>
        <v>-2.8E-3</v>
      </c>
      <c r="AM52" s="293">
        <f t="shared" si="189"/>
        <v>-2.8E-3</v>
      </c>
      <c r="AN52" s="293">
        <f t="shared" si="189"/>
        <v>-2.8E-3</v>
      </c>
      <c r="AO52" s="293">
        <f t="shared" si="189"/>
        <v>-2.8E-3</v>
      </c>
      <c r="AP52" s="350">
        <f>AC52</f>
        <v>-2.8E-3</v>
      </c>
      <c r="AQ52" s="293">
        <f t="shared" si="178"/>
        <v>-2.8E-3</v>
      </c>
      <c r="AR52" s="293">
        <f t="shared" ref="AR52:BB52" si="190">AQ52</f>
        <v>-2.8E-3</v>
      </c>
      <c r="AS52" s="293">
        <f t="shared" si="190"/>
        <v>-2.8E-3</v>
      </c>
      <c r="AT52" s="293">
        <f t="shared" si="190"/>
        <v>-2.8E-3</v>
      </c>
      <c r="AU52" s="293">
        <f t="shared" si="190"/>
        <v>-2.8E-3</v>
      </c>
      <c r="AV52" s="293">
        <f t="shared" si="190"/>
        <v>-2.8E-3</v>
      </c>
      <c r="AW52" s="293">
        <f t="shared" si="190"/>
        <v>-2.8E-3</v>
      </c>
      <c r="AX52" s="293">
        <f t="shared" si="190"/>
        <v>-2.8E-3</v>
      </c>
      <c r="AY52" s="293">
        <f t="shared" si="190"/>
        <v>-2.8E-3</v>
      </c>
      <c r="AZ52" s="293">
        <f t="shared" si="190"/>
        <v>-2.8E-3</v>
      </c>
      <c r="BA52" s="293">
        <f t="shared" si="190"/>
        <v>-2.8E-3</v>
      </c>
      <c r="BB52" s="293">
        <f t="shared" si="190"/>
        <v>-2.8E-3</v>
      </c>
      <c r="BC52" s="350">
        <f>AP52</f>
        <v>-2.8E-3</v>
      </c>
      <c r="BD52" s="293">
        <f t="shared" si="180"/>
        <v>-2.8E-3</v>
      </c>
      <c r="BE52" s="293">
        <f t="shared" ref="BE52:BO52" si="191">BD52</f>
        <v>-2.8E-3</v>
      </c>
      <c r="BF52" s="293">
        <f t="shared" si="191"/>
        <v>-2.8E-3</v>
      </c>
      <c r="BG52" s="293">
        <f t="shared" si="191"/>
        <v>-2.8E-3</v>
      </c>
      <c r="BH52" s="293">
        <f t="shared" si="191"/>
        <v>-2.8E-3</v>
      </c>
      <c r="BI52" s="293">
        <f t="shared" si="191"/>
        <v>-2.8E-3</v>
      </c>
      <c r="BJ52" s="293">
        <f t="shared" si="191"/>
        <v>-2.8E-3</v>
      </c>
      <c r="BK52" s="293">
        <f t="shared" si="191"/>
        <v>-2.8E-3</v>
      </c>
      <c r="BL52" s="293">
        <f t="shared" si="191"/>
        <v>-2.8E-3</v>
      </c>
      <c r="BM52" s="293">
        <f t="shared" si="191"/>
        <v>-2.8E-3</v>
      </c>
      <c r="BN52" s="293">
        <f t="shared" si="191"/>
        <v>-2.8E-3</v>
      </c>
      <c r="BO52" s="293">
        <f t="shared" si="191"/>
        <v>-2.8E-3</v>
      </c>
      <c r="BP52" s="350">
        <f>BC52</f>
        <v>-2.8E-3</v>
      </c>
      <c r="CF52" s="291" t="s">
        <v>1100</v>
      </c>
      <c r="CG52" s="285" t="s">
        <v>231</v>
      </c>
    </row>
    <row r="53" spans="1:85" s="291" customFormat="1">
      <c r="A53" s="291" t="s">
        <v>510</v>
      </c>
      <c r="B53" s="285" t="s">
        <v>231</v>
      </c>
      <c r="D53" s="293">
        <f t="shared" si="172"/>
        <v>1.32E-2</v>
      </c>
      <c r="E53" s="293">
        <f t="shared" ref="E53:O53" si="192">D53</f>
        <v>1.32E-2</v>
      </c>
      <c r="F53" s="293">
        <f t="shared" si="192"/>
        <v>1.32E-2</v>
      </c>
      <c r="G53" s="293">
        <f t="shared" si="192"/>
        <v>1.32E-2</v>
      </c>
      <c r="H53" s="293">
        <f t="shared" si="192"/>
        <v>1.32E-2</v>
      </c>
      <c r="I53" s="293">
        <f t="shared" si="192"/>
        <v>1.32E-2</v>
      </c>
      <c r="J53" s="293">
        <f t="shared" si="192"/>
        <v>1.32E-2</v>
      </c>
      <c r="K53" s="293">
        <f t="shared" si="192"/>
        <v>1.32E-2</v>
      </c>
      <c r="L53" s="293">
        <f t="shared" si="192"/>
        <v>1.32E-2</v>
      </c>
      <c r="M53" s="293">
        <f t="shared" si="192"/>
        <v>1.32E-2</v>
      </c>
      <c r="N53" s="293">
        <f t="shared" si="192"/>
        <v>1.32E-2</v>
      </c>
      <c r="O53" s="293">
        <f t="shared" si="192"/>
        <v>1.32E-2</v>
      </c>
      <c r="P53" s="350">
        <v>1.32E-2</v>
      </c>
      <c r="Q53" s="293">
        <f t="shared" si="174"/>
        <v>1.2539999999999999E-2</v>
      </c>
      <c r="R53" s="293">
        <f t="shared" ref="R53:AB53" si="193">Q53</f>
        <v>1.2539999999999999E-2</v>
      </c>
      <c r="S53" s="293">
        <f t="shared" si="193"/>
        <v>1.2539999999999999E-2</v>
      </c>
      <c r="T53" s="293">
        <f t="shared" si="193"/>
        <v>1.2539999999999999E-2</v>
      </c>
      <c r="U53" s="293">
        <f t="shared" si="193"/>
        <v>1.2539999999999999E-2</v>
      </c>
      <c r="V53" s="293">
        <f t="shared" si="193"/>
        <v>1.2539999999999999E-2</v>
      </c>
      <c r="W53" s="293">
        <f t="shared" si="193"/>
        <v>1.2539999999999999E-2</v>
      </c>
      <c r="X53" s="293">
        <f t="shared" si="193"/>
        <v>1.2539999999999999E-2</v>
      </c>
      <c r="Y53" s="293">
        <f t="shared" si="193"/>
        <v>1.2539999999999999E-2</v>
      </c>
      <c r="Z53" s="293">
        <f t="shared" si="193"/>
        <v>1.2539999999999999E-2</v>
      </c>
      <c r="AA53" s="293">
        <f t="shared" si="193"/>
        <v>1.2539999999999999E-2</v>
      </c>
      <c r="AB53" s="293">
        <f t="shared" si="193"/>
        <v>1.2539999999999999E-2</v>
      </c>
      <c r="AC53" s="350">
        <f>P53*95%</f>
        <v>1.2539999999999999E-2</v>
      </c>
      <c r="AD53" s="293">
        <f t="shared" si="176"/>
        <v>1.1912999999999998E-2</v>
      </c>
      <c r="AE53" s="293">
        <f t="shared" ref="AE53:AO53" si="194">AD53</f>
        <v>1.1912999999999998E-2</v>
      </c>
      <c r="AF53" s="293">
        <f t="shared" si="194"/>
        <v>1.1912999999999998E-2</v>
      </c>
      <c r="AG53" s="293">
        <f t="shared" si="194"/>
        <v>1.1912999999999998E-2</v>
      </c>
      <c r="AH53" s="293">
        <f t="shared" si="194"/>
        <v>1.1912999999999998E-2</v>
      </c>
      <c r="AI53" s="293">
        <f t="shared" si="194"/>
        <v>1.1912999999999998E-2</v>
      </c>
      <c r="AJ53" s="293">
        <f t="shared" si="194"/>
        <v>1.1912999999999998E-2</v>
      </c>
      <c r="AK53" s="293">
        <f t="shared" si="194"/>
        <v>1.1912999999999998E-2</v>
      </c>
      <c r="AL53" s="293">
        <f t="shared" si="194"/>
        <v>1.1912999999999998E-2</v>
      </c>
      <c r="AM53" s="293">
        <f t="shared" si="194"/>
        <v>1.1912999999999998E-2</v>
      </c>
      <c r="AN53" s="293">
        <f t="shared" si="194"/>
        <v>1.1912999999999998E-2</v>
      </c>
      <c r="AO53" s="293">
        <f t="shared" si="194"/>
        <v>1.1912999999999998E-2</v>
      </c>
      <c r="AP53" s="350">
        <f>AC53*95%</f>
        <v>1.1912999999999998E-2</v>
      </c>
      <c r="AQ53" s="293">
        <f t="shared" si="178"/>
        <v>1.1317349999999999E-2</v>
      </c>
      <c r="AR53" s="293">
        <f t="shared" ref="AR53:BB53" si="195">AQ53</f>
        <v>1.1317349999999999E-2</v>
      </c>
      <c r="AS53" s="293">
        <f t="shared" si="195"/>
        <v>1.1317349999999999E-2</v>
      </c>
      <c r="AT53" s="293">
        <f t="shared" si="195"/>
        <v>1.1317349999999999E-2</v>
      </c>
      <c r="AU53" s="293">
        <f t="shared" si="195"/>
        <v>1.1317349999999999E-2</v>
      </c>
      <c r="AV53" s="293">
        <f t="shared" si="195"/>
        <v>1.1317349999999999E-2</v>
      </c>
      <c r="AW53" s="293">
        <f t="shared" si="195"/>
        <v>1.1317349999999999E-2</v>
      </c>
      <c r="AX53" s="293">
        <f t="shared" si="195"/>
        <v>1.1317349999999999E-2</v>
      </c>
      <c r="AY53" s="293">
        <f t="shared" si="195"/>
        <v>1.1317349999999999E-2</v>
      </c>
      <c r="AZ53" s="293">
        <f t="shared" si="195"/>
        <v>1.1317349999999999E-2</v>
      </c>
      <c r="BA53" s="293">
        <f t="shared" si="195"/>
        <v>1.1317349999999999E-2</v>
      </c>
      <c r="BB53" s="293">
        <f t="shared" si="195"/>
        <v>1.1317349999999999E-2</v>
      </c>
      <c r="BC53" s="350">
        <f>AP53*95%</f>
        <v>1.1317349999999999E-2</v>
      </c>
      <c r="BD53" s="293">
        <f t="shared" si="180"/>
        <v>1.0751482499999998E-2</v>
      </c>
      <c r="BE53" s="293">
        <f t="shared" ref="BE53:BO53" si="196">BD53</f>
        <v>1.0751482499999998E-2</v>
      </c>
      <c r="BF53" s="293">
        <f t="shared" si="196"/>
        <v>1.0751482499999998E-2</v>
      </c>
      <c r="BG53" s="293">
        <f t="shared" si="196"/>
        <v>1.0751482499999998E-2</v>
      </c>
      <c r="BH53" s="293">
        <f t="shared" si="196"/>
        <v>1.0751482499999998E-2</v>
      </c>
      <c r="BI53" s="293">
        <f t="shared" si="196"/>
        <v>1.0751482499999998E-2</v>
      </c>
      <c r="BJ53" s="293">
        <f t="shared" si="196"/>
        <v>1.0751482499999998E-2</v>
      </c>
      <c r="BK53" s="293">
        <f t="shared" si="196"/>
        <v>1.0751482499999998E-2</v>
      </c>
      <c r="BL53" s="293">
        <f t="shared" si="196"/>
        <v>1.0751482499999998E-2</v>
      </c>
      <c r="BM53" s="293">
        <f t="shared" si="196"/>
        <v>1.0751482499999998E-2</v>
      </c>
      <c r="BN53" s="293">
        <f t="shared" si="196"/>
        <v>1.0751482499999998E-2</v>
      </c>
      <c r="BO53" s="293">
        <f t="shared" si="196"/>
        <v>1.0751482499999998E-2</v>
      </c>
      <c r="BP53" s="350">
        <f>BC53*95%</f>
        <v>1.0751482499999998E-2</v>
      </c>
      <c r="CF53" s="291" t="s">
        <v>1101</v>
      </c>
      <c r="CG53" s="285" t="s">
        <v>231</v>
      </c>
    </row>
    <row r="54" spans="1:85" s="291" customFormat="1" collapsed="1">
      <c r="A54" s="291" t="s">
        <v>511</v>
      </c>
      <c r="B54" s="285" t="s">
        <v>231</v>
      </c>
      <c r="D54" s="291">
        <f t="shared" si="172"/>
        <v>-2.5000000000000001E-2</v>
      </c>
      <c r="E54" s="291">
        <f t="shared" ref="E54:O54" si="197">D54</f>
        <v>-2.5000000000000001E-2</v>
      </c>
      <c r="F54" s="291">
        <f t="shared" si="197"/>
        <v>-2.5000000000000001E-2</v>
      </c>
      <c r="G54" s="291">
        <f t="shared" si="197"/>
        <v>-2.5000000000000001E-2</v>
      </c>
      <c r="H54" s="291">
        <f t="shared" si="197"/>
        <v>-2.5000000000000001E-2</v>
      </c>
      <c r="I54" s="291">
        <f t="shared" si="197"/>
        <v>-2.5000000000000001E-2</v>
      </c>
      <c r="J54" s="291">
        <f t="shared" si="197"/>
        <v>-2.5000000000000001E-2</v>
      </c>
      <c r="K54" s="291">
        <f t="shared" si="197"/>
        <v>-2.5000000000000001E-2</v>
      </c>
      <c r="L54" s="291">
        <f t="shared" si="197"/>
        <v>-2.5000000000000001E-2</v>
      </c>
      <c r="M54" s="291">
        <f t="shared" si="197"/>
        <v>-2.5000000000000001E-2</v>
      </c>
      <c r="N54" s="291">
        <f t="shared" si="197"/>
        <v>-2.5000000000000001E-2</v>
      </c>
      <c r="O54" s="291">
        <f t="shared" si="197"/>
        <v>-2.5000000000000001E-2</v>
      </c>
      <c r="P54" s="470">
        <f>'packages (indiv)'!P110</f>
        <v>-2.5000000000000001E-2</v>
      </c>
      <c r="Q54" s="291">
        <f t="shared" si="174"/>
        <v>-1.7499999999999998E-2</v>
      </c>
      <c r="R54" s="291">
        <f t="shared" ref="R54:AB54" si="198">Q54</f>
        <v>-1.7499999999999998E-2</v>
      </c>
      <c r="S54" s="291">
        <f t="shared" si="198"/>
        <v>-1.7499999999999998E-2</v>
      </c>
      <c r="T54" s="291">
        <f t="shared" si="198"/>
        <v>-1.7499999999999998E-2</v>
      </c>
      <c r="U54" s="291">
        <f t="shared" si="198"/>
        <v>-1.7499999999999998E-2</v>
      </c>
      <c r="V54" s="291">
        <f t="shared" si="198"/>
        <v>-1.7499999999999998E-2</v>
      </c>
      <c r="W54" s="291">
        <f t="shared" si="198"/>
        <v>-1.7499999999999998E-2</v>
      </c>
      <c r="X54" s="291">
        <f t="shared" si="198"/>
        <v>-1.7499999999999998E-2</v>
      </c>
      <c r="Y54" s="291">
        <f t="shared" si="198"/>
        <v>-1.7499999999999998E-2</v>
      </c>
      <c r="Z54" s="291">
        <f t="shared" si="198"/>
        <v>-1.7499999999999998E-2</v>
      </c>
      <c r="AA54" s="291">
        <f t="shared" si="198"/>
        <v>-1.7499999999999998E-2</v>
      </c>
      <c r="AB54" s="291">
        <f t="shared" si="198"/>
        <v>-1.7499999999999998E-2</v>
      </c>
      <c r="AC54" s="470">
        <f>'packages (indiv)'!AC110</f>
        <v>-1.7499999999999998E-2</v>
      </c>
      <c r="AD54" s="291">
        <f t="shared" si="176"/>
        <v>-1.2249999999999999E-2</v>
      </c>
      <c r="AE54" s="291">
        <f t="shared" ref="AE54:AO54" si="199">AD54</f>
        <v>-1.2249999999999999E-2</v>
      </c>
      <c r="AF54" s="291">
        <f t="shared" si="199"/>
        <v>-1.2249999999999999E-2</v>
      </c>
      <c r="AG54" s="291">
        <f t="shared" si="199"/>
        <v>-1.2249999999999999E-2</v>
      </c>
      <c r="AH54" s="291">
        <f t="shared" si="199"/>
        <v>-1.2249999999999999E-2</v>
      </c>
      <c r="AI54" s="291">
        <f t="shared" si="199"/>
        <v>-1.2249999999999999E-2</v>
      </c>
      <c r="AJ54" s="291">
        <f t="shared" si="199"/>
        <v>-1.2249999999999999E-2</v>
      </c>
      <c r="AK54" s="291">
        <f t="shared" si="199"/>
        <v>-1.2249999999999999E-2</v>
      </c>
      <c r="AL54" s="291">
        <f t="shared" si="199"/>
        <v>-1.2249999999999999E-2</v>
      </c>
      <c r="AM54" s="291">
        <f t="shared" si="199"/>
        <v>-1.2249999999999999E-2</v>
      </c>
      <c r="AN54" s="291">
        <f t="shared" si="199"/>
        <v>-1.2249999999999999E-2</v>
      </c>
      <c r="AO54" s="291">
        <f t="shared" si="199"/>
        <v>-1.2249999999999999E-2</v>
      </c>
      <c r="AP54" s="470">
        <f>'packages (indiv)'!AP110</f>
        <v>-1.2249999999999999E-2</v>
      </c>
      <c r="AQ54" s="291">
        <f t="shared" si="178"/>
        <v>-8.5749999999999993E-3</v>
      </c>
      <c r="AR54" s="291">
        <f t="shared" ref="AR54:BB54" si="200">AQ54</f>
        <v>-8.5749999999999993E-3</v>
      </c>
      <c r="AS54" s="291">
        <f t="shared" si="200"/>
        <v>-8.5749999999999993E-3</v>
      </c>
      <c r="AT54" s="291">
        <f t="shared" si="200"/>
        <v>-8.5749999999999993E-3</v>
      </c>
      <c r="AU54" s="291">
        <f t="shared" si="200"/>
        <v>-8.5749999999999993E-3</v>
      </c>
      <c r="AV54" s="291">
        <f t="shared" si="200"/>
        <v>-8.5749999999999993E-3</v>
      </c>
      <c r="AW54" s="291">
        <f t="shared" si="200"/>
        <v>-8.5749999999999993E-3</v>
      </c>
      <c r="AX54" s="291">
        <f t="shared" si="200"/>
        <v>-8.5749999999999993E-3</v>
      </c>
      <c r="AY54" s="291">
        <f t="shared" si="200"/>
        <v>-8.5749999999999993E-3</v>
      </c>
      <c r="AZ54" s="291">
        <f t="shared" si="200"/>
        <v>-8.5749999999999993E-3</v>
      </c>
      <c r="BA54" s="291">
        <f t="shared" si="200"/>
        <v>-8.5749999999999993E-3</v>
      </c>
      <c r="BB54" s="291">
        <f t="shared" si="200"/>
        <v>-8.5749999999999993E-3</v>
      </c>
      <c r="BC54" s="470">
        <f>'packages (indiv)'!BC110</f>
        <v>-8.5749999999999993E-3</v>
      </c>
      <c r="BD54" s="291">
        <f t="shared" si="180"/>
        <v>-6.0024999999999992E-3</v>
      </c>
      <c r="BE54" s="291">
        <f t="shared" ref="BE54:BO54" si="201">BD54</f>
        <v>-6.0024999999999992E-3</v>
      </c>
      <c r="BF54" s="291">
        <f t="shared" si="201"/>
        <v>-6.0024999999999992E-3</v>
      </c>
      <c r="BG54" s="291">
        <f t="shared" si="201"/>
        <v>-6.0024999999999992E-3</v>
      </c>
      <c r="BH54" s="291">
        <f t="shared" si="201"/>
        <v>-6.0024999999999992E-3</v>
      </c>
      <c r="BI54" s="291">
        <f t="shared" si="201"/>
        <v>-6.0024999999999992E-3</v>
      </c>
      <c r="BJ54" s="291">
        <f t="shared" si="201"/>
        <v>-6.0024999999999992E-3</v>
      </c>
      <c r="BK54" s="291">
        <f t="shared" si="201"/>
        <v>-6.0024999999999992E-3</v>
      </c>
      <c r="BL54" s="291">
        <f t="shared" si="201"/>
        <v>-6.0024999999999992E-3</v>
      </c>
      <c r="BM54" s="291">
        <f t="shared" si="201"/>
        <v>-6.0024999999999992E-3</v>
      </c>
      <c r="BN54" s="291">
        <f t="shared" si="201"/>
        <v>-6.0024999999999992E-3</v>
      </c>
      <c r="BO54" s="291">
        <f t="shared" si="201"/>
        <v>-6.0024999999999992E-3</v>
      </c>
      <c r="BP54" s="470">
        <f>'packages (indiv)'!BP110</f>
        <v>-6.0024999999999992E-3</v>
      </c>
      <c r="CF54" s="291" t="s">
        <v>1078</v>
      </c>
      <c r="CG54" s="285" t="s">
        <v>231</v>
      </c>
    </row>
    <row r="55" spans="1:85" s="291" customFormat="1">
      <c r="A55" s="294" t="s">
        <v>512</v>
      </c>
      <c r="B55" s="295" t="s">
        <v>231</v>
      </c>
      <c r="D55" s="293">
        <f t="shared" si="172"/>
        <v>-0.02</v>
      </c>
      <c r="E55" s="293">
        <f t="shared" ref="E55:O55" si="202">D55</f>
        <v>-0.02</v>
      </c>
      <c r="F55" s="293">
        <f t="shared" si="202"/>
        <v>-0.02</v>
      </c>
      <c r="G55" s="293">
        <f t="shared" si="202"/>
        <v>-0.02</v>
      </c>
      <c r="H55" s="293">
        <f t="shared" si="202"/>
        <v>-0.02</v>
      </c>
      <c r="I55" s="293">
        <f t="shared" si="202"/>
        <v>-0.02</v>
      </c>
      <c r="J55" s="293">
        <f t="shared" si="202"/>
        <v>-0.02</v>
      </c>
      <c r="K55" s="293">
        <f t="shared" si="202"/>
        <v>-0.02</v>
      </c>
      <c r="L55" s="293">
        <f t="shared" si="202"/>
        <v>-0.02</v>
      </c>
      <c r="M55" s="293">
        <f t="shared" si="202"/>
        <v>-0.02</v>
      </c>
      <c r="N55" s="293">
        <f t="shared" si="202"/>
        <v>-0.02</v>
      </c>
      <c r="O55" s="293">
        <f t="shared" si="202"/>
        <v>-0.02</v>
      </c>
      <c r="P55" s="350">
        <v>-0.02</v>
      </c>
      <c r="Q55" s="293">
        <f t="shared" si="174"/>
        <v>-1.9E-2</v>
      </c>
      <c r="R55" s="293">
        <f t="shared" ref="R55:AB55" si="203">Q55</f>
        <v>-1.9E-2</v>
      </c>
      <c r="S55" s="293">
        <f t="shared" si="203"/>
        <v>-1.9E-2</v>
      </c>
      <c r="T55" s="293">
        <f t="shared" si="203"/>
        <v>-1.9E-2</v>
      </c>
      <c r="U55" s="293">
        <f t="shared" si="203"/>
        <v>-1.9E-2</v>
      </c>
      <c r="V55" s="293">
        <f t="shared" si="203"/>
        <v>-1.9E-2</v>
      </c>
      <c r="W55" s="293">
        <f t="shared" si="203"/>
        <v>-1.9E-2</v>
      </c>
      <c r="X55" s="293">
        <f t="shared" si="203"/>
        <v>-1.9E-2</v>
      </c>
      <c r="Y55" s="293">
        <f t="shared" si="203"/>
        <v>-1.9E-2</v>
      </c>
      <c r="Z55" s="293">
        <f t="shared" si="203"/>
        <v>-1.9E-2</v>
      </c>
      <c r="AA55" s="293">
        <f t="shared" si="203"/>
        <v>-1.9E-2</v>
      </c>
      <c r="AB55" s="293">
        <f t="shared" si="203"/>
        <v>-1.9E-2</v>
      </c>
      <c r="AC55" s="350">
        <f>P55*95%</f>
        <v>-1.9E-2</v>
      </c>
      <c r="AD55" s="293">
        <f t="shared" si="176"/>
        <v>-1.805E-2</v>
      </c>
      <c r="AE55" s="293">
        <f t="shared" ref="AE55:AO55" si="204">AD55</f>
        <v>-1.805E-2</v>
      </c>
      <c r="AF55" s="293">
        <f t="shared" si="204"/>
        <v>-1.805E-2</v>
      </c>
      <c r="AG55" s="293">
        <f t="shared" si="204"/>
        <v>-1.805E-2</v>
      </c>
      <c r="AH55" s="293">
        <f t="shared" si="204"/>
        <v>-1.805E-2</v>
      </c>
      <c r="AI55" s="293">
        <f t="shared" si="204"/>
        <v>-1.805E-2</v>
      </c>
      <c r="AJ55" s="293">
        <f t="shared" si="204"/>
        <v>-1.805E-2</v>
      </c>
      <c r="AK55" s="293">
        <f t="shared" si="204"/>
        <v>-1.805E-2</v>
      </c>
      <c r="AL55" s="293">
        <f t="shared" si="204"/>
        <v>-1.805E-2</v>
      </c>
      <c r="AM55" s="293">
        <f t="shared" si="204"/>
        <v>-1.805E-2</v>
      </c>
      <c r="AN55" s="293">
        <f t="shared" si="204"/>
        <v>-1.805E-2</v>
      </c>
      <c r="AO55" s="293">
        <f t="shared" si="204"/>
        <v>-1.805E-2</v>
      </c>
      <c r="AP55" s="350">
        <f>AC55*95%</f>
        <v>-1.805E-2</v>
      </c>
      <c r="AQ55" s="293">
        <f t="shared" si="178"/>
        <v>-1.71475E-2</v>
      </c>
      <c r="AR55" s="293">
        <f t="shared" ref="AR55:BB55" si="205">AQ55</f>
        <v>-1.71475E-2</v>
      </c>
      <c r="AS55" s="293">
        <f t="shared" si="205"/>
        <v>-1.71475E-2</v>
      </c>
      <c r="AT55" s="293">
        <f t="shared" si="205"/>
        <v>-1.71475E-2</v>
      </c>
      <c r="AU55" s="293">
        <f t="shared" si="205"/>
        <v>-1.71475E-2</v>
      </c>
      <c r="AV55" s="293">
        <f t="shared" si="205"/>
        <v>-1.71475E-2</v>
      </c>
      <c r="AW55" s="293">
        <f t="shared" si="205"/>
        <v>-1.71475E-2</v>
      </c>
      <c r="AX55" s="293">
        <f t="shared" si="205"/>
        <v>-1.71475E-2</v>
      </c>
      <c r="AY55" s="293">
        <f t="shared" si="205"/>
        <v>-1.71475E-2</v>
      </c>
      <c r="AZ55" s="293">
        <f t="shared" si="205"/>
        <v>-1.71475E-2</v>
      </c>
      <c r="BA55" s="293">
        <f t="shared" si="205"/>
        <v>-1.71475E-2</v>
      </c>
      <c r="BB55" s="293">
        <f t="shared" si="205"/>
        <v>-1.71475E-2</v>
      </c>
      <c r="BC55" s="350">
        <f>AP55*95%</f>
        <v>-1.71475E-2</v>
      </c>
      <c r="BD55" s="293">
        <f t="shared" si="180"/>
        <v>-1.6290124999999999E-2</v>
      </c>
      <c r="BE55" s="293">
        <f t="shared" ref="BE55:BO55" si="206">BD55</f>
        <v>-1.6290124999999999E-2</v>
      </c>
      <c r="BF55" s="293">
        <f t="shared" si="206"/>
        <v>-1.6290124999999999E-2</v>
      </c>
      <c r="BG55" s="293">
        <f t="shared" si="206"/>
        <v>-1.6290124999999999E-2</v>
      </c>
      <c r="BH55" s="293">
        <f t="shared" si="206"/>
        <v>-1.6290124999999999E-2</v>
      </c>
      <c r="BI55" s="293">
        <f t="shared" si="206"/>
        <v>-1.6290124999999999E-2</v>
      </c>
      <c r="BJ55" s="293">
        <f t="shared" si="206"/>
        <v>-1.6290124999999999E-2</v>
      </c>
      <c r="BK55" s="293">
        <f t="shared" si="206"/>
        <v>-1.6290124999999999E-2</v>
      </c>
      <c r="BL55" s="293">
        <f t="shared" si="206"/>
        <v>-1.6290124999999999E-2</v>
      </c>
      <c r="BM55" s="293">
        <f t="shared" si="206"/>
        <v>-1.6290124999999999E-2</v>
      </c>
      <c r="BN55" s="293">
        <f t="shared" si="206"/>
        <v>-1.6290124999999999E-2</v>
      </c>
      <c r="BO55" s="293">
        <f t="shared" si="206"/>
        <v>-1.6290124999999999E-2</v>
      </c>
      <c r="BP55" s="350">
        <f>BC55*95%</f>
        <v>-1.6290124999999999E-2</v>
      </c>
      <c r="CF55" s="294" t="s">
        <v>1077</v>
      </c>
      <c r="CG55" s="295" t="s">
        <v>231</v>
      </c>
    </row>
    <row r="56" spans="1:85">
      <c r="P56" s="349"/>
      <c r="AC56" s="349"/>
      <c r="AP56" s="349"/>
      <c r="BC56" s="349"/>
      <c r="BP56" s="349"/>
    </row>
    <row r="57" spans="1:85">
      <c r="P57" s="349"/>
      <c r="AC57" s="349"/>
      <c r="AP57" s="349"/>
      <c r="BC57" s="349"/>
      <c r="BP57" s="349"/>
    </row>
    <row r="58" spans="1:85" s="1" customFormat="1">
      <c r="A58" s="421"/>
      <c r="B58" s="423" t="s">
        <v>665</v>
      </c>
      <c r="C58" s="422"/>
      <c r="D58" s="421" t="s">
        <v>107</v>
      </c>
      <c r="E58" s="421" t="s">
        <v>135</v>
      </c>
      <c r="F58" s="421" t="s">
        <v>136</v>
      </c>
      <c r="G58" s="421" t="s">
        <v>137</v>
      </c>
      <c r="H58" s="421" t="s">
        <v>138</v>
      </c>
      <c r="I58" s="421" t="s">
        <v>139</v>
      </c>
      <c r="J58" s="421" t="s">
        <v>140</v>
      </c>
      <c r="K58" s="421" t="s">
        <v>141</v>
      </c>
      <c r="L58" s="421" t="s">
        <v>142</v>
      </c>
      <c r="M58" s="421" t="s">
        <v>143</v>
      </c>
      <c r="N58" s="421" t="s">
        <v>144</v>
      </c>
      <c r="O58" s="421" t="s">
        <v>145</v>
      </c>
      <c r="P58" s="420" t="s">
        <v>146</v>
      </c>
      <c r="Q58" s="421" t="s">
        <v>107</v>
      </c>
      <c r="R58" s="421" t="s">
        <v>135</v>
      </c>
      <c r="S58" s="421" t="s">
        <v>136</v>
      </c>
      <c r="T58" s="421" t="s">
        <v>137</v>
      </c>
      <c r="U58" s="421" t="s">
        <v>138</v>
      </c>
      <c r="V58" s="421" t="s">
        <v>139</v>
      </c>
      <c r="W58" s="421" t="s">
        <v>140</v>
      </c>
      <c r="X58" s="421" t="s">
        <v>141</v>
      </c>
      <c r="Y58" s="421" t="s">
        <v>142</v>
      </c>
      <c r="Z58" s="421" t="s">
        <v>143</v>
      </c>
      <c r="AA58" s="421" t="s">
        <v>144</v>
      </c>
      <c r="AB58" s="421" t="s">
        <v>145</v>
      </c>
      <c r="AC58" s="420" t="s">
        <v>146</v>
      </c>
      <c r="AD58" s="421" t="s">
        <v>107</v>
      </c>
      <c r="AE58" s="421" t="s">
        <v>135</v>
      </c>
      <c r="AF58" s="421" t="s">
        <v>136</v>
      </c>
      <c r="AG58" s="421" t="s">
        <v>137</v>
      </c>
      <c r="AH58" s="421" t="s">
        <v>138</v>
      </c>
      <c r="AI58" s="421" t="s">
        <v>139</v>
      </c>
      <c r="AJ58" s="421" t="s">
        <v>140</v>
      </c>
      <c r="AK58" s="421" t="s">
        <v>141</v>
      </c>
      <c r="AL58" s="421" t="s">
        <v>142</v>
      </c>
      <c r="AM58" s="421" t="s">
        <v>143</v>
      </c>
      <c r="AN58" s="421" t="s">
        <v>144</v>
      </c>
      <c r="AO58" s="421" t="s">
        <v>145</v>
      </c>
      <c r="AP58" s="420" t="s">
        <v>146</v>
      </c>
      <c r="AQ58" s="421" t="s">
        <v>107</v>
      </c>
      <c r="AR58" s="421" t="s">
        <v>135</v>
      </c>
      <c r="AS58" s="421" t="s">
        <v>136</v>
      </c>
      <c r="AT58" s="421" t="s">
        <v>137</v>
      </c>
      <c r="AU58" s="421" t="s">
        <v>138</v>
      </c>
      <c r="AV58" s="421" t="s">
        <v>139</v>
      </c>
      <c r="AW58" s="421" t="s">
        <v>140</v>
      </c>
      <c r="AX58" s="421" t="s">
        <v>141</v>
      </c>
      <c r="AY58" s="421" t="s">
        <v>142</v>
      </c>
      <c r="AZ58" s="421" t="s">
        <v>143</v>
      </c>
      <c r="BA58" s="421" t="s">
        <v>144</v>
      </c>
      <c r="BB58" s="421" t="s">
        <v>145</v>
      </c>
      <c r="BC58" s="420" t="s">
        <v>146</v>
      </c>
      <c r="BD58" s="421" t="s">
        <v>107</v>
      </c>
      <c r="BE58" s="421" t="s">
        <v>135</v>
      </c>
      <c r="BF58" s="421" t="s">
        <v>136</v>
      </c>
      <c r="BG58" s="421" t="s">
        <v>137</v>
      </c>
      <c r="BH58" s="421" t="s">
        <v>138</v>
      </c>
      <c r="BI58" s="421" t="s">
        <v>139</v>
      </c>
      <c r="BJ58" s="421" t="s">
        <v>140</v>
      </c>
      <c r="BK58" s="421" t="s">
        <v>141</v>
      </c>
      <c r="BL58" s="421" t="s">
        <v>142</v>
      </c>
      <c r="BM58" s="421" t="s">
        <v>143</v>
      </c>
      <c r="BN58" s="421" t="s">
        <v>144</v>
      </c>
      <c r="BO58" s="421" t="s">
        <v>145</v>
      </c>
      <c r="BP58" s="420" t="s">
        <v>146</v>
      </c>
      <c r="CF58" s="421"/>
      <c r="CG58" s="423"/>
    </row>
    <row r="59" spans="1:85" s="3" customFormat="1">
      <c r="A59" s="296" t="s">
        <v>513</v>
      </c>
      <c r="B59" s="12" t="s">
        <v>502</v>
      </c>
      <c r="C59" s="5"/>
      <c r="D59" s="3">
        <f t="shared" ref="D59:O59" si="207">D60+D61</f>
        <v>0</v>
      </c>
      <c r="E59" s="3">
        <f t="shared" si="207"/>
        <v>0</v>
      </c>
      <c r="F59" s="3">
        <f t="shared" si="207"/>
        <v>0</v>
      </c>
      <c r="G59" s="3">
        <f t="shared" si="207"/>
        <v>0</v>
      </c>
      <c r="H59" s="3">
        <f t="shared" si="207"/>
        <v>0</v>
      </c>
      <c r="I59" s="3">
        <f t="shared" si="207"/>
        <v>0</v>
      </c>
      <c r="J59" s="3">
        <f t="shared" si="207"/>
        <v>0</v>
      </c>
      <c r="K59" s="3">
        <f t="shared" si="207"/>
        <v>0</v>
      </c>
      <c r="L59" s="3">
        <f t="shared" si="207"/>
        <v>0</v>
      </c>
      <c r="M59" s="3">
        <f t="shared" si="207"/>
        <v>0</v>
      </c>
      <c r="N59" s="3">
        <f t="shared" si="207"/>
        <v>0</v>
      </c>
      <c r="O59" s="3">
        <f t="shared" si="207"/>
        <v>0</v>
      </c>
      <c r="P59" s="397">
        <f t="shared" ref="P59:P94" si="208">SUM(D59:O59)</f>
        <v>0</v>
      </c>
      <c r="Q59" s="3">
        <f t="shared" ref="Q59:AB59" si="209">Q60+Q61</f>
        <v>0</v>
      </c>
      <c r="R59" s="3">
        <f t="shared" si="209"/>
        <v>0</v>
      </c>
      <c r="S59" s="3">
        <f t="shared" si="209"/>
        <v>0</v>
      </c>
      <c r="T59" s="3">
        <f t="shared" si="209"/>
        <v>0</v>
      </c>
      <c r="U59" s="3">
        <f t="shared" si="209"/>
        <v>0</v>
      </c>
      <c r="V59" s="3">
        <f t="shared" si="209"/>
        <v>0</v>
      </c>
      <c r="W59" s="3">
        <f t="shared" si="209"/>
        <v>0</v>
      </c>
      <c r="X59" s="3">
        <f t="shared" si="209"/>
        <v>0</v>
      </c>
      <c r="Y59" s="3">
        <f t="shared" si="209"/>
        <v>0</v>
      </c>
      <c r="Z59" s="3">
        <f t="shared" si="209"/>
        <v>0</v>
      </c>
      <c r="AA59" s="3">
        <f t="shared" si="209"/>
        <v>0</v>
      </c>
      <c r="AB59" s="3">
        <f t="shared" si="209"/>
        <v>0</v>
      </c>
      <c r="AC59" s="397">
        <f t="shared" ref="AC59:AC94" si="210">SUM(Q59:AB59)</f>
        <v>0</v>
      </c>
      <c r="AD59" s="3">
        <f t="shared" ref="AD59:AO59" si="211">AD60+AD61</f>
        <v>0</v>
      </c>
      <c r="AE59" s="3">
        <f t="shared" si="211"/>
        <v>0</v>
      </c>
      <c r="AF59" s="3">
        <f t="shared" si="211"/>
        <v>0</v>
      </c>
      <c r="AG59" s="3">
        <f t="shared" si="211"/>
        <v>0</v>
      </c>
      <c r="AH59" s="3">
        <f t="shared" si="211"/>
        <v>0</v>
      </c>
      <c r="AI59" s="3">
        <f t="shared" si="211"/>
        <v>0</v>
      </c>
      <c r="AJ59" s="3">
        <f t="shared" si="211"/>
        <v>0</v>
      </c>
      <c r="AK59" s="3">
        <f t="shared" si="211"/>
        <v>0</v>
      </c>
      <c r="AL59" s="3">
        <f t="shared" si="211"/>
        <v>0</v>
      </c>
      <c r="AM59" s="3">
        <f t="shared" si="211"/>
        <v>0</v>
      </c>
      <c r="AN59" s="3">
        <f t="shared" si="211"/>
        <v>0</v>
      </c>
      <c r="AO59" s="3">
        <f t="shared" si="211"/>
        <v>0</v>
      </c>
      <c r="AP59" s="397">
        <f t="shared" ref="AP59:AP94" si="212">SUM(AD59:AO59)</f>
        <v>0</v>
      </c>
      <c r="AQ59" s="3">
        <f t="shared" ref="AQ59:BB59" si="213">AQ60+AQ61</f>
        <v>0</v>
      </c>
      <c r="AR59" s="3">
        <f t="shared" si="213"/>
        <v>0</v>
      </c>
      <c r="AS59" s="3">
        <f t="shared" si="213"/>
        <v>0</v>
      </c>
      <c r="AT59" s="3">
        <f t="shared" si="213"/>
        <v>0</v>
      </c>
      <c r="AU59" s="3">
        <f t="shared" si="213"/>
        <v>0</v>
      </c>
      <c r="AV59" s="3">
        <f t="shared" si="213"/>
        <v>0</v>
      </c>
      <c r="AW59" s="3">
        <f t="shared" si="213"/>
        <v>0</v>
      </c>
      <c r="AX59" s="3">
        <f t="shared" si="213"/>
        <v>0</v>
      </c>
      <c r="AY59" s="3">
        <f t="shared" si="213"/>
        <v>0</v>
      </c>
      <c r="AZ59" s="3">
        <f t="shared" si="213"/>
        <v>0</v>
      </c>
      <c r="BA59" s="3">
        <f t="shared" si="213"/>
        <v>0</v>
      </c>
      <c r="BB59" s="3">
        <f t="shared" si="213"/>
        <v>0</v>
      </c>
      <c r="BC59" s="397">
        <f t="shared" ref="BC59:BC94" si="214">SUM(AQ59:BB59)</f>
        <v>0</v>
      </c>
      <c r="BD59" s="3">
        <f t="shared" ref="BD59:BO59" si="215">BD60+BD61</f>
        <v>0</v>
      </c>
      <c r="BE59" s="3">
        <f t="shared" si="215"/>
        <v>0</v>
      </c>
      <c r="BF59" s="3">
        <f t="shared" si="215"/>
        <v>0</v>
      </c>
      <c r="BG59" s="3">
        <f t="shared" si="215"/>
        <v>0</v>
      </c>
      <c r="BH59" s="3">
        <f t="shared" si="215"/>
        <v>0</v>
      </c>
      <c r="BI59" s="3">
        <f t="shared" si="215"/>
        <v>0</v>
      </c>
      <c r="BJ59" s="3">
        <f t="shared" si="215"/>
        <v>0</v>
      </c>
      <c r="BK59" s="3">
        <f t="shared" si="215"/>
        <v>0</v>
      </c>
      <c r="BL59" s="3">
        <f t="shared" si="215"/>
        <v>0</v>
      </c>
      <c r="BM59" s="3">
        <f t="shared" si="215"/>
        <v>0</v>
      </c>
      <c r="BN59" s="3">
        <f t="shared" si="215"/>
        <v>0</v>
      </c>
      <c r="BO59" s="3">
        <f t="shared" si="215"/>
        <v>0</v>
      </c>
      <c r="BP59" s="397">
        <f t="shared" ref="BP59:BP94" si="216">SUM(BD59:BO59)</f>
        <v>0</v>
      </c>
      <c r="CF59" s="296" t="s">
        <v>871</v>
      </c>
      <c r="CG59" s="12" t="s">
        <v>965</v>
      </c>
    </row>
    <row r="60" spans="1:85" s="5" customFormat="1" outlineLevel="1">
      <c r="A60" s="297" t="s">
        <v>466</v>
      </c>
      <c r="B60" s="12" t="s">
        <v>502</v>
      </c>
      <c r="P60" s="383">
        <f t="shared" si="208"/>
        <v>0</v>
      </c>
      <c r="AC60" s="383">
        <f t="shared" si="210"/>
        <v>0</v>
      </c>
      <c r="AP60" s="383">
        <f t="shared" si="212"/>
        <v>0</v>
      </c>
      <c r="BC60" s="383">
        <f t="shared" si="214"/>
        <v>0</v>
      </c>
      <c r="BP60" s="383">
        <f t="shared" si="216"/>
        <v>0</v>
      </c>
      <c r="CF60" s="297" t="s">
        <v>861</v>
      </c>
      <c r="CG60" s="12" t="s">
        <v>965</v>
      </c>
    </row>
    <row r="61" spans="1:85" s="5" customFormat="1" outlineLevel="1">
      <c r="A61" s="297" t="s">
        <v>158</v>
      </c>
      <c r="B61" s="12" t="s">
        <v>502</v>
      </c>
      <c r="P61" s="383">
        <f t="shared" si="208"/>
        <v>0</v>
      </c>
      <c r="AC61" s="383">
        <f t="shared" si="210"/>
        <v>0</v>
      </c>
      <c r="AP61" s="383">
        <f t="shared" si="212"/>
        <v>0</v>
      </c>
      <c r="BC61" s="383">
        <f t="shared" si="214"/>
        <v>0</v>
      </c>
      <c r="BP61" s="383">
        <f t="shared" si="216"/>
        <v>0</v>
      </c>
      <c r="CF61" s="297" t="s">
        <v>867</v>
      </c>
      <c r="CG61" s="12" t="s">
        <v>965</v>
      </c>
    </row>
    <row r="62" spans="1:85" s="3" customFormat="1">
      <c r="A62" s="296" t="s">
        <v>514</v>
      </c>
      <c r="B62" s="12" t="s">
        <v>502</v>
      </c>
      <c r="C62" s="5"/>
      <c r="D62" s="3">
        <f t="shared" ref="D62:O62" si="217">D63+D64+D65</f>
        <v>0</v>
      </c>
      <c r="E62" s="3">
        <f t="shared" si="217"/>
        <v>0</v>
      </c>
      <c r="F62" s="3">
        <f t="shared" si="217"/>
        <v>0</v>
      </c>
      <c r="G62" s="3">
        <f t="shared" si="217"/>
        <v>0</v>
      </c>
      <c r="H62" s="3">
        <f t="shared" si="217"/>
        <v>0</v>
      </c>
      <c r="I62" s="3">
        <f t="shared" si="217"/>
        <v>0</v>
      </c>
      <c r="J62" s="3">
        <f t="shared" si="217"/>
        <v>0.15010855031613254</v>
      </c>
      <c r="K62" s="3">
        <f t="shared" si="217"/>
        <v>0.45614355650357702</v>
      </c>
      <c r="L62" s="3">
        <f t="shared" si="217"/>
        <v>0.74867920231285978</v>
      </c>
      <c r="M62" s="3">
        <f t="shared" si="217"/>
        <v>1.1022172705501792</v>
      </c>
      <c r="N62" s="3">
        <f t="shared" si="217"/>
        <v>1.3950083476114117</v>
      </c>
      <c r="O62" s="3">
        <f t="shared" si="217"/>
        <v>1.7837428955526446</v>
      </c>
      <c r="P62" s="397">
        <f t="shared" si="208"/>
        <v>5.6358998228468051</v>
      </c>
      <c r="Q62" s="3">
        <f t="shared" ref="Q62:AB62" si="218">Q63+Q64+Q65</f>
        <v>3.3877089152445015</v>
      </c>
      <c r="R62" s="3">
        <f t="shared" si="218"/>
        <v>5.2173804599449882</v>
      </c>
      <c r="S62" s="3">
        <f t="shared" si="218"/>
        <v>7.3536107897415173</v>
      </c>
      <c r="T62" s="3">
        <f t="shared" si="218"/>
        <v>8.7116717282785849</v>
      </c>
      <c r="U62" s="3">
        <f t="shared" si="218"/>
        <v>10.71953532557729</v>
      </c>
      <c r="V62" s="3">
        <f t="shared" si="218"/>
        <v>12.100401060361145</v>
      </c>
      <c r="W62" s="3">
        <f t="shared" si="218"/>
        <v>14.352330218313353</v>
      </c>
      <c r="X62" s="3">
        <f t="shared" si="218"/>
        <v>16.262838989159977</v>
      </c>
      <c r="Y62" s="3">
        <f t="shared" si="218"/>
        <v>17.644606543163942</v>
      </c>
      <c r="Z62" s="3">
        <f t="shared" si="218"/>
        <v>20.259514955570797</v>
      </c>
      <c r="AA62" s="3">
        <f t="shared" si="218"/>
        <v>21.619805981140473</v>
      </c>
      <c r="AB62" s="3">
        <f t="shared" si="218"/>
        <v>24.423468978757807</v>
      </c>
      <c r="AC62" s="397">
        <f t="shared" si="210"/>
        <v>162.05287394525436</v>
      </c>
      <c r="AD62" s="3">
        <f t="shared" ref="AD62:AO62" si="219">AD63+AD64+AD65</f>
        <v>35.957887723888106</v>
      </c>
      <c r="AE62" s="3">
        <f t="shared" si="219"/>
        <v>46.017152547087818</v>
      </c>
      <c r="AF62" s="3">
        <f t="shared" si="219"/>
        <v>54.701350654625536</v>
      </c>
      <c r="AG62" s="3">
        <f t="shared" si="219"/>
        <v>56.724617226073647</v>
      </c>
      <c r="AH62" s="3">
        <f t="shared" si="219"/>
        <v>62.683705752604006</v>
      </c>
      <c r="AI62" s="3">
        <f t="shared" si="219"/>
        <v>64.741828975634746</v>
      </c>
      <c r="AJ62" s="3">
        <f t="shared" si="219"/>
        <v>71.257593210068734</v>
      </c>
      <c r="AK62" s="3">
        <f t="shared" si="219"/>
        <v>75.750300496582767</v>
      </c>
      <c r="AL62" s="3">
        <f t="shared" si="219"/>
        <v>77.77876800169706</v>
      </c>
      <c r="AM62" s="3">
        <f t="shared" si="219"/>
        <v>85.114165996181512</v>
      </c>
      <c r="AN62" s="3">
        <f t="shared" si="219"/>
        <v>87.069520280081363</v>
      </c>
      <c r="AO62" s="3">
        <f t="shared" si="219"/>
        <v>94.801759853220275</v>
      </c>
      <c r="AP62" s="397">
        <f t="shared" si="212"/>
        <v>812.59865071774561</v>
      </c>
      <c r="AQ62" s="3">
        <f t="shared" ref="AQ62:BB62" si="220">AQ63+AQ64+AQ65</f>
        <v>120.23795394863592</v>
      </c>
      <c r="AR62" s="3">
        <f t="shared" si="220"/>
        <v>141.67693050148438</v>
      </c>
      <c r="AS62" s="3">
        <f t="shared" si="220"/>
        <v>161.52045597886334</v>
      </c>
      <c r="AT62" s="3">
        <f t="shared" si="220"/>
        <v>161.0596976666663</v>
      </c>
      <c r="AU62" s="3">
        <f t="shared" si="220"/>
        <v>171.5705698960769</v>
      </c>
      <c r="AV62" s="3">
        <f t="shared" si="220"/>
        <v>171.22956482387181</v>
      </c>
      <c r="AW62" s="3">
        <f t="shared" si="220"/>
        <v>182.51827316667294</v>
      </c>
      <c r="AX62" s="3">
        <f t="shared" si="220"/>
        <v>188.30360245328285</v>
      </c>
      <c r="AY62" s="3">
        <f t="shared" si="220"/>
        <v>188.01578501475089</v>
      </c>
      <c r="AZ62" s="3">
        <f t="shared" si="220"/>
        <v>200.44610373459716</v>
      </c>
      <c r="BA62" s="3">
        <f t="shared" si="220"/>
        <v>200.11223027646048</v>
      </c>
      <c r="BB62" s="3">
        <f t="shared" si="220"/>
        <v>213.04556827391397</v>
      </c>
      <c r="BC62" s="397">
        <f t="shared" si="214"/>
        <v>2099.7367357352769</v>
      </c>
      <c r="BD62" s="3">
        <f t="shared" ref="BD62:BO62" si="221">BD63+BD64+BD65</f>
        <v>229.63328938185492</v>
      </c>
      <c r="BE62" s="3">
        <f t="shared" si="221"/>
        <v>246.99421884503838</v>
      </c>
      <c r="BF62" s="3">
        <f t="shared" si="221"/>
        <v>277.42406397691929</v>
      </c>
      <c r="BG62" s="3">
        <f t="shared" si="221"/>
        <v>272.65224310531062</v>
      </c>
      <c r="BH62" s="3">
        <f t="shared" si="221"/>
        <v>286.39430889804152</v>
      </c>
      <c r="BI62" s="3">
        <f t="shared" si="221"/>
        <v>281.9724551281401</v>
      </c>
      <c r="BJ62" s="3">
        <f t="shared" si="221"/>
        <v>296.65870437290056</v>
      </c>
      <c r="BK62" s="3">
        <f t="shared" si="221"/>
        <v>302.24207981619952</v>
      </c>
      <c r="BL62" s="3">
        <f t="shared" si="221"/>
        <v>298.16889858282923</v>
      </c>
      <c r="BM62" s="3">
        <f t="shared" si="221"/>
        <v>314.24220849093194</v>
      </c>
      <c r="BN62" s="3">
        <f t="shared" si="221"/>
        <v>310.28832177688787</v>
      </c>
      <c r="BO62" s="3">
        <f t="shared" si="221"/>
        <v>326.92559689585443</v>
      </c>
      <c r="BP62" s="397">
        <f t="shared" si="216"/>
        <v>3443.5963892709083</v>
      </c>
      <c r="CF62" s="296" t="s">
        <v>870</v>
      </c>
      <c r="CG62" s="12" t="s">
        <v>965</v>
      </c>
    </row>
    <row r="63" spans="1:85" s="5" customFormat="1" outlineLevel="1">
      <c r="A63" s="297" t="s">
        <v>275</v>
      </c>
      <c r="B63" s="12" t="s">
        <v>502</v>
      </c>
      <c r="P63" s="383">
        <f t="shared" si="208"/>
        <v>0</v>
      </c>
      <c r="AC63" s="383">
        <f t="shared" si="210"/>
        <v>0</v>
      </c>
      <c r="AP63" s="383">
        <f t="shared" si="212"/>
        <v>0</v>
      </c>
      <c r="BC63" s="383">
        <f t="shared" si="214"/>
        <v>0</v>
      </c>
      <c r="BP63" s="383">
        <f t="shared" si="216"/>
        <v>0</v>
      </c>
      <c r="CF63" s="297" t="s">
        <v>862</v>
      </c>
      <c r="CG63" s="12" t="s">
        <v>965</v>
      </c>
    </row>
    <row r="64" spans="1:85" s="5" customFormat="1" outlineLevel="1">
      <c r="A64" s="297" t="s">
        <v>274</v>
      </c>
      <c r="B64" s="12" t="s">
        <v>502</v>
      </c>
      <c r="D64" s="5">
        <f t="shared" ref="D64:O64" si="222">AVERAGE(C19:D19)*D50/365*D1+AVERAGE(C20:D20)*D51/365*D1</f>
        <v>0</v>
      </c>
      <c r="E64" s="5">
        <f t="shared" si="222"/>
        <v>0</v>
      </c>
      <c r="F64" s="5">
        <f t="shared" si="222"/>
        <v>0</v>
      </c>
      <c r="G64" s="5">
        <f t="shared" si="222"/>
        <v>0</v>
      </c>
      <c r="H64" s="5">
        <f t="shared" si="222"/>
        <v>0</v>
      </c>
      <c r="I64" s="5">
        <f t="shared" si="222"/>
        <v>0</v>
      </c>
      <c r="J64" s="5">
        <f t="shared" si="222"/>
        <v>0.15417142069684953</v>
      </c>
      <c r="K64" s="5">
        <f t="shared" si="222"/>
        <v>0.46848963633161006</v>
      </c>
      <c r="L64" s="5">
        <f t="shared" si="222"/>
        <v>0.76894311499024992</v>
      </c>
      <c r="M64" s="5">
        <f t="shared" si="222"/>
        <v>1.1320501207922333</v>
      </c>
      <c r="N64" s="5">
        <f t="shared" si="222"/>
        <v>1.4327659442601497</v>
      </c>
      <c r="O64" s="5">
        <f t="shared" si="222"/>
        <v>1.8320220652727743</v>
      </c>
      <c r="P64" s="383">
        <f t="shared" si="208"/>
        <v>5.7884423023438671</v>
      </c>
      <c r="Q64" s="5">
        <f t="shared" ref="Q64:AB64" si="223">AVERAGE(P19:Q19)*Q50/365*Q1+AVERAGE(P20:Q20)*Q51/365*Q1</f>
        <v>3.4889424794140278</v>
      </c>
      <c r="R64" s="5">
        <f t="shared" si="223"/>
        <v>5.373289374436407</v>
      </c>
      <c r="S64" s="5">
        <f t="shared" si="223"/>
        <v>7.5733558293495884</v>
      </c>
      <c r="T64" s="5">
        <f t="shared" si="223"/>
        <v>8.9719991651961948</v>
      </c>
      <c r="U64" s="5">
        <f t="shared" si="223"/>
        <v>11.039862955370422</v>
      </c>
      <c r="V64" s="5">
        <f t="shared" si="223"/>
        <v>12.461992554160624</v>
      </c>
      <c r="W64" s="5">
        <f t="shared" si="223"/>
        <v>14.781215219500945</v>
      </c>
      <c r="X64" s="5">
        <f t="shared" si="223"/>
        <v>16.748814967491331</v>
      </c>
      <c r="Y64" s="5">
        <f t="shared" si="223"/>
        <v>18.171873334208328</v>
      </c>
      <c r="Z64" s="5">
        <f t="shared" si="223"/>
        <v>20.864922019344522</v>
      </c>
      <c r="AA64" s="5">
        <f t="shared" si="223"/>
        <v>22.265862083031543</v>
      </c>
      <c r="AB64" s="5">
        <f t="shared" si="223"/>
        <v>25.153305831911723</v>
      </c>
      <c r="AC64" s="383">
        <f t="shared" si="210"/>
        <v>166.89543581341565</v>
      </c>
      <c r="AD64" s="5">
        <f t="shared" ref="AD64:AO64" si="224">AVERAGE(AC19:AD19)*AD50/365*AD1+AVERAGE(AC20:AD20)*AD51/365*AD1</f>
        <v>37.157197856429939</v>
      </c>
      <c r="AE64" s="5">
        <f t="shared" si="224"/>
        <v>47.551971214530887</v>
      </c>
      <c r="AF64" s="5">
        <f t="shared" si="224"/>
        <v>56.525815000461762</v>
      </c>
      <c r="AG64" s="5">
        <f t="shared" si="224"/>
        <v>58.616563959045727</v>
      </c>
      <c r="AH64" s="5">
        <f t="shared" si="224"/>
        <v>64.774407076097646</v>
      </c>
      <c r="AI64" s="5">
        <f t="shared" si="224"/>
        <v>66.901175266662463</v>
      </c>
      <c r="AJ64" s="5">
        <f t="shared" si="224"/>
        <v>73.63426100027948</v>
      </c>
      <c r="AK64" s="5">
        <f t="shared" si="224"/>
        <v>78.27681439045331</v>
      </c>
      <c r="AL64" s="5">
        <f t="shared" si="224"/>
        <v>80.372937750413584</v>
      </c>
      <c r="AM64" s="5">
        <f t="shared" si="224"/>
        <v>87.952994641676554</v>
      </c>
      <c r="AN64" s="5">
        <f t="shared" si="224"/>
        <v>89.973566221525417</v>
      </c>
      <c r="AO64" s="5">
        <f t="shared" si="224"/>
        <v>97.963700622595098</v>
      </c>
      <c r="AP64" s="383">
        <f t="shared" si="212"/>
        <v>839.7014050001718</v>
      </c>
      <c r="AQ64" s="5">
        <f t="shared" ref="AQ64:BB64" si="225">AVERAGE(AP19:AQ19)*AQ50/365*AQ1+AVERAGE(AP20:AQ20)*AQ51/365*AQ1</f>
        <v>124.77523522971651</v>
      </c>
      <c r="AR64" s="5">
        <f t="shared" si="225"/>
        <v>147.02322976569133</v>
      </c>
      <c r="AS64" s="5">
        <f t="shared" si="225"/>
        <v>167.61556752523555</v>
      </c>
      <c r="AT64" s="5">
        <f t="shared" si="225"/>
        <v>167.13742210691785</v>
      </c>
      <c r="AU64" s="5">
        <f t="shared" si="225"/>
        <v>178.04493102423075</v>
      </c>
      <c r="AV64" s="5">
        <f t="shared" si="225"/>
        <v>177.69105783609339</v>
      </c>
      <c r="AW64" s="5">
        <f t="shared" si="225"/>
        <v>189.40575517296247</v>
      </c>
      <c r="AX64" s="5">
        <f t="shared" si="225"/>
        <v>195.40939877227464</v>
      </c>
      <c r="AY64" s="5">
        <f t="shared" si="225"/>
        <v>195.11072029832638</v>
      </c>
      <c r="AZ64" s="5">
        <f t="shared" si="225"/>
        <v>208.01010764911027</v>
      </c>
      <c r="BA64" s="5">
        <f t="shared" si="225"/>
        <v>207.66363519255333</v>
      </c>
      <c r="BB64" s="5">
        <f t="shared" si="225"/>
        <v>221.08502368047675</v>
      </c>
      <c r="BC64" s="383">
        <f t="shared" si="214"/>
        <v>2178.9720842535894</v>
      </c>
      <c r="BD64" s="5">
        <f t="shared" ref="BD64:BO64" si="226">AVERAGE(BC19:BD19)*BD50/365*BD1+AVERAGE(BC20:BD20)*BD51/365*BD1</f>
        <v>239.60959985926678</v>
      </c>
      <c r="BE64" s="5">
        <f t="shared" si="226"/>
        <v>257.72476675452026</v>
      </c>
      <c r="BF64" s="5">
        <f t="shared" si="226"/>
        <v>289.47662222572262</v>
      </c>
      <c r="BG64" s="5">
        <f t="shared" si="226"/>
        <v>284.49749183603006</v>
      </c>
      <c r="BH64" s="5">
        <f t="shared" si="226"/>
        <v>298.83657522720392</v>
      </c>
      <c r="BI64" s="5">
        <f t="shared" si="226"/>
        <v>294.22261609569313</v>
      </c>
      <c r="BJ64" s="5">
        <f t="shared" si="226"/>
        <v>309.54690254581169</v>
      </c>
      <c r="BK64" s="5">
        <f t="shared" si="226"/>
        <v>315.3728451146535</v>
      </c>
      <c r="BL64" s="5">
        <f t="shared" si="226"/>
        <v>311.12270643437182</v>
      </c>
      <c r="BM64" s="5">
        <f t="shared" si="226"/>
        <v>327.89431374732618</v>
      </c>
      <c r="BN64" s="5">
        <f t="shared" si="226"/>
        <v>323.76865228077128</v>
      </c>
      <c r="BO64" s="5">
        <f t="shared" si="226"/>
        <v>341.12872600847493</v>
      </c>
      <c r="BP64" s="383">
        <f t="shared" si="216"/>
        <v>3593.2018181298463</v>
      </c>
      <c r="CF64" s="297" t="s">
        <v>874</v>
      </c>
      <c r="CG64" s="12" t="s">
        <v>965</v>
      </c>
    </row>
    <row r="65" spans="1:85" s="5" customFormat="1" outlineLevel="1">
      <c r="A65" s="297" t="s">
        <v>515</v>
      </c>
      <c r="B65" s="12" t="s">
        <v>502</v>
      </c>
      <c r="D65" s="5">
        <f t="shared" ref="D65:O65" si="227">AVERAGE(C18:D18)*D52/365*D1</f>
        <v>0</v>
      </c>
      <c r="E65" s="5">
        <f t="shared" si="227"/>
        <v>0</v>
      </c>
      <c r="F65" s="5">
        <f t="shared" si="227"/>
        <v>0</v>
      </c>
      <c r="G65" s="5">
        <f t="shared" si="227"/>
        <v>0</v>
      </c>
      <c r="H65" s="5">
        <f t="shared" si="227"/>
        <v>0</v>
      </c>
      <c r="I65" s="5">
        <f t="shared" si="227"/>
        <v>0</v>
      </c>
      <c r="J65" s="5">
        <f t="shared" si="227"/>
        <v>-4.0628703807169767E-3</v>
      </c>
      <c r="K65" s="5">
        <f t="shared" si="227"/>
        <v>-1.234607982803302E-2</v>
      </c>
      <c r="L65" s="5">
        <f t="shared" si="227"/>
        <v>-2.0263912677390115E-2</v>
      </c>
      <c r="M65" s="5">
        <f t="shared" si="227"/>
        <v>-2.9832850242054152E-2</v>
      </c>
      <c r="N65" s="5">
        <f t="shared" si="227"/>
        <v>-3.7757596648738054E-2</v>
      </c>
      <c r="O65" s="5">
        <f t="shared" si="227"/>
        <v>-4.8279169720129578E-2</v>
      </c>
      <c r="P65" s="383">
        <f t="shared" si="208"/>
        <v>-0.1525424794970619</v>
      </c>
      <c r="Q65" s="5">
        <f t="shared" ref="Q65:AB65" si="228">AVERAGE(P18:Q18)*Q52/365*Q1</f>
        <v>-0.1012335641695262</v>
      </c>
      <c r="R65" s="5">
        <f t="shared" si="228"/>
        <v>-0.15590891449141905</v>
      </c>
      <c r="S65" s="5">
        <f t="shared" si="228"/>
        <v>-0.2197450396080709</v>
      </c>
      <c r="T65" s="5">
        <f t="shared" si="228"/>
        <v>-0.26032743691760984</v>
      </c>
      <c r="U65" s="5">
        <f t="shared" si="228"/>
        <v>-0.32032762979313145</v>
      </c>
      <c r="V65" s="5">
        <f t="shared" si="228"/>
        <v>-0.36159149379947925</v>
      </c>
      <c r="W65" s="5">
        <f t="shared" si="228"/>
        <v>-0.42888500118759221</v>
      </c>
      <c r="X65" s="5">
        <f t="shared" si="228"/>
        <v>-0.48597597833135486</v>
      </c>
      <c r="Y65" s="5">
        <f t="shared" si="228"/>
        <v>-0.52726679104438656</v>
      </c>
      <c r="Z65" s="5">
        <f t="shared" si="228"/>
        <v>-0.60540706377372688</v>
      </c>
      <c r="AA65" s="5">
        <f t="shared" si="228"/>
        <v>-0.64605610189107077</v>
      </c>
      <c r="AB65" s="5">
        <f t="shared" si="228"/>
        <v>-0.72983685315391522</v>
      </c>
      <c r="AC65" s="383">
        <f t="shared" si="210"/>
        <v>-4.8425618681612832</v>
      </c>
      <c r="AD65" s="5">
        <f t="shared" ref="AD65:AO65" si="229">AVERAGE(AC18:AD18)*AD52/365*AD1</f>
        <v>-1.1993101325418307</v>
      </c>
      <c r="AE65" s="5">
        <f t="shared" si="229"/>
        <v>-1.5348186674430719</v>
      </c>
      <c r="AF65" s="5">
        <f t="shared" si="229"/>
        <v>-1.8244643458362293</v>
      </c>
      <c r="AG65" s="5">
        <f t="shared" si="229"/>
        <v>-1.8919467329720812</v>
      </c>
      <c r="AH65" s="5">
        <f t="shared" si="229"/>
        <v>-2.0907013234936414</v>
      </c>
      <c r="AI65" s="5">
        <f t="shared" si="229"/>
        <v>-2.1593462910277217</v>
      </c>
      <c r="AJ65" s="5">
        <f t="shared" si="229"/>
        <v>-2.37666779021075</v>
      </c>
      <c r="AK65" s="5">
        <f t="shared" si="229"/>
        <v>-2.5265138938705389</v>
      </c>
      <c r="AL65" s="5">
        <f t="shared" si="229"/>
        <v>-2.594169748716519</v>
      </c>
      <c r="AM65" s="5">
        <f t="shared" si="229"/>
        <v>-2.8388286454950351</v>
      </c>
      <c r="AN65" s="5">
        <f t="shared" si="229"/>
        <v>-2.9040459414440472</v>
      </c>
      <c r="AO65" s="5">
        <f t="shared" si="229"/>
        <v>-3.1619407693748269</v>
      </c>
      <c r="AP65" s="383">
        <f t="shared" si="212"/>
        <v>-27.102754282426293</v>
      </c>
      <c r="AQ65" s="5">
        <f t="shared" ref="AQ65:BB65" si="230">AVERAGE(AP18:AQ18)*AQ52/365*AQ1</f>
        <v>-4.5372812810805989</v>
      </c>
      <c r="AR65" s="5">
        <f t="shared" si="230"/>
        <v>-5.3462992642069569</v>
      </c>
      <c r="AS65" s="5">
        <f t="shared" si="230"/>
        <v>-6.0951115463722001</v>
      </c>
      <c r="AT65" s="5">
        <f t="shared" si="230"/>
        <v>-6.0777244402515578</v>
      </c>
      <c r="AU65" s="5">
        <f t="shared" si="230"/>
        <v>-6.4743611281538449</v>
      </c>
      <c r="AV65" s="5">
        <f t="shared" si="230"/>
        <v>-6.4614930122215766</v>
      </c>
      <c r="AW65" s="5">
        <f t="shared" si="230"/>
        <v>-6.8874820062895434</v>
      </c>
      <c r="AX65" s="5">
        <f t="shared" si="230"/>
        <v>-7.1057963189918043</v>
      </c>
      <c r="AY65" s="5">
        <f t="shared" si="230"/>
        <v>-7.0949352835755031</v>
      </c>
      <c r="AZ65" s="5">
        <f t="shared" si="230"/>
        <v>-7.5640039145130986</v>
      </c>
      <c r="BA65" s="5">
        <f t="shared" si="230"/>
        <v>-7.5514049160928485</v>
      </c>
      <c r="BB65" s="5">
        <f t="shared" si="230"/>
        <v>-8.039455406562789</v>
      </c>
      <c r="BC65" s="383">
        <f t="shared" si="214"/>
        <v>-79.235348518312335</v>
      </c>
      <c r="BD65" s="5">
        <f t="shared" ref="BD65:BO65" si="231">AVERAGE(BC18:BD18)*BD52/365*BD1</f>
        <v>-9.9763104774118485</v>
      </c>
      <c r="BE65" s="5">
        <f t="shared" si="231"/>
        <v>-10.730547909481883</v>
      </c>
      <c r="BF65" s="5">
        <f t="shared" si="231"/>
        <v>-12.052558248803319</v>
      </c>
      <c r="BG65" s="5">
        <f t="shared" si="231"/>
        <v>-11.845248730719463</v>
      </c>
      <c r="BH65" s="5">
        <f t="shared" si="231"/>
        <v>-12.44226632916239</v>
      </c>
      <c r="BI65" s="5">
        <f t="shared" si="231"/>
        <v>-12.250160967553018</v>
      </c>
      <c r="BJ65" s="5">
        <f t="shared" si="231"/>
        <v>-12.888198172911116</v>
      </c>
      <c r="BK65" s="5">
        <f t="shared" si="231"/>
        <v>-13.130765298453971</v>
      </c>
      <c r="BL65" s="5">
        <f t="shared" si="231"/>
        <v>-12.953807851542614</v>
      </c>
      <c r="BM65" s="5">
        <f t="shared" si="231"/>
        <v>-13.652105256394245</v>
      </c>
      <c r="BN65" s="5">
        <f t="shared" si="231"/>
        <v>-13.48033050388341</v>
      </c>
      <c r="BO65" s="5">
        <f t="shared" si="231"/>
        <v>-14.203129112620514</v>
      </c>
      <c r="BP65" s="383">
        <f t="shared" si="216"/>
        <v>-149.60542885893778</v>
      </c>
      <c r="CF65" s="297" t="s">
        <v>869</v>
      </c>
      <c r="CG65" s="12" t="s">
        <v>965</v>
      </c>
    </row>
    <row r="66" spans="1:85" s="63" customFormat="1">
      <c r="A66" s="298" t="s">
        <v>516</v>
      </c>
      <c r="B66" s="12" t="s">
        <v>502</v>
      </c>
      <c r="C66" s="299"/>
      <c r="D66" s="63">
        <f t="shared" ref="D66:O66" si="232">D59+D62</f>
        <v>0</v>
      </c>
      <c r="E66" s="63">
        <f t="shared" si="232"/>
        <v>0</v>
      </c>
      <c r="F66" s="63">
        <f t="shared" si="232"/>
        <v>0</v>
      </c>
      <c r="G66" s="63">
        <f t="shared" si="232"/>
        <v>0</v>
      </c>
      <c r="H66" s="63">
        <f t="shared" si="232"/>
        <v>0</v>
      </c>
      <c r="I66" s="63">
        <f t="shared" si="232"/>
        <v>0</v>
      </c>
      <c r="J66" s="63">
        <f t="shared" si="232"/>
        <v>0.15010855031613254</v>
      </c>
      <c r="K66" s="63">
        <f t="shared" si="232"/>
        <v>0.45614355650357702</v>
      </c>
      <c r="L66" s="63">
        <f t="shared" si="232"/>
        <v>0.74867920231285978</v>
      </c>
      <c r="M66" s="63">
        <f t="shared" si="232"/>
        <v>1.1022172705501792</v>
      </c>
      <c r="N66" s="63">
        <f t="shared" si="232"/>
        <v>1.3950083476114117</v>
      </c>
      <c r="O66" s="63">
        <f t="shared" si="232"/>
        <v>1.7837428955526446</v>
      </c>
      <c r="P66" s="419">
        <f t="shared" si="208"/>
        <v>5.6358998228468051</v>
      </c>
      <c r="Q66" s="63">
        <f t="shared" ref="Q66:AB66" si="233">Q59+Q62</f>
        <v>3.3877089152445015</v>
      </c>
      <c r="R66" s="63">
        <f t="shared" si="233"/>
        <v>5.2173804599449882</v>
      </c>
      <c r="S66" s="63">
        <f t="shared" si="233"/>
        <v>7.3536107897415173</v>
      </c>
      <c r="T66" s="63">
        <f t="shared" si="233"/>
        <v>8.7116717282785849</v>
      </c>
      <c r="U66" s="63">
        <f t="shared" si="233"/>
        <v>10.71953532557729</v>
      </c>
      <c r="V66" s="63">
        <f t="shared" si="233"/>
        <v>12.100401060361145</v>
      </c>
      <c r="W66" s="63">
        <f t="shared" si="233"/>
        <v>14.352330218313353</v>
      </c>
      <c r="X66" s="63">
        <f t="shared" si="233"/>
        <v>16.262838989159977</v>
      </c>
      <c r="Y66" s="63">
        <f t="shared" si="233"/>
        <v>17.644606543163942</v>
      </c>
      <c r="Z66" s="63">
        <f t="shared" si="233"/>
        <v>20.259514955570797</v>
      </c>
      <c r="AA66" s="63">
        <f t="shared" si="233"/>
        <v>21.619805981140473</v>
      </c>
      <c r="AB66" s="63">
        <f t="shared" si="233"/>
        <v>24.423468978757807</v>
      </c>
      <c r="AC66" s="419">
        <f t="shared" si="210"/>
        <v>162.05287394525436</v>
      </c>
      <c r="AD66" s="63">
        <f t="shared" ref="AD66:AO66" si="234">AD59+AD62</f>
        <v>35.957887723888106</v>
      </c>
      <c r="AE66" s="63">
        <f t="shared" si="234"/>
        <v>46.017152547087818</v>
      </c>
      <c r="AF66" s="63">
        <f t="shared" si="234"/>
        <v>54.701350654625536</v>
      </c>
      <c r="AG66" s="63">
        <f t="shared" si="234"/>
        <v>56.724617226073647</v>
      </c>
      <c r="AH66" s="63">
        <f t="shared" si="234"/>
        <v>62.683705752604006</v>
      </c>
      <c r="AI66" s="63">
        <f t="shared" si="234"/>
        <v>64.741828975634746</v>
      </c>
      <c r="AJ66" s="63">
        <f t="shared" si="234"/>
        <v>71.257593210068734</v>
      </c>
      <c r="AK66" s="63">
        <f t="shared" si="234"/>
        <v>75.750300496582767</v>
      </c>
      <c r="AL66" s="63">
        <f t="shared" si="234"/>
        <v>77.77876800169706</v>
      </c>
      <c r="AM66" s="63">
        <f t="shared" si="234"/>
        <v>85.114165996181512</v>
      </c>
      <c r="AN66" s="63">
        <f t="shared" si="234"/>
        <v>87.069520280081363</v>
      </c>
      <c r="AO66" s="63">
        <f t="shared" si="234"/>
        <v>94.801759853220275</v>
      </c>
      <c r="AP66" s="419">
        <f t="shared" si="212"/>
        <v>812.59865071774561</v>
      </c>
      <c r="AQ66" s="63">
        <f t="shared" ref="AQ66:BB66" si="235">AQ59+AQ62</f>
        <v>120.23795394863592</v>
      </c>
      <c r="AR66" s="63">
        <f t="shared" si="235"/>
        <v>141.67693050148438</v>
      </c>
      <c r="AS66" s="63">
        <f t="shared" si="235"/>
        <v>161.52045597886334</v>
      </c>
      <c r="AT66" s="63">
        <f t="shared" si="235"/>
        <v>161.0596976666663</v>
      </c>
      <c r="AU66" s="63">
        <f t="shared" si="235"/>
        <v>171.5705698960769</v>
      </c>
      <c r="AV66" s="63">
        <f t="shared" si="235"/>
        <v>171.22956482387181</v>
      </c>
      <c r="AW66" s="63">
        <f t="shared" si="235"/>
        <v>182.51827316667294</v>
      </c>
      <c r="AX66" s="63">
        <f t="shared" si="235"/>
        <v>188.30360245328285</v>
      </c>
      <c r="AY66" s="63">
        <f t="shared" si="235"/>
        <v>188.01578501475089</v>
      </c>
      <c r="AZ66" s="63">
        <f t="shared" si="235"/>
        <v>200.44610373459716</v>
      </c>
      <c r="BA66" s="63">
        <f t="shared" si="235"/>
        <v>200.11223027646048</v>
      </c>
      <c r="BB66" s="63">
        <f t="shared" si="235"/>
        <v>213.04556827391397</v>
      </c>
      <c r="BC66" s="419">
        <f t="shared" si="214"/>
        <v>2099.7367357352769</v>
      </c>
      <c r="BD66" s="63">
        <f t="shared" ref="BD66:BO66" si="236">BD59+BD62</f>
        <v>229.63328938185492</v>
      </c>
      <c r="BE66" s="63">
        <f t="shared" si="236"/>
        <v>246.99421884503838</v>
      </c>
      <c r="BF66" s="63">
        <f t="shared" si="236"/>
        <v>277.42406397691929</v>
      </c>
      <c r="BG66" s="63">
        <f t="shared" si="236"/>
        <v>272.65224310531062</v>
      </c>
      <c r="BH66" s="63">
        <f t="shared" si="236"/>
        <v>286.39430889804152</v>
      </c>
      <c r="BI66" s="63">
        <f t="shared" si="236"/>
        <v>281.9724551281401</v>
      </c>
      <c r="BJ66" s="63">
        <f t="shared" si="236"/>
        <v>296.65870437290056</v>
      </c>
      <c r="BK66" s="63">
        <f t="shared" si="236"/>
        <v>302.24207981619952</v>
      </c>
      <c r="BL66" s="63">
        <f t="shared" si="236"/>
        <v>298.16889858282923</v>
      </c>
      <c r="BM66" s="63">
        <f t="shared" si="236"/>
        <v>314.24220849093194</v>
      </c>
      <c r="BN66" s="63">
        <f t="shared" si="236"/>
        <v>310.28832177688787</v>
      </c>
      <c r="BO66" s="63">
        <f t="shared" si="236"/>
        <v>326.92559689585443</v>
      </c>
      <c r="BP66" s="419">
        <f t="shared" si="216"/>
        <v>3443.5963892709083</v>
      </c>
      <c r="CF66" s="298" t="s">
        <v>868</v>
      </c>
      <c r="CG66" s="12" t="s">
        <v>965</v>
      </c>
    </row>
    <row r="67" spans="1:85" s="3" customFormat="1">
      <c r="A67" s="296" t="s">
        <v>517</v>
      </c>
      <c r="B67" s="12" t="s">
        <v>502</v>
      </c>
      <c r="C67" s="5"/>
      <c r="P67" s="397">
        <f t="shared" si="208"/>
        <v>0</v>
      </c>
      <c r="AC67" s="397">
        <f t="shared" si="210"/>
        <v>0</v>
      </c>
      <c r="AP67" s="397">
        <f t="shared" si="212"/>
        <v>0</v>
      </c>
      <c r="BC67" s="397">
        <f t="shared" si="214"/>
        <v>0</v>
      </c>
      <c r="BP67" s="397">
        <f t="shared" si="216"/>
        <v>0</v>
      </c>
      <c r="CF67" s="296" t="s">
        <v>873</v>
      </c>
      <c r="CG67" s="12" t="s">
        <v>965</v>
      </c>
    </row>
    <row r="68" spans="1:85" s="63" customFormat="1">
      <c r="A68" s="298" t="s">
        <v>518</v>
      </c>
      <c r="B68" s="12" t="s">
        <v>502</v>
      </c>
      <c r="C68" s="299"/>
      <c r="D68" s="63">
        <f t="shared" ref="D68:O68" si="237">D66+D67</f>
        <v>0</v>
      </c>
      <c r="E68" s="63">
        <f t="shared" si="237"/>
        <v>0</v>
      </c>
      <c r="F68" s="63">
        <f t="shared" si="237"/>
        <v>0</v>
      </c>
      <c r="G68" s="63">
        <f t="shared" si="237"/>
        <v>0</v>
      </c>
      <c r="H68" s="63">
        <f t="shared" si="237"/>
        <v>0</v>
      </c>
      <c r="I68" s="63">
        <f t="shared" si="237"/>
        <v>0</v>
      </c>
      <c r="J68" s="63">
        <f t="shared" si="237"/>
        <v>0.15010855031613254</v>
      </c>
      <c r="K68" s="63">
        <f t="shared" si="237"/>
        <v>0.45614355650357702</v>
      </c>
      <c r="L68" s="63">
        <f t="shared" si="237"/>
        <v>0.74867920231285978</v>
      </c>
      <c r="M68" s="63">
        <f t="shared" si="237"/>
        <v>1.1022172705501792</v>
      </c>
      <c r="N68" s="63">
        <f t="shared" si="237"/>
        <v>1.3950083476114117</v>
      </c>
      <c r="O68" s="63">
        <f t="shared" si="237"/>
        <v>1.7837428955526446</v>
      </c>
      <c r="P68" s="419">
        <f t="shared" si="208"/>
        <v>5.6358998228468051</v>
      </c>
      <c r="Q68" s="63">
        <f t="shared" ref="Q68:AB68" si="238">Q66+Q67</f>
        <v>3.3877089152445015</v>
      </c>
      <c r="R68" s="63">
        <f t="shared" si="238"/>
        <v>5.2173804599449882</v>
      </c>
      <c r="S68" s="63">
        <f t="shared" si="238"/>
        <v>7.3536107897415173</v>
      </c>
      <c r="T68" s="63">
        <f t="shared" si="238"/>
        <v>8.7116717282785849</v>
      </c>
      <c r="U68" s="63">
        <f t="shared" si="238"/>
        <v>10.71953532557729</v>
      </c>
      <c r="V68" s="63">
        <f t="shared" si="238"/>
        <v>12.100401060361145</v>
      </c>
      <c r="W68" s="63">
        <f t="shared" si="238"/>
        <v>14.352330218313353</v>
      </c>
      <c r="X68" s="63">
        <f t="shared" si="238"/>
        <v>16.262838989159977</v>
      </c>
      <c r="Y68" s="63">
        <f t="shared" si="238"/>
        <v>17.644606543163942</v>
      </c>
      <c r="Z68" s="63">
        <f t="shared" si="238"/>
        <v>20.259514955570797</v>
      </c>
      <c r="AA68" s="63">
        <f t="shared" si="238"/>
        <v>21.619805981140473</v>
      </c>
      <c r="AB68" s="63">
        <f t="shared" si="238"/>
        <v>24.423468978757807</v>
      </c>
      <c r="AC68" s="419">
        <f t="shared" si="210"/>
        <v>162.05287394525436</v>
      </c>
      <c r="AD68" s="63">
        <f t="shared" ref="AD68:AO68" si="239">AD66+AD67</f>
        <v>35.957887723888106</v>
      </c>
      <c r="AE68" s="63">
        <f t="shared" si="239"/>
        <v>46.017152547087818</v>
      </c>
      <c r="AF68" s="63">
        <f t="shared" si="239"/>
        <v>54.701350654625536</v>
      </c>
      <c r="AG68" s="63">
        <f t="shared" si="239"/>
        <v>56.724617226073647</v>
      </c>
      <c r="AH68" s="63">
        <f t="shared" si="239"/>
        <v>62.683705752604006</v>
      </c>
      <c r="AI68" s="63">
        <f t="shared" si="239"/>
        <v>64.741828975634746</v>
      </c>
      <c r="AJ68" s="63">
        <f t="shared" si="239"/>
        <v>71.257593210068734</v>
      </c>
      <c r="AK68" s="63">
        <f t="shared" si="239"/>
        <v>75.750300496582767</v>
      </c>
      <c r="AL68" s="63">
        <f t="shared" si="239"/>
        <v>77.77876800169706</v>
      </c>
      <c r="AM68" s="63">
        <f t="shared" si="239"/>
        <v>85.114165996181512</v>
      </c>
      <c r="AN68" s="63">
        <f t="shared" si="239"/>
        <v>87.069520280081363</v>
      </c>
      <c r="AO68" s="63">
        <f t="shared" si="239"/>
        <v>94.801759853220275</v>
      </c>
      <c r="AP68" s="419">
        <f t="shared" si="212"/>
        <v>812.59865071774561</v>
      </c>
      <c r="AQ68" s="63">
        <f t="shared" ref="AQ68:BB68" si="240">AQ66+AQ67</f>
        <v>120.23795394863592</v>
      </c>
      <c r="AR68" s="63">
        <f t="shared" si="240"/>
        <v>141.67693050148438</v>
      </c>
      <c r="AS68" s="63">
        <f t="shared" si="240"/>
        <v>161.52045597886334</v>
      </c>
      <c r="AT68" s="63">
        <f t="shared" si="240"/>
        <v>161.0596976666663</v>
      </c>
      <c r="AU68" s="63">
        <f t="shared" si="240"/>
        <v>171.5705698960769</v>
      </c>
      <c r="AV68" s="63">
        <f t="shared" si="240"/>
        <v>171.22956482387181</v>
      </c>
      <c r="AW68" s="63">
        <f t="shared" si="240"/>
        <v>182.51827316667294</v>
      </c>
      <c r="AX68" s="63">
        <f t="shared" si="240"/>
        <v>188.30360245328285</v>
      </c>
      <c r="AY68" s="63">
        <f t="shared" si="240"/>
        <v>188.01578501475089</v>
      </c>
      <c r="AZ68" s="63">
        <f t="shared" si="240"/>
        <v>200.44610373459716</v>
      </c>
      <c r="BA68" s="63">
        <f t="shared" si="240"/>
        <v>200.11223027646048</v>
      </c>
      <c r="BB68" s="63">
        <f t="shared" si="240"/>
        <v>213.04556827391397</v>
      </c>
      <c r="BC68" s="419">
        <f t="shared" si="214"/>
        <v>2099.7367357352769</v>
      </c>
      <c r="BD68" s="63">
        <f t="shared" ref="BD68:BO68" si="241">BD66+BD67</f>
        <v>229.63328938185492</v>
      </c>
      <c r="BE68" s="63">
        <f t="shared" si="241"/>
        <v>246.99421884503838</v>
      </c>
      <c r="BF68" s="63">
        <f t="shared" si="241"/>
        <v>277.42406397691929</v>
      </c>
      <c r="BG68" s="63">
        <f t="shared" si="241"/>
        <v>272.65224310531062</v>
      </c>
      <c r="BH68" s="63">
        <f t="shared" si="241"/>
        <v>286.39430889804152</v>
      </c>
      <c r="BI68" s="63">
        <f t="shared" si="241"/>
        <v>281.9724551281401</v>
      </c>
      <c r="BJ68" s="63">
        <f t="shared" si="241"/>
        <v>296.65870437290056</v>
      </c>
      <c r="BK68" s="63">
        <f t="shared" si="241"/>
        <v>302.24207981619952</v>
      </c>
      <c r="BL68" s="63">
        <f t="shared" si="241"/>
        <v>298.16889858282923</v>
      </c>
      <c r="BM68" s="63">
        <f t="shared" si="241"/>
        <v>314.24220849093194</v>
      </c>
      <c r="BN68" s="63">
        <f t="shared" si="241"/>
        <v>310.28832177688787</v>
      </c>
      <c r="BO68" s="63">
        <f t="shared" si="241"/>
        <v>326.92559689585443</v>
      </c>
      <c r="BP68" s="419">
        <f t="shared" si="216"/>
        <v>3443.5963892709083</v>
      </c>
      <c r="CF68" s="298" t="s">
        <v>872</v>
      </c>
      <c r="CG68" s="12" t="s">
        <v>965</v>
      </c>
    </row>
    <row r="69" spans="1:85" s="3" customFormat="1">
      <c r="A69" s="296" t="s">
        <v>471</v>
      </c>
      <c r="B69" s="12" t="s">
        <v>502</v>
      </c>
      <c r="C69" s="5"/>
      <c r="D69" s="3">
        <f t="shared" ref="D69:O69" si="242">D70+D71+D72</f>
        <v>0</v>
      </c>
      <c r="E69" s="3">
        <f t="shared" si="242"/>
        <v>0</v>
      </c>
      <c r="F69" s="3">
        <f t="shared" si="242"/>
        <v>0</v>
      </c>
      <c r="G69" s="3">
        <f t="shared" si="242"/>
        <v>0</v>
      </c>
      <c r="H69" s="3">
        <f t="shared" si="242"/>
        <v>0</v>
      </c>
      <c r="I69" s="3">
        <f t="shared" si="242"/>
        <v>0</v>
      </c>
      <c r="J69" s="3">
        <f t="shared" si="242"/>
        <v>7.3067634517873081</v>
      </c>
      <c r="K69" s="3">
        <f t="shared" si="242"/>
        <v>14.896722361708129</v>
      </c>
      <c r="L69" s="3">
        <f t="shared" si="242"/>
        <v>22.76115398902002</v>
      </c>
      <c r="M69" s="3">
        <f t="shared" si="242"/>
        <v>30.890958774867396</v>
      </c>
      <c r="N69" s="3">
        <f t="shared" si="242"/>
        <v>39.276680048671736</v>
      </c>
      <c r="O69" s="3">
        <f t="shared" si="242"/>
        <v>47.54973569620536</v>
      </c>
      <c r="P69" s="397">
        <f t="shared" si="208"/>
        <v>162.68201432225993</v>
      </c>
      <c r="Q69" s="3">
        <f t="shared" ref="Q69:AB69" si="243">Q70+Q71+Q72</f>
        <v>63.892787690356386</v>
      </c>
      <c r="R69" s="3">
        <f t="shared" si="243"/>
        <v>83.562482957634941</v>
      </c>
      <c r="S69" s="3">
        <f t="shared" si="243"/>
        <v>104.1550209225453</v>
      </c>
      <c r="T69" s="3">
        <f t="shared" si="243"/>
        <v>125.64288772689027</v>
      </c>
      <c r="U69" s="3">
        <f t="shared" si="243"/>
        <v>147.99743287315005</v>
      </c>
      <c r="V69" s="3">
        <f t="shared" si="243"/>
        <v>171.18893505027208</v>
      </c>
      <c r="W69" s="3">
        <f t="shared" si="243"/>
        <v>195.18667014280152</v>
      </c>
      <c r="X69" s="3">
        <f t="shared" si="243"/>
        <v>219.9589812029495</v>
      </c>
      <c r="Y69" s="3">
        <f t="shared" si="243"/>
        <v>245.47335015997962</v>
      </c>
      <c r="Z69" s="3">
        <f t="shared" si="243"/>
        <v>271.69647103701755</v>
      </c>
      <c r="AA69" s="3">
        <f t="shared" si="243"/>
        <v>298.59432444206624</v>
      </c>
      <c r="AB69" s="3">
        <f t="shared" si="243"/>
        <v>324.86981635570714</v>
      </c>
      <c r="AC69" s="397">
        <f t="shared" si="210"/>
        <v>2252.2191605613707</v>
      </c>
      <c r="AD69" s="3">
        <f t="shared" ref="AD69:AO69" si="244">AD70+AD71+AD72</f>
        <v>332.33019814028165</v>
      </c>
      <c r="AE69" s="3">
        <f t="shared" si="244"/>
        <v>357.1789540611162</v>
      </c>
      <c r="AF69" s="3">
        <f t="shared" si="244"/>
        <v>383.13286106136428</v>
      </c>
      <c r="AG69" s="3">
        <f t="shared" si="244"/>
        <v>410.15104569445356</v>
      </c>
      <c r="AH69" s="3">
        <f t="shared" si="244"/>
        <v>438.19158988889114</v>
      </c>
      <c r="AI69" s="3">
        <f t="shared" si="244"/>
        <v>467.21162888684296</v>
      </c>
      <c r="AJ69" s="3">
        <f t="shared" si="244"/>
        <v>497.16745022725866</v>
      </c>
      <c r="AK69" s="3">
        <f t="shared" si="244"/>
        <v>528.0145934624893</v>
      </c>
      <c r="AL69" s="3">
        <f t="shared" si="244"/>
        <v>559.70795029898272</v>
      </c>
      <c r="AM69" s="3">
        <f t="shared" si="244"/>
        <v>592.20186485548186</v>
      </c>
      <c r="AN69" s="3">
        <f t="shared" si="244"/>
        <v>625.4502337361896</v>
      </c>
      <c r="AO69" s="3">
        <f t="shared" si="244"/>
        <v>657.56859621674766</v>
      </c>
      <c r="AP69" s="397">
        <f t="shared" si="212"/>
        <v>5848.3069665301009</v>
      </c>
      <c r="AQ69" s="3">
        <f t="shared" ref="AQ69:BB69" si="245">AQ70+AQ71+AQ72</f>
        <v>642.48301159940422</v>
      </c>
      <c r="AR69" s="3">
        <f t="shared" si="245"/>
        <v>661.34943405864749</v>
      </c>
      <c r="AS69" s="3">
        <f t="shared" si="245"/>
        <v>681.25016939313139</v>
      </c>
      <c r="AT69" s="3">
        <f t="shared" si="245"/>
        <v>702.1451477664541</v>
      </c>
      <c r="AU69" s="3">
        <f t="shared" si="245"/>
        <v>723.99358933946576</v>
      </c>
      <c r="AV69" s="3">
        <f t="shared" si="245"/>
        <v>746.75409967499979</v>
      </c>
      <c r="AW69" s="3">
        <f t="shared" si="245"/>
        <v>770.38476481870725</v>
      </c>
      <c r="AX69" s="3">
        <f t="shared" si="245"/>
        <v>794.843245777069</v>
      </c>
      <c r="AY69" s="3">
        <f t="shared" si="245"/>
        <v>820.08687212120435</v>
      </c>
      <c r="AZ69" s="3">
        <f t="shared" si="245"/>
        <v>846.07273445358953</v>
      </c>
      <c r="BA69" s="3">
        <f t="shared" si="245"/>
        <v>872.75777548416147</v>
      </c>
      <c r="BB69" s="3">
        <f t="shared" si="245"/>
        <v>898.13182328682251</v>
      </c>
      <c r="BC69" s="397">
        <f t="shared" si="214"/>
        <v>9160.2526677736569</v>
      </c>
      <c r="BD69" s="3">
        <f t="shared" ref="BD69:BO69" si="246">BD70+BD71+BD72</f>
        <v>864.09978908379458</v>
      </c>
      <c r="BE69" s="3">
        <f t="shared" si="246"/>
        <v>876.15189319592571</v>
      </c>
      <c r="BF69" s="3">
        <f t="shared" si="246"/>
        <v>889.34005367599173</v>
      </c>
      <c r="BG69" s="3">
        <f t="shared" si="246"/>
        <v>903.62211292613085</v>
      </c>
      <c r="BH69" s="3">
        <f t="shared" si="246"/>
        <v>918.95534751907053</v>
      </c>
      <c r="BI69" s="3">
        <f t="shared" si="246"/>
        <v>935.29656807363369</v>
      </c>
      <c r="BJ69" s="3">
        <f t="shared" si="246"/>
        <v>952.60221774830188</v>
      </c>
      <c r="BK69" s="3">
        <f t="shared" si="246"/>
        <v>970.82846909259786</v>
      </c>
      <c r="BL69" s="3">
        <f t="shared" si="246"/>
        <v>989.93131900842752</v>
      </c>
      <c r="BM69" s="3">
        <f t="shared" si="246"/>
        <v>1009.8666815865863</v>
      </c>
      <c r="BN69" s="3">
        <f t="shared" si="246"/>
        <v>1030.5904785972884</v>
      </c>
      <c r="BO69" s="3">
        <f t="shared" si="246"/>
        <v>1049.9230149760212</v>
      </c>
      <c r="BP69" s="397">
        <f t="shared" si="216"/>
        <v>11391.207945483768</v>
      </c>
      <c r="CF69" s="296" t="s">
        <v>863</v>
      </c>
      <c r="CG69" s="12" t="s">
        <v>965</v>
      </c>
    </row>
    <row r="70" spans="1:85" s="5" customFormat="1" outlineLevel="1">
      <c r="A70" s="297" t="s">
        <v>519</v>
      </c>
      <c r="B70" s="12" t="s">
        <v>502</v>
      </c>
      <c r="P70" s="383">
        <f t="shared" si="208"/>
        <v>0</v>
      </c>
      <c r="AC70" s="383">
        <f t="shared" si="210"/>
        <v>0</v>
      </c>
      <c r="AP70" s="383">
        <f t="shared" si="212"/>
        <v>0</v>
      </c>
      <c r="BC70" s="383">
        <f t="shared" si="214"/>
        <v>0</v>
      </c>
      <c r="BP70" s="383">
        <f t="shared" si="216"/>
        <v>0</v>
      </c>
      <c r="CF70" s="297" t="s">
        <v>1031</v>
      </c>
      <c r="CG70" s="12" t="s">
        <v>965</v>
      </c>
    </row>
    <row r="71" spans="1:85" s="5" customFormat="1" outlineLevel="1">
      <c r="A71" s="297" t="s">
        <v>520</v>
      </c>
      <c r="B71" s="12" t="s">
        <v>502</v>
      </c>
      <c r="D71" s="5">
        <f t="shared" ref="D71:O71" si="247">D26*D53</f>
        <v>0</v>
      </c>
      <c r="E71" s="5">
        <f t="shared" si="247"/>
        <v>0</v>
      </c>
      <c r="F71" s="5">
        <f t="shared" si="247"/>
        <v>0</v>
      </c>
      <c r="G71" s="5">
        <f t="shared" si="247"/>
        <v>0</v>
      </c>
      <c r="H71" s="5">
        <f t="shared" si="247"/>
        <v>0</v>
      </c>
      <c r="I71" s="5">
        <f t="shared" si="247"/>
        <v>0</v>
      </c>
      <c r="J71" s="5">
        <f t="shared" si="247"/>
        <v>7.3067634517873081</v>
      </c>
      <c r="K71" s="5">
        <f t="shared" si="247"/>
        <v>14.896722361708129</v>
      </c>
      <c r="L71" s="5">
        <f t="shared" si="247"/>
        <v>22.76115398902002</v>
      </c>
      <c r="M71" s="5">
        <f t="shared" si="247"/>
        <v>30.890958774867396</v>
      </c>
      <c r="N71" s="5">
        <f t="shared" si="247"/>
        <v>39.276680048671736</v>
      </c>
      <c r="O71" s="5">
        <f t="shared" si="247"/>
        <v>47.54973569620536</v>
      </c>
      <c r="P71" s="383">
        <f t="shared" si="208"/>
        <v>162.68201432225993</v>
      </c>
      <c r="Q71" s="5">
        <f t="shared" ref="Q71:AB71" si="248">Q26*Q53</f>
        <v>63.892787690356386</v>
      </c>
      <c r="R71" s="5">
        <f t="shared" si="248"/>
        <v>83.562482957634941</v>
      </c>
      <c r="S71" s="5">
        <f t="shared" si="248"/>
        <v>104.1550209225453</v>
      </c>
      <c r="T71" s="5">
        <f t="shared" si="248"/>
        <v>125.64288772689027</v>
      </c>
      <c r="U71" s="5">
        <f t="shared" si="248"/>
        <v>147.99743287315005</v>
      </c>
      <c r="V71" s="5">
        <f t="shared" si="248"/>
        <v>171.18893505027208</v>
      </c>
      <c r="W71" s="5">
        <f t="shared" si="248"/>
        <v>195.18667014280152</v>
      </c>
      <c r="X71" s="5">
        <f t="shared" si="248"/>
        <v>219.9589812029495</v>
      </c>
      <c r="Y71" s="5">
        <f t="shared" si="248"/>
        <v>245.47335015997962</v>
      </c>
      <c r="Z71" s="5">
        <f t="shared" si="248"/>
        <v>271.69647103701755</v>
      </c>
      <c r="AA71" s="5">
        <f t="shared" si="248"/>
        <v>298.59432444206624</v>
      </c>
      <c r="AB71" s="5">
        <f t="shared" si="248"/>
        <v>324.86981635570714</v>
      </c>
      <c r="AC71" s="383">
        <f t="shared" si="210"/>
        <v>2252.2191605613707</v>
      </c>
      <c r="AD71" s="5">
        <f t="shared" ref="AD71:AO71" si="249">AD26*AD53</f>
        <v>332.33019814028165</v>
      </c>
      <c r="AE71" s="5">
        <f t="shared" si="249"/>
        <v>357.1789540611162</v>
      </c>
      <c r="AF71" s="5">
        <f t="shared" si="249"/>
        <v>383.13286106136428</v>
      </c>
      <c r="AG71" s="5">
        <f t="shared" si="249"/>
        <v>410.15104569445356</v>
      </c>
      <c r="AH71" s="5">
        <f t="shared" si="249"/>
        <v>438.19158988889114</v>
      </c>
      <c r="AI71" s="5">
        <f t="shared" si="249"/>
        <v>467.21162888684296</v>
      </c>
      <c r="AJ71" s="5">
        <f t="shared" si="249"/>
        <v>497.16745022725866</v>
      </c>
      <c r="AK71" s="5">
        <f t="shared" si="249"/>
        <v>528.0145934624893</v>
      </c>
      <c r="AL71" s="5">
        <f t="shared" si="249"/>
        <v>559.70795029898272</v>
      </c>
      <c r="AM71" s="5">
        <f t="shared" si="249"/>
        <v>592.20186485548186</v>
      </c>
      <c r="AN71" s="5">
        <f t="shared" si="249"/>
        <v>625.4502337361896</v>
      </c>
      <c r="AO71" s="5">
        <f t="shared" si="249"/>
        <v>657.56859621674766</v>
      </c>
      <c r="AP71" s="383">
        <f t="shared" si="212"/>
        <v>5848.3069665301009</v>
      </c>
      <c r="AQ71" s="5">
        <f t="shared" ref="AQ71:BB71" si="250">AQ26*AQ53</f>
        <v>642.48301159940422</v>
      </c>
      <c r="AR71" s="5">
        <f t="shared" si="250"/>
        <v>661.34943405864749</v>
      </c>
      <c r="AS71" s="5">
        <f t="shared" si="250"/>
        <v>681.25016939313139</v>
      </c>
      <c r="AT71" s="5">
        <f t="shared" si="250"/>
        <v>702.1451477664541</v>
      </c>
      <c r="AU71" s="5">
        <f t="shared" si="250"/>
        <v>723.99358933946576</v>
      </c>
      <c r="AV71" s="5">
        <f t="shared" si="250"/>
        <v>746.75409967499979</v>
      </c>
      <c r="AW71" s="5">
        <f t="shared" si="250"/>
        <v>770.38476481870725</v>
      </c>
      <c r="AX71" s="5">
        <f t="shared" si="250"/>
        <v>794.843245777069</v>
      </c>
      <c r="AY71" s="5">
        <f t="shared" si="250"/>
        <v>820.08687212120435</v>
      </c>
      <c r="AZ71" s="5">
        <f t="shared" si="250"/>
        <v>846.07273445358953</v>
      </c>
      <c r="BA71" s="5">
        <f t="shared" si="250"/>
        <v>872.75777548416147</v>
      </c>
      <c r="BB71" s="5">
        <f t="shared" si="250"/>
        <v>898.13182328682251</v>
      </c>
      <c r="BC71" s="383">
        <f t="shared" si="214"/>
        <v>9160.2526677736569</v>
      </c>
      <c r="BD71" s="5">
        <f t="shared" ref="BD71:BO71" si="251">BD26*BD53</f>
        <v>864.09978908379458</v>
      </c>
      <c r="BE71" s="5">
        <f t="shared" si="251"/>
        <v>876.15189319592571</v>
      </c>
      <c r="BF71" s="5">
        <f t="shared" si="251"/>
        <v>889.34005367599173</v>
      </c>
      <c r="BG71" s="5">
        <f t="shared" si="251"/>
        <v>903.62211292613085</v>
      </c>
      <c r="BH71" s="5">
        <f t="shared" si="251"/>
        <v>918.95534751907053</v>
      </c>
      <c r="BI71" s="5">
        <f t="shared" si="251"/>
        <v>935.29656807363369</v>
      </c>
      <c r="BJ71" s="5">
        <f t="shared" si="251"/>
        <v>952.60221774830188</v>
      </c>
      <c r="BK71" s="5">
        <f t="shared" si="251"/>
        <v>970.82846909259786</v>
      </c>
      <c r="BL71" s="5">
        <f t="shared" si="251"/>
        <v>989.93131900842752</v>
      </c>
      <c r="BM71" s="5">
        <f t="shared" si="251"/>
        <v>1009.8666815865863</v>
      </c>
      <c r="BN71" s="5">
        <f t="shared" si="251"/>
        <v>1030.5904785972884</v>
      </c>
      <c r="BO71" s="5">
        <f t="shared" si="251"/>
        <v>1049.9230149760212</v>
      </c>
      <c r="BP71" s="383">
        <f t="shared" si="216"/>
        <v>11391.207945483768</v>
      </c>
      <c r="CF71" s="297" t="s">
        <v>1033</v>
      </c>
      <c r="CG71" s="12" t="s">
        <v>965</v>
      </c>
    </row>
    <row r="72" spans="1:85" s="5" customFormat="1" outlineLevel="1">
      <c r="A72" s="297" t="s">
        <v>521</v>
      </c>
      <c r="B72" s="12" t="s">
        <v>502</v>
      </c>
      <c r="P72" s="383">
        <f t="shared" si="208"/>
        <v>0</v>
      </c>
      <c r="AC72" s="383">
        <f t="shared" si="210"/>
        <v>0</v>
      </c>
      <c r="AP72" s="383">
        <f t="shared" si="212"/>
        <v>0</v>
      </c>
      <c r="BC72" s="383">
        <f t="shared" si="214"/>
        <v>0</v>
      </c>
      <c r="BP72" s="383">
        <f t="shared" si="216"/>
        <v>0</v>
      </c>
      <c r="CF72" s="297" t="s">
        <v>1032</v>
      </c>
      <c r="CG72" s="12" t="s">
        <v>965</v>
      </c>
    </row>
    <row r="73" spans="1:85" s="3" customFormat="1">
      <c r="A73" s="296" t="s">
        <v>472</v>
      </c>
      <c r="B73" s="12" t="s">
        <v>502</v>
      </c>
      <c r="C73" s="5"/>
      <c r="D73" s="3">
        <f t="shared" ref="D73:O73" si="252">D74+D75+D76</f>
        <v>0</v>
      </c>
      <c r="E73" s="3">
        <f t="shared" si="252"/>
        <v>0</v>
      </c>
      <c r="F73" s="3">
        <f t="shared" si="252"/>
        <v>0</v>
      </c>
      <c r="G73" s="3">
        <f t="shared" si="252"/>
        <v>0</v>
      </c>
      <c r="H73" s="3">
        <f t="shared" si="252"/>
        <v>0</v>
      </c>
      <c r="I73" s="3">
        <f t="shared" si="252"/>
        <v>0</v>
      </c>
      <c r="J73" s="3">
        <f t="shared" si="252"/>
        <v>-15.068662000739819</v>
      </c>
      <c r="K73" s="3">
        <f t="shared" si="252"/>
        <v>-30.72135503887619</v>
      </c>
      <c r="L73" s="3">
        <f t="shared" si="252"/>
        <v>-46.940090297221431</v>
      </c>
      <c r="M73" s="3">
        <f t="shared" si="252"/>
        <v>-63.706101850526196</v>
      </c>
      <c r="N73" s="3">
        <f t="shared" si="252"/>
        <v>-80.999887305762428</v>
      </c>
      <c r="O73" s="3">
        <f t="shared" si="252"/>
        <v>-98.061323615911732</v>
      </c>
      <c r="P73" s="397">
        <f t="shared" si="208"/>
        <v>-335.49742010903782</v>
      </c>
      <c r="Q73" s="3">
        <f t="shared" ref="Q73:AB73" si="253">Q74+Q75+Q76</f>
        <v>-99.9209376869387</v>
      </c>
      <c r="R73" s="3">
        <f t="shared" si="253"/>
        <v>-130.68206842125258</v>
      </c>
      <c r="S73" s="3">
        <f t="shared" si="253"/>
        <v>-162.886418508145</v>
      </c>
      <c r="T73" s="3">
        <f t="shared" si="253"/>
        <v>-196.49095945238463</v>
      </c>
      <c r="U73" s="3">
        <f t="shared" si="253"/>
        <v>-231.45088518616853</v>
      </c>
      <c r="V73" s="3">
        <f t="shared" si="253"/>
        <v>-267.71971501305177</v>
      </c>
      <c r="W73" s="3">
        <f t="shared" si="253"/>
        <v>-305.24939996636954</v>
      </c>
      <c r="X73" s="3">
        <f t="shared" si="253"/>
        <v>-343.99043223746753</v>
      </c>
      <c r="Y73" s="3">
        <f t="shared" si="253"/>
        <v>-383.89195732089672</v>
      </c>
      <c r="Z73" s="3">
        <f t="shared" si="253"/>
        <v>-424.90188851704414</v>
      </c>
      <c r="AA73" s="3">
        <f t="shared" si="253"/>
        <v>-466.96702342747375</v>
      </c>
      <c r="AB73" s="3">
        <f t="shared" si="253"/>
        <v>-508.05885687384642</v>
      </c>
      <c r="AC73" s="397">
        <f t="shared" si="210"/>
        <v>-3522.2105426110388</v>
      </c>
      <c r="AD73" s="3">
        <f t="shared" ref="AD73:AO73" si="254">AD74+AD75+AD76</f>
        <v>-397.67914063439696</v>
      </c>
      <c r="AE73" s="3">
        <f t="shared" si="254"/>
        <v>-427.41412095135297</v>
      </c>
      <c r="AF73" s="3">
        <f t="shared" si="254"/>
        <v>-458.47156770076606</v>
      </c>
      <c r="AG73" s="3">
        <f t="shared" si="254"/>
        <v>-490.80257013904878</v>
      </c>
      <c r="AH73" s="3">
        <f t="shared" si="254"/>
        <v>-524.35696748411851</v>
      </c>
      <c r="AI73" s="3">
        <f t="shared" si="254"/>
        <v>-559.0834661124818</v>
      </c>
      <c r="AJ73" s="3">
        <f t="shared" si="254"/>
        <v>-594.92975800626095</v>
      </c>
      <c r="AK73" s="3">
        <f t="shared" si="254"/>
        <v>-631.84264007794832</v>
      </c>
      <c r="AL73" s="3">
        <f t="shared" si="254"/>
        <v>-669.7681340026254</v>
      </c>
      <c r="AM73" s="3">
        <f t="shared" si="254"/>
        <v>-708.6516061907937</v>
      </c>
      <c r="AN73" s="3">
        <f t="shared" si="254"/>
        <v>-748.43788753978515</v>
      </c>
      <c r="AO73" s="3">
        <f t="shared" si="254"/>
        <v>-786.87195962029102</v>
      </c>
      <c r="AP73" s="397">
        <f t="shared" si="212"/>
        <v>-6998.3098184598703</v>
      </c>
      <c r="AQ73" s="3">
        <f t="shared" ref="AQ73:BB73" si="255">AQ74+AQ75+AQ76</f>
        <v>-594.96263958126053</v>
      </c>
      <c r="AR73" s="3">
        <f t="shared" si="255"/>
        <v>-612.43363305992602</v>
      </c>
      <c r="AS73" s="3">
        <f t="shared" si="255"/>
        <v>-630.86243788503339</v>
      </c>
      <c r="AT73" s="3">
        <f t="shared" si="255"/>
        <v>-650.21194793050165</v>
      </c>
      <c r="AU73" s="3">
        <f t="shared" si="255"/>
        <v>-670.44439958187854</v>
      </c>
      <c r="AV73" s="3">
        <f t="shared" si="255"/>
        <v>-691.52146008459147</v>
      </c>
      <c r="AW73" s="3">
        <f t="shared" si="255"/>
        <v>-713.40431559225942</v>
      </c>
      <c r="AX73" s="3">
        <f t="shared" si="255"/>
        <v>-736.05375865676831</v>
      </c>
      <c r="AY73" s="3">
        <f t="shared" si="255"/>
        <v>-759.43027490880331</v>
      </c>
      <c r="AZ73" s="3">
        <f t="shared" si="255"/>
        <v>-783.49412868539298</v>
      </c>
      <c r="BA73" s="3">
        <f t="shared" si="255"/>
        <v>-808.20544736969555</v>
      </c>
      <c r="BB73" s="3">
        <f t="shared" si="255"/>
        <v>-831.70273863651153</v>
      </c>
      <c r="BC73" s="397">
        <f t="shared" si="214"/>
        <v>-8482.7271819726211</v>
      </c>
      <c r="BD73" s="3">
        <f t="shared" ref="BD73:BO73" si="256">BD74+BD75+BD76</f>
        <v>-627.89402332218879</v>
      </c>
      <c r="BE73" s="3">
        <f t="shared" si="256"/>
        <v>-636.65162775175088</v>
      </c>
      <c r="BF73" s="3">
        <f t="shared" si="256"/>
        <v>-646.23474216591762</v>
      </c>
      <c r="BG73" s="3">
        <f t="shared" si="256"/>
        <v>-656.61273294566786</v>
      </c>
      <c r="BH73" s="3">
        <f t="shared" si="256"/>
        <v>-667.7545553147163</v>
      </c>
      <c r="BI73" s="3">
        <f t="shared" si="256"/>
        <v>-679.62882591357754</v>
      </c>
      <c r="BJ73" s="3">
        <f t="shared" si="256"/>
        <v>-692.20389436944788</v>
      </c>
      <c r="BK73" s="3">
        <f t="shared" si="256"/>
        <v>-705.44791367280357</v>
      </c>
      <c r="BL73" s="3">
        <f t="shared" si="256"/>
        <v>-719.32890918061184</v>
      </c>
      <c r="BM73" s="3">
        <f t="shared" si="256"/>
        <v>-733.81484607553784</v>
      </c>
      <c r="BN73" s="3">
        <f t="shared" si="256"/>
        <v>-748.87369512046018</v>
      </c>
      <c r="BO73" s="3">
        <f t="shared" si="256"/>
        <v>-762.92159120979477</v>
      </c>
      <c r="BP73" s="397">
        <f t="shared" si="216"/>
        <v>-8277.3673570424744</v>
      </c>
      <c r="CF73" s="296" t="s">
        <v>864</v>
      </c>
      <c r="CG73" s="12" t="s">
        <v>965</v>
      </c>
    </row>
    <row r="74" spans="1:85" s="5" customFormat="1" outlineLevel="1">
      <c r="A74" s="297" t="s">
        <v>522</v>
      </c>
      <c r="B74" s="12" t="s">
        <v>502</v>
      </c>
      <c r="D74" s="5">
        <f t="shared" ref="D74:O74" si="257">(D23+D31+D33)*D55</f>
        <v>0</v>
      </c>
      <c r="E74" s="5">
        <f t="shared" si="257"/>
        <v>0</v>
      </c>
      <c r="F74" s="5">
        <f t="shared" si="257"/>
        <v>0</v>
      </c>
      <c r="G74" s="5">
        <f t="shared" si="257"/>
        <v>0</v>
      </c>
      <c r="H74" s="5">
        <f t="shared" si="257"/>
        <v>0</v>
      </c>
      <c r="I74" s="5">
        <f t="shared" si="257"/>
        <v>0</v>
      </c>
      <c r="J74" s="5">
        <f t="shared" si="257"/>
        <v>-1.2300948572032504</v>
      </c>
      <c r="K74" s="5">
        <f t="shared" si="257"/>
        <v>-2.5078657174592802</v>
      </c>
      <c r="L74" s="5">
        <f t="shared" si="257"/>
        <v>-3.8318441058956263</v>
      </c>
      <c r="M74" s="5">
        <f t="shared" si="257"/>
        <v>-5.200498110247036</v>
      </c>
      <c r="N74" s="5">
        <f t="shared" si="257"/>
        <v>-6.6122356984295845</v>
      </c>
      <c r="O74" s="5">
        <f t="shared" si="257"/>
        <v>-8.0050060094621802</v>
      </c>
      <c r="P74" s="383">
        <f t="shared" si="208"/>
        <v>-27.387544498696954</v>
      </c>
      <c r="Q74" s="5">
        <f t="shared" ref="Q74:AB74" si="258">(Q23+Q31+Q33)*Q55</f>
        <v>-10.75636156403306</v>
      </c>
      <c r="R74" s="5">
        <f t="shared" si="258"/>
        <v>-14.067758073675913</v>
      </c>
      <c r="S74" s="5">
        <f t="shared" si="258"/>
        <v>-17.534515306825806</v>
      </c>
      <c r="T74" s="5">
        <f t="shared" si="258"/>
        <v>-21.152001300823272</v>
      </c>
      <c r="U74" s="5">
        <f t="shared" si="258"/>
        <v>-24.915392739587546</v>
      </c>
      <c r="V74" s="5">
        <f t="shared" si="258"/>
        <v>-28.819686035399336</v>
      </c>
      <c r="W74" s="5">
        <f t="shared" si="258"/>
        <v>-32.859708778249413</v>
      </c>
      <c r="X74" s="5">
        <f t="shared" si="258"/>
        <v>-37.030131515648058</v>
      </c>
      <c r="Y74" s="5">
        <f t="shared" si="258"/>
        <v>-41.325479824912392</v>
      </c>
      <c r="Z74" s="5">
        <f t="shared" si="258"/>
        <v>-45.740146639228541</v>
      </c>
      <c r="AA74" s="5">
        <f t="shared" si="258"/>
        <v>-50.268404788226633</v>
      </c>
      <c r="AB74" s="5">
        <f t="shared" si="258"/>
        <v>-54.691888275371561</v>
      </c>
      <c r="AC74" s="383">
        <f t="shared" si="210"/>
        <v>-379.1614748419816</v>
      </c>
      <c r="AD74" s="5">
        <f t="shared" ref="AD74:AO74" si="259">(AD23+AD31+AD33)*AD55</f>
        <v>-55.947844804761225</v>
      </c>
      <c r="AE74" s="5">
        <f t="shared" si="259"/>
        <v>-60.13113704732595</v>
      </c>
      <c r="AF74" s="5">
        <f t="shared" si="259"/>
        <v>-64.500481660162336</v>
      </c>
      <c r="AG74" s="5">
        <f t="shared" si="259"/>
        <v>-69.048997591658846</v>
      </c>
      <c r="AH74" s="5">
        <f t="shared" si="259"/>
        <v>-73.769627927422746</v>
      </c>
      <c r="AI74" s="5">
        <f t="shared" si="259"/>
        <v>-78.655156378256393</v>
      </c>
      <c r="AJ74" s="5">
        <f t="shared" si="259"/>
        <v>-83.698223943982939</v>
      </c>
      <c r="AK74" s="5">
        <f t="shared" si="259"/>
        <v>-88.891345700755764</v>
      </c>
      <c r="AL74" s="5">
        <f t="shared" si="259"/>
        <v>-94.226927659761401</v>
      </c>
      <c r="AM74" s="5">
        <f t="shared" si="259"/>
        <v>-99.69728364570399</v>
      </c>
      <c r="AN74" s="5">
        <f t="shared" si="259"/>
        <v>-105.29465214413968</v>
      </c>
      <c r="AO74" s="5">
        <f t="shared" si="259"/>
        <v>-110.70178387487337</v>
      </c>
      <c r="AP74" s="383">
        <f t="shared" si="212"/>
        <v>-984.56346237880473</v>
      </c>
      <c r="AQ74" s="5">
        <f t="shared" ref="AQ74:BB74" si="260">(AQ23+AQ31+AQ33)*AQ55</f>
        <v>-108.16212316488284</v>
      </c>
      <c r="AR74" s="5">
        <f t="shared" si="260"/>
        <v>-111.33828856206185</v>
      </c>
      <c r="AS74" s="5">
        <f t="shared" si="260"/>
        <v>-114.68858070591438</v>
      </c>
      <c r="AT74" s="5">
        <f t="shared" si="260"/>
        <v>-118.20625383273637</v>
      </c>
      <c r="AU74" s="5">
        <f t="shared" si="260"/>
        <v>-121.88444264974167</v>
      </c>
      <c r="AV74" s="5">
        <f t="shared" si="260"/>
        <v>-125.71617839646458</v>
      </c>
      <c r="AW74" s="5">
        <f t="shared" si="260"/>
        <v>-129.6944048516342</v>
      </c>
      <c r="AX74" s="5">
        <f t="shared" si="260"/>
        <v>-133.81199423856378</v>
      </c>
      <c r="AY74" s="5">
        <f t="shared" si="260"/>
        <v>-138.06176298336771</v>
      </c>
      <c r="AZ74" s="5">
        <f t="shared" si="260"/>
        <v>-142.43648728174904</v>
      </c>
      <c r="BA74" s="5">
        <f t="shared" si="260"/>
        <v>-146.92891843167698</v>
      </c>
      <c r="BB74" s="5">
        <f t="shared" si="260"/>
        <v>-151.2006436509802</v>
      </c>
      <c r="BC74" s="383">
        <f t="shared" si="214"/>
        <v>-1542.1300787497737</v>
      </c>
      <c r="BD74" s="5">
        <f t="shared" ref="BD74:BO74" si="261">(BD23+BD31+BD33)*BD55</f>
        <v>-145.47134496360175</v>
      </c>
      <c r="BE74" s="5">
        <f t="shared" si="261"/>
        <v>-147.5003187198528</v>
      </c>
      <c r="BF74" s="5">
        <f t="shared" si="261"/>
        <v>-149.72054775690097</v>
      </c>
      <c r="BG74" s="5">
        <f t="shared" si="261"/>
        <v>-152.12493483604894</v>
      </c>
      <c r="BH74" s="5">
        <f t="shared" si="261"/>
        <v>-154.70628746112297</v>
      </c>
      <c r="BI74" s="5">
        <f t="shared" si="261"/>
        <v>-157.45733469253091</v>
      </c>
      <c r="BJ74" s="5">
        <f t="shared" si="261"/>
        <v>-160.37074372867036</v>
      </c>
      <c r="BK74" s="5">
        <f t="shared" si="261"/>
        <v>-163.43913621087503</v>
      </c>
      <c r="BL74" s="5">
        <f t="shared" si="261"/>
        <v>-166.65510421017296</v>
      </c>
      <c r="BM74" s="5">
        <f t="shared" si="261"/>
        <v>-170.01122585632766</v>
      </c>
      <c r="BN74" s="5">
        <f t="shared" si="261"/>
        <v>-173.50008057193403</v>
      </c>
      <c r="BO74" s="5">
        <f t="shared" si="261"/>
        <v>-176.75471632592945</v>
      </c>
      <c r="BP74" s="383">
        <f t="shared" si="216"/>
        <v>-1917.7117753339678</v>
      </c>
      <c r="CF74" s="297" t="s">
        <v>1034</v>
      </c>
      <c r="CG74" s="12" t="s">
        <v>965</v>
      </c>
    </row>
    <row r="75" spans="1:85" s="5" customFormat="1" outlineLevel="1">
      <c r="A75" s="297" t="s">
        <v>523</v>
      </c>
      <c r="B75" s="12" t="s">
        <v>502</v>
      </c>
      <c r="D75" s="5">
        <f t="shared" ref="D75:O75" si="262">D26*D54</f>
        <v>0</v>
      </c>
      <c r="E75" s="5">
        <f t="shared" si="262"/>
        <v>0</v>
      </c>
      <c r="F75" s="5">
        <f t="shared" si="262"/>
        <v>0</v>
      </c>
      <c r="G75" s="5">
        <f t="shared" si="262"/>
        <v>0</v>
      </c>
      <c r="H75" s="5">
        <f t="shared" si="262"/>
        <v>0</v>
      </c>
      <c r="I75" s="5">
        <f t="shared" si="262"/>
        <v>0</v>
      </c>
      <c r="J75" s="5">
        <f t="shared" si="262"/>
        <v>-13.838567143536569</v>
      </c>
      <c r="K75" s="5">
        <f t="shared" si="262"/>
        <v>-28.213489321416912</v>
      </c>
      <c r="L75" s="5">
        <f t="shared" si="262"/>
        <v>-43.108246191325804</v>
      </c>
      <c r="M75" s="5">
        <f t="shared" si="262"/>
        <v>-58.505603740279163</v>
      </c>
      <c r="N75" s="5">
        <f t="shared" si="262"/>
        <v>-74.387651607332842</v>
      </c>
      <c r="O75" s="5">
        <f t="shared" si="262"/>
        <v>-90.056317606449554</v>
      </c>
      <c r="P75" s="383">
        <f t="shared" si="208"/>
        <v>-308.10987561034085</v>
      </c>
      <c r="Q75" s="5">
        <f t="shared" ref="Q75:AB75" si="263">Q26*Q54</f>
        <v>-89.164576122905643</v>
      </c>
      <c r="R75" s="5">
        <f t="shared" si="263"/>
        <v>-116.61431034757666</v>
      </c>
      <c r="S75" s="5">
        <f t="shared" si="263"/>
        <v>-145.3519032013192</v>
      </c>
      <c r="T75" s="5">
        <f t="shared" si="263"/>
        <v>-175.33895815156137</v>
      </c>
      <c r="U75" s="5">
        <f t="shared" si="263"/>
        <v>-206.535492446581</v>
      </c>
      <c r="V75" s="5">
        <f t="shared" si="263"/>
        <v>-238.90002897765243</v>
      </c>
      <c r="W75" s="5">
        <f t="shared" si="263"/>
        <v>-272.38969118812014</v>
      </c>
      <c r="X75" s="5">
        <f t="shared" si="263"/>
        <v>-306.96030072181946</v>
      </c>
      <c r="Y75" s="5">
        <f t="shared" si="263"/>
        <v>-342.56647749598432</v>
      </c>
      <c r="Z75" s="5">
        <f t="shared" si="263"/>
        <v>-379.16174187781559</v>
      </c>
      <c r="AA75" s="5">
        <f t="shared" si="263"/>
        <v>-416.69861863924712</v>
      </c>
      <c r="AB75" s="5">
        <f t="shared" si="263"/>
        <v>-453.36696859847484</v>
      </c>
      <c r="AC75" s="383">
        <f t="shared" si="210"/>
        <v>-3143.0490677690586</v>
      </c>
      <c r="AD75" s="5">
        <f t="shared" ref="AD75:AO75" si="264">AD26*AD54</f>
        <v>-341.73129582963571</v>
      </c>
      <c r="AE75" s="5">
        <f t="shared" si="264"/>
        <v>-367.28298390402699</v>
      </c>
      <c r="AF75" s="5">
        <f t="shared" si="264"/>
        <v>-393.97108604060372</v>
      </c>
      <c r="AG75" s="5">
        <f t="shared" si="264"/>
        <v>-421.75357254738992</v>
      </c>
      <c r="AH75" s="5">
        <f t="shared" si="264"/>
        <v>-450.58733955669578</v>
      </c>
      <c r="AI75" s="5">
        <f t="shared" si="264"/>
        <v>-480.42830973422537</v>
      </c>
      <c r="AJ75" s="5">
        <f t="shared" si="264"/>
        <v>-511.23153406227806</v>
      </c>
      <c r="AK75" s="5">
        <f t="shared" si="264"/>
        <v>-542.95129437719254</v>
      </c>
      <c r="AL75" s="5">
        <f t="shared" si="264"/>
        <v>-575.54120634286403</v>
      </c>
      <c r="AM75" s="5">
        <f t="shared" si="264"/>
        <v>-608.95432254508967</v>
      </c>
      <c r="AN75" s="5">
        <f t="shared" si="264"/>
        <v>-643.14323539564543</v>
      </c>
      <c r="AO75" s="5">
        <f t="shared" si="264"/>
        <v>-676.17017574541762</v>
      </c>
      <c r="AP75" s="383">
        <f t="shared" si="212"/>
        <v>-6013.7463560810638</v>
      </c>
      <c r="AQ75" s="5">
        <f t="shared" ref="AQ75:BB75" si="265">AQ26*AQ54</f>
        <v>-486.80051641637766</v>
      </c>
      <c r="AR75" s="5">
        <f t="shared" si="265"/>
        <v>-501.09534449786412</v>
      </c>
      <c r="AS75" s="5">
        <f t="shared" si="265"/>
        <v>-516.17385717911895</v>
      </c>
      <c r="AT75" s="5">
        <f t="shared" si="265"/>
        <v>-532.00569409776529</v>
      </c>
      <c r="AU75" s="5">
        <f t="shared" si="265"/>
        <v>-548.55995693213686</v>
      </c>
      <c r="AV75" s="5">
        <f t="shared" si="265"/>
        <v>-565.80528168812691</v>
      </c>
      <c r="AW75" s="5">
        <f t="shared" si="265"/>
        <v>-583.70991074062522</v>
      </c>
      <c r="AX75" s="5">
        <f t="shared" si="265"/>
        <v>-602.24176441820453</v>
      </c>
      <c r="AY75" s="5">
        <f t="shared" si="265"/>
        <v>-621.36851192543554</v>
      </c>
      <c r="AZ75" s="5">
        <f t="shared" si="265"/>
        <v>-641.05764140364397</v>
      </c>
      <c r="BA75" s="5">
        <f t="shared" si="265"/>
        <v>-661.2765289380186</v>
      </c>
      <c r="BB75" s="5">
        <f t="shared" si="265"/>
        <v>-680.50209498553136</v>
      </c>
      <c r="BC75" s="383">
        <f t="shared" si="214"/>
        <v>-6940.5971032228481</v>
      </c>
      <c r="BD75" s="5">
        <f t="shared" ref="BD75:BO75" si="266">BD26*BD54</f>
        <v>-482.42267835858701</v>
      </c>
      <c r="BE75" s="5">
        <f t="shared" si="266"/>
        <v>-489.15130903189811</v>
      </c>
      <c r="BF75" s="5">
        <f t="shared" si="266"/>
        <v>-496.51419440901668</v>
      </c>
      <c r="BG75" s="5">
        <f t="shared" si="266"/>
        <v>-504.48779810961889</v>
      </c>
      <c r="BH75" s="5">
        <f t="shared" si="266"/>
        <v>-513.0482678535933</v>
      </c>
      <c r="BI75" s="5">
        <f t="shared" si="266"/>
        <v>-522.17149122104661</v>
      </c>
      <c r="BJ75" s="5">
        <f t="shared" si="266"/>
        <v>-531.83315064077749</v>
      </c>
      <c r="BK75" s="5">
        <f t="shared" si="266"/>
        <v>-542.0087774619285</v>
      </c>
      <c r="BL75" s="5">
        <f t="shared" si="266"/>
        <v>-552.67380497043894</v>
      </c>
      <c r="BM75" s="5">
        <f t="shared" si="266"/>
        <v>-563.80362021921019</v>
      </c>
      <c r="BN75" s="5">
        <f t="shared" si="266"/>
        <v>-575.37361454852612</v>
      </c>
      <c r="BO75" s="5">
        <f t="shared" si="266"/>
        <v>-586.16687488386526</v>
      </c>
      <c r="BP75" s="383">
        <f t="shared" si="216"/>
        <v>-6359.6555817085073</v>
      </c>
      <c r="CF75" s="297" t="s">
        <v>1035</v>
      </c>
      <c r="CG75" s="12" t="s">
        <v>965</v>
      </c>
    </row>
    <row r="76" spans="1:85" s="5" customFormat="1" outlineLevel="1">
      <c r="A76" s="297" t="s">
        <v>524</v>
      </c>
      <c r="B76" s="12" t="s">
        <v>502</v>
      </c>
      <c r="P76" s="383">
        <f t="shared" si="208"/>
        <v>0</v>
      </c>
      <c r="AC76" s="383">
        <f t="shared" si="210"/>
        <v>0</v>
      </c>
      <c r="AP76" s="383">
        <f t="shared" si="212"/>
        <v>0</v>
      </c>
      <c r="BC76" s="383">
        <f t="shared" si="214"/>
        <v>0</v>
      </c>
      <c r="BP76" s="383">
        <f t="shared" si="216"/>
        <v>0</v>
      </c>
      <c r="CF76" s="297" t="s">
        <v>1036</v>
      </c>
      <c r="CG76" s="12" t="s">
        <v>965</v>
      </c>
    </row>
    <row r="77" spans="1:85" s="3" customFormat="1">
      <c r="A77" s="296" t="s">
        <v>525</v>
      </c>
      <c r="B77" s="12" t="s">
        <v>502</v>
      </c>
      <c r="C77" s="5"/>
      <c r="P77" s="397">
        <f t="shared" si="208"/>
        <v>0</v>
      </c>
      <c r="AC77" s="397">
        <f t="shared" si="210"/>
        <v>0</v>
      </c>
      <c r="AP77" s="397">
        <f t="shared" si="212"/>
        <v>0</v>
      </c>
      <c r="BC77" s="397">
        <f t="shared" si="214"/>
        <v>0</v>
      </c>
      <c r="BP77" s="397">
        <f t="shared" si="216"/>
        <v>0</v>
      </c>
      <c r="CF77" s="296" t="s">
        <v>865</v>
      </c>
      <c r="CG77" s="12" t="s">
        <v>965</v>
      </c>
    </row>
    <row r="78" spans="1:85" s="3" customFormat="1">
      <c r="A78" s="300" t="s">
        <v>526</v>
      </c>
      <c r="B78" s="12" t="s">
        <v>502</v>
      </c>
      <c r="C78" s="5"/>
      <c r="P78" s="397">
        <f t="shared" si="208"/>
        <v>0</v>
      </c>
      <c r="AC78" s="397">
        <f t="shared" si="210"/>
        <v>0</v>
      </c>
      <c r="AP78" s="397">
        <f t="shared" si="212"/>
        <v>0</v>
      </c>
      <c r="BC78" s="397">
        <f t="shared" si="214"/>
        <v>0</v>
      </c>
      <c r="BP78" s="397">
        <f t="shared" si="216"/>
        <v>0</v>
      </c>
      <c r="CF78" s="300" t="s">
        <v>866</v>
      </c>
      <c r="CG78" s="12" t="s">
        <v>965</v>
      </c>
    </row>
    <row r="79" spans="1:85" s="63" customFormat="1">
      <c r="A79" s="298" t="s">
        <v>527</v>
      </c>
      <c r="B79" s="12" t="s">
        <v>502</v>
      </c>
      <c r="C79" s="299"/>
      <c r="D79" s="63">
        <f t="shared" ref="D79:O79" si="267">D68+D69+D73+D77+D78</f>
        <v>0</v>
      </c>
      <c r="E79" s="63">
        <f t="shared" si="267"/>
        <v>0</v>
      </c>
      <c r="F79" s="63">
        <f t="shared" si="267"/>
        <v>0</v>
      </c>
      <c r="G79" s="63">
        <f t="shared" si="267"/>
        <v>0</v>
      </c>
      <c r="H79" s="63">
        <f t="shared" si="267"/>
        <v>0</v>
      </c>
      <c r="I79" s="63">
        <f t="shared" si="267"/>
        <v>0</v>
      </c>
      <c r="J79" s="63">
        <f t="shared" si="267"/>
        <v>-7.611789998636378</v>
      </c>
      <c r="K79" s="63">
        <f t="shared" si="267"/>
        <v>-15.368489120664485</v>
      </c>
      <c r="L79" s="63">
        <f t="shared" si="267"/>
        <v>-23.43025710588855</v>
      </c>
      <c r="M79" s="63">
        <f t="shared" si="267"/>
        <v>-31.712925805108618</v>
      </c>
      <c r="N79" s="63">
        <f t="shared" si="267"/>
        <v>-40.328198909479283</v>
      </c>
      <c r="O79" s="63">
        <f t="shared" si="267"/>
        <v>-48.72784502415373</v>
      </c>
      <c r="P79" s="419">
        <f t="shared" si="208"/>
        <v>-167.17950596393106</v>
      </c>
      <c r="Q79" s="63">
        <f t="shared" ref="Q79:AB79" si="268">Q68+Q69+Q73+Q77+Q78</f>
        <v>-32.640441081337812</v>
      </c>
      <c r="R79" s="63">
        <f t="shared" si="268"/>
        <v>-41.902205003672648</v>
      </c>
      <c r="S79" s="63">
        <f t="shared" si="268"/>
        <v>-51.377786795858171</v>
      </c>
      <c r="T79" s="63">
        <f t="shared" si="268"/>
        <v>-62.13639999721579</v>
      </c>
      <c r="U79" s="63">
        <f t="shared" si="268"/>
        <v>-72.733916987441205</v>
      </c>
      <c r="V79" s="63">
        <f t="shared" si="268"/>
        <v>-84.430378902418539</v>
      </c>
      <c r="W79" s="63">
        <f t="shared" si="268"/>
        <v>-95.710399605254679</v>
      </c>
      <c r="X79" s="63">
        <f t="shared" si="268"/>
        <v>-107.76861204535805</v>
      </c>
      <c r="Y79" s="63">
        <f t="shared" si="268"/>
        <v>-120.77400061775319</v>
      </c>
      <c r="Z79" s="63">
        <f t="shared" si="268"/>
        <v>-132.94590252445579</v>
      </c>
      <c r="AA79" s="63">
        <f t="shared" si="268"/>
        <v>-146.75289300426704</v>
      </c>
      <c r="AB79" s="63">
        <f t="shared" si="268"/>
        <v>-158.76557153938148</v>
      </c>
      <c r="AC79" s="419">
        <f t="shared" si="210"/>
        <v>-1107.9385081044143</v>
      </c>
      <c r="AD79" s="63">
        <f t="shared" ref="AD79:AO79" si="269">AD68+AD69+AD73+AD77+AD78</f>
        <v>-29.391054770227186</v>
      </c>
      <c r="AE79" s="63">
        <f t="shared" si="269"/>
        <v>-24.21801434314898</v>
      </c>
      <c r="AF79" s="63">
        <f t="shared" si="269"/>
        <v>-20.637355984776264</v>
      </c>
      <c r="AG79" s="63">
        <f t="shared" si="269"/>
        <v>-23.926907218521592</v>
      </c>
      <c r="AH79" s="63">
        <f t="shared" si="269"/>
        <v>-23.481671842623371</v>
      </c>
      <c r="AI79" s="63">
        <f t="shared" si="269"/>
        <v>-27.130008250004039</v>
      </c>
      <c r="AJ79" s="63">
        <f t="shared" si="269"/>
        <v>-26.504714568933537</v>
      </c>
      <c r="AK79" s="63">
        <f t="shared" si="269"/>
        <v>-28.077746118876235</v>
      </c>
      <c r="AL79" s="63">
        <f t="shared" si="269"/>
        <v>-32.281415701945662</v>
      </c>
      <c r="AM79" s="63">
        <f t="shared" si="269"/>
        <v>-31.335575339130287</v>
      </c>
      <c r="AN79" s="63">
        <f t="shared" si="269"/>
        <v>-35.918133523514143</v>
      </c>
      <c r="AO79" s="63">
        <f t="shared" si="269"/>
        <v>-34.501603550323125</v>
      </c>
      <c r="AP79" s="419">
        <f t="shared" si="212"/>
        <v>-337.40420121202442</v>
      </c>
      <c r="AQ79" s="63">
        <f t="shared" ref="AQ79:BB79" si="270">AQ68+AQ69+AQ73+AQ77+AQ78</f>
        <v>167.75832596677958</v>
      </c>
      <c r="AR79" s="63">
        <f t="shared" si="270"/>
        <v>190.5927315002059</v>
      </c>
      <c r="AS79" s="63">
        <f t="shared" si="270"/>
        <v>211.90818748696131</v>
      </c>
      <c r="AT79" s="63">
        <f t="shared" si="270"/>
        <v>212.9928975026188</v>
      </c>
      <c r="AU79" s="63">
        <f t="shared" si="270"/>
        <v>225.11975965366412</v>
      </c>
      <c r="AV79" s="63">
        <f t="shared" si="270"/>
        <v>226.46220441428011</v>
      </c>
      <c r="AW79" s="63">
        <f t="shared" si="270"/>
        <v>239.49872239312083</v>
      </c>
      <c r="AX79" s="63">
        <f t="shared" si="270"/>
        <v>247.0930895735836</v>
      </c>
      <c r="AY79" s="63">
        <f t="shared" si="270"/>
        <v>248.67238222715196</v>
      </c>
      <c r="AZ79" s="63">
        <f t="shared" si="270"/>
        <v>263.02470950279371</v>
      </c>
      <c r="BA79" s="63">
        <f t="shared" si="270"/>
        <v>264.66455839092646</v>
      </c>
      <c r="BB79" s="63">
        <f t="shared" si="270"/>
        <v>279.47465292422487</v>
      </c>
      <c r="BC79" s="419">
        <f t="shared" si="214"/>
        <v>2777.2622215363117</v>
      </c>
      <c r="BD79" s="63">
        <f t="shared" ref="BD79:BO79" si="271">BD68+BD69+BD73+BD77+BD78</f>
        <v>465.83905514346066</v>
      </c>
      <c r="BE79" s="63">
        <f t="shared" si="271"/>
        <v>486.49448428921312</v>
      </c>
      <c r="BF79" s="63">
        <f t="shared" si="271"/>
        <v>520.52937548699333</v>
      </c>
      <c r="BG79" s="63">
        <f t="shared" si="271"/>
        <v>519.66162308577373</v>
      </c>
      <c r="BH79" s="63">
        <f t="shared" si="271"/>
        <v>537.5951011023958</v>
      </c>
      <c r="BI79" s="63">
        <f t="shared" si="271"/>
        <v>537.64019728819619</v>
      </c>
      <c r="BJ79" s="63">
        <f t="shared" si="271"/>
        <v>557.0570277517545</v>
      </c>
      <c r="BK79" s="63">
        <f t="shared" si="271"/>
        <v>567.6226352359937</v>
      </c>
      <c r="BL79" s="63">
        <f t="shared" si="271"/>
        <v>568.77130841064491</v>
      </c>
      <c r="BM79" s="63">
        <f t="shared" si="271"/>
        <v>590.29404400198041</v>
      </c>
      <c r="BN79" s="63">
        <f t="shared" si="271"/>
        <v>592.00510525371612</v>
      </c>
      <c r="BO79" s="63">
        <f t="shared" si="271"/>
        <v>613.92702066208085</v>
      </c>
      <c r="BP79" s="419">
        <f t="shared" si="216"/>
        <v>6557.4369777122047</v>
      </c>
      <c r="CF79" s="298" t="s">
        <v>860</v>
      </c>
      <c r="CG79" s="12" t="s">
        <v>965</v>
      </c>
    </row>
    <row r="80" spans="1:85" s="3" customFormat="1">
      <c r="A80" s="296" t="s">
        <v>528</v>
      </c>
      <c r="B80" s="12" t="s">
        <v>502</v>
      </c>
      <c r="C80" s="5"/>
      <c r="P80" s="397">
        <f t="shared" si="208"/>
        <v>0</v>
      </c>
      <c r="AC80" s="397">
        <f t="shared" si="210"/>
        <v>0</v>
      </c>
      <c r="AP80" s="397">
        <f t="shared" si="212"/>
        <v>0</v>
      </c>
      <c r="BC80" s="397">
        <f t="shared" si="214"/>
        <v>0</v>
      </c>
      <c r="BP80" s="397">
        <f t="shared" si="216"/>
        <v>0</v>
      </c>
      <c r="CF80" s="296" t="s">
        <v>1037</v>
      </c>
      <c r="CG80" s="12" t="s">
        <v>965</v>
      </c>
    </row>
    <row r="81" spans="1:85" s="3" customFormat="1">
      <c r="A81" s="296" t="s">
        <v>529</v>
      </c>
      <c r="B81" s="12" t="s">
        <v>502</v>
      </c>
      <c r="C81" s="5"/>
      <c r="D81" s="3">
        <f t="shared" ref="D81:O81" si="272">SUM(D82:D88)</f>
        <v>0</v>
      </c>
      <c r="E81" s="3">
        <f t="shared" si="272"/>
        <v>0</v>
      </c>
      <c r="F81" s="3">
        <f t="shared" si="272"/>
        <v>0</v>
      </c>
      <c r="G81" s="3">
        <f t="shared" si="272"/>
        <v>0</v>
      </c>
      <c r="H81" s="3">
        <f t="shared" si="272"/>
        <v>0</v>
      </c>
      <c r="I81" s="3">
        <f t="shared" si="272"/>
        <v>0</v>
      </c>
      <c r="J81" s="3">
        <f t="shared" si="272"/>
        <v>0</v>
      </c>
      <c r="K81" s="3">
        <f t="shared" si="272"/>
        <v>0</v>
      </c>
      <c r="L81" s="3">
        <f t="shared" si="272"/>
        <v>0</v>
      </c>
      <c r="M81" s="3">
        <f t="shared" si="272"/>
        <v>0</v>
      </c>
      <c r="N81" s="3">
        <f t="shared" si="272"/>
        <v>0</v>
      </c>
      <c r="O81" s="3">
        <f t="shared" si="272"/>
        <v>0</v>
      </c>
      <c r="P81" s="397">
        <f t="shared" si="208"/>
        <v>0</v>
      </c>
      <c r="Q81" s="3">
        <f t="shared" ref="Q81:AB81" si="273">SUM(Q82:Q88)</f>
        <v>0</v>
      </c>
      <c r="R81" s="3">
        <f t="shared" si="273"/>
        <v>0</v>
      </c>
      <c r="S81" s="3">
        <f t="shared" si="273"/>
        <v>0</v>
      </c>
      <c r="T81" s="3">
        <f t="shared" si="273"/>
        <v>0</v>
      </c>
      <c r="U81" s="3">
        <f t="shared" si="273"/>
        <v>0</v>
      </c>
      <c r="V81" s="3">
        <f t="shared" si="273"/>
        <v>0</v>
      </c>
      <c r="W81" s="3">
        <f t="shared" si="273"/>
        <v>0</v>
      </c>
      <c r="X81" s="3">
        <f t="shared" si="273"/>
        <v>0</v>
      </c>
      <c r="Y81" s="3">
        <f t="shared" si="273"/>
        <v>0</v>
      </c>
      <c r="Z81" s="3">
        <f t="shared" si="273"/>
        <v>0</v>
      </c>
      <c r="AA81" s="3">
        <f t="shared" si="273"/>
        <v>0</v>
      </c>
      <c r="AB81" s="3">
        <f t="shared" si="273"/>
        <v>0</v>
      </c>
      <c r="AC81" s="397">
        <f t="shared" si="210"/>
        <v>0</v>
      </c>
      <c r="AD81" s="3">
        <f t="shared" ref="AD81:AO81" si="274">SUM(AD82:AD88)</f>
        <v>0</v>
      </c>
      <c r="AE81" s="3">
        <f t="shared" si="274"/>
        <v>0</v>
      </c>
      <c r="AF81" s="3">
        <f t="shared" si="274"/>
        <v>0</v>
      </c>
      <c r="AG81" s="3">
        <f t="shared" si="274"/>
        <v>0</v>
      </c>
      <c r="AH81" s="3">
        <f t="shared" si="274"/>
        <v>0</v>
      </c>
      <c r="AI81" s="3">
        <f t="shared" si="274"/>
        <v>0</v>
      </c>
      <c r="AJ81" s="3">
        <f t="shared" si="274"/>
        <v>0</v>
      </c>
      <c r="AK81" s="3">
        <f t="shared" si="274"/>
        <v>0</v>
      </c>
      <c r="AL81" s="3">
        <f t="shared" si="274"/>
        <v>0</v>
      </c>
      <c r="AM81" s="3">
        <f t="shared" si="274"/>
        <v>0</v>
      </c>
      <c r="AN81" s="3">
        <f t="shared" si="274"/>
        <v>0</v>
      </c>
      <c r="AO81" s="3">
        <f t="shared" si="274"/>
        <v>0</v>
      </c>
      <c r="AP81" s="397">
        <f t="shared" si="212"/>
        <v>0</v>
      </c>
      <c r="AQ81" s="3">
        <f t="shared" ref="AQ81:BB81" si="275">SUM(AQ82:AQ88)</f>
        <v>0</v>
      </c>
      <c r="AR81" s="3">
        <f t="shared" si="275"/>
        <v>0</v>
      </c>
      <c r="AS81" s="3">
        <f t="shared" si="275"/>
        <v>0</v>
      </c>
      <c r="AT81" s="3">
        <f t="shared" si="275"/>
        <v>0</v>
      </c>
      <c r="AU81" s="3">
        <f t="shared" si="275"/>
        <v>0</v>
      </c>
      <c r="AV81" s="3">
        <f t="shared" si="275"/>
        <v>0</v>
      </c>
      <c r="AW81" s="3">
        <f t="shared" si="275"/>
        <v>0</v>
      </c>
      <c r="AX81" s="3">
        <f t="shared" si="275"/>
        <v>0</v>
      </c>
      <c r="AY81" s="3">
        <f t="shared" si="275"/>
        <v>0</v>
      </c>
      <c r="AZ81" s="3">
        <f t="shared" si="275"/>
        <v>0</v>
      </c>
      <c r="BA81" s="3">
        <f t="shared" si="275"/>
        <v>0</v>
      </c>
      <c r="BB81" s="3">
        <f t="shared" si="275"/>
        <v>0</v>
      </c>
      <c r="BC81" s="397">
        <f t="shared" si="214"/>
        <v>0</v>
      </c>
      <c r="BD81" s="3">
        <f t="shared" ref="BD81:BO81" si="276">SUM(BD82:BD88)</f>
        <v>0</v>
      </c>
      <c r="BE81" s="3">
        <f t="shared" si="276"/>
        <v>0</v>
      </c>
      <c r="BF81" s="3">
        <f t="shared" si="276"/>
        <v>0</v>
      </c>
      <c r="BG81" s="3">
        <f t="shared" si="276"/>
        <v>0</v>
      </c>
      <c r="BH81" s="3">
        <f t="shared" si="276"/>
        <v>0</v>
      </c>
      <c r="BI81" s="3">
        <f t="shared" si="276"/>
        <v>0</v>
      </c>
      <c r="BJ81" s="3">
        <f t="shared" si="276"/>
        <v>0</v>
      </c>
      <c r="BK81" s="3">
        <f t="shared" si="276"/>
        <v>0</v>
      </c>
      <c r="BL81" s="3">
        <f t="shared" si="276"/>
        <v>0</v>
      </c>
      <c r="BM81" s="3">
        <f t="shared" si="276"/>
        <v>0</v>
      </c>
      <c r="BN81" s="3">
        <f t="shared" si="276"/>
        <v>0</v>
      </c>
      <c r="BO81" s="3">
        <f t="shared" si="276"/>
        <v>0</v>
      </c>
      <c r="BP81" s="397">
        <f t="shared" si="216"/>
        <v>0</v>
      </c>
      <c r="CF81" s="296" t="s">
        <v>1038</v>
      </c>
      <c r="CG81" s="12" t="s">
        <v>965</v>
      </c>
    </row>
    <row r="82" spans="1:85" s="5" customFormat="1" outlineLevel="1">
      <c r="A82" s="297" t="s">
        <v>530</v>
      </c>
      <c r="B82" s="12" t="s">
        <v>502</v>
      </c>
      <c r="P82" s="383">
        <f t="shared" si="208"/>
        <v>0</v>
      </c>
      <c r="AC82" s="383">
        <f t="shared" si="210"/>
        <v>0</v>
      </c>
      <c r="AP82" s="383">
        <f t="shared" si="212"/>
        <v>0</v>
      </c>
      <c r="BC82" s="383">
        <f t="shared" si="214"/>
        <v>0</v>
      </c>
      <c r="BP82" s="383">
        <f t="shared" si="216"/>
        <v>0</v>
      </c>
      <c r="CF82" s="297" t="s">
        <v>989</v>
      </c>
      <c r="CG82" s="12" t="s">
        <v>965</v>
      </c>
    </row>
    <row r="83" spans="1:85" s="5" customFormat="1" outlineLevel="1">
      <c r="A83" s="297" t="s">
        <v>531</v>
      </c>
      <c r="B83" s="12" t="s">
        <v>502</v>
      </c>
      <c r="P83" s="383">
        <f t="shared" si="208"/>
        <v>0</v>
      </c>
      <c r="AC83" s="383">
        <f t="shared" si="210"/>
        <v>0</v>
      </c>
      <c r="AP83" s="383">
        <f t="shared" si="212"/>
        <v>0</v>
      </c>
      <c r="BC83" s="383">
        <f t="shared" si="214"/>
        <v>0</v>
      </c>
      <c r="BP83" s="383">
        <f t="shared" si="216"/>
        <v>0</v>
      </c>
      <c r="CF83" s="297" t="s">
        <v>990</v>
      </c>
      <c r="CG83" s="12" t="s">
        <v>965</v>
      </c>
    </row>
    <row r="84" spans="1:85" s="5" customFormat="1" outlineLevel="1">
      <c r="A84" s="297" t="s">
        <v>532</v>
      </c>
      <c r="B84" s="12" t="s">
        <v>502</v>
      </c>
      <c r="P84" s="383">
        <f t="shared" si="208"/>
        <v>0</v>
      </c>
      <c r="AC84" s="383">
        <f t="shared" si="210"/>
        <v>0</v>
      </c>
      <c r="AP84" s="383">
        <f t="shared" si="212"/>
        <v>0</v>
      </c>
      <c r="BC84" s="383">
        <f t="shared" si="214"/>
        <v>0</v>
      </c>
      <c r="BP84" s="383">
        <f t="shared" si="216"/>
        <v>0</v>
      </c>
      <c r="CF84" s="297" t="s">
        <v>992</v>
      </c>
      <c r="CG84" s="12" t="s">
        <v>965</v>
      </c>
    </row>
    <row r="85" spans="1:85" s="5" customFormat="1" outlineLevel="1">
      <c r="A85" s="297" t="s">
        <v>533</v>
      </c>
      <c r="B85" s="12" t="s">
        <v>502</v>
      </c>
      <c r="P85" s="383">
        <f t="shared" si="208"/>
        <v>0</v>
      </c>
      <c r="AC85" s="383">
        <f t="shared" si="210"/>
        <v>0</v>
      </c>
      <c r="AP85" s="383">
        <f t="shared" si="212"/>
        <v>0</v>
      </c>
      <c r="BC85" s="383">
        <f t="shared" si="214"/>
        <v>0</v>
      </c>
      <c r="BP85" s="383">
        <f t="shared" si="216"/>
        <v>0</v>
      </c>
      <c r="CF85" s="297" t="s">
        <v>991</v>
      </c>
      <c r="CG85" s="12" t="s">
        <v>965</v>
      </c>
    </row>
    <row r="86" spans="1:85" s="5" customFormat="1" outlineLevel="1">
      <c r="A86" s="297" t="s">
        <v>534</v>
      </c>
      <c r="B86" s="12" t="s">
        <v>502</v>
      </c>
      <c r="P86" s="383">
        <f t="shared" si="208"/>
        <v>0</v>
      </c>
      <c r="AC86" s="383">
        <f t="shared" si="210"/>
        <v>0</v>
      </c>
      <c r="AP86" s="383">
        <f t="shared" si="212"/>
        <v>0</v>
      </c>
      <c r="BC86" s="383">
        <f t="shared" si="214"/>
        <v>0</v>
      </c>
      <c r="BP86" s="383">
        <f t="shared" si="216"/>
        <v>0</v>
      </c>
      <c r="CF86" s="297" t="s">
        <v>997</v>
      </c>
      <c r="CG86" s="12" t="s">
        <v>965</v>
      </c>
    </row>
    <row r="87" spans="1:85" s="5" customFormat="1" outlineLevel="1">
      <c r="A87" s="297" t="s">
        <v>535</v>
      </c>
      <c r="B87" s="12" t="s">
        <v>502</v>
      </c>
      <c r="P87" s="383">
        <f t="shared" si="208"/>
        <v>0</v>
      </c>
      <c r="AC87" s="383">
        <f t="shared" si="210"/>
        <v>0</v>
      </c>
      <c r="AP87" s="383">
        <f t="shared" si="212"/>
        <v>0</v>
      </c>
      <c r="BC87" s="383">
        <f t="shared" si="214"/>
        <v>0</v>
      </c>
      <c r="BP87" s="383">
        <f t="shared" si="216"/>
        <v>0</v>
      </c>
      <c r="CF87" s="297" t="s">
        <v>998</v>
      </c>
      <c r="CG87" s="12" t="s">
        <v>965</v>
      </c>
    </row>
    <row r="88" spans="1:85" s="5" customFormat="1" outlineLevel="1">
      <c r="A88" s="297" t="s">
        <v>536</v>
      </c>
      <c r="B88" s="12" t="s">
        <v>502</v>
      </c>
      <c r="P88" s="383">
        <f t="shared" si="208"/>
        <v>0</v>
      </c>
      <c r="AC88" s="383">
        <f t="shared" si="210"/>
        <v>0</v>
      </c>
      <c r="AP88" s="383">
        <f t="shared" si="212"/>
        <v>0</v>
      </c>
      <c r="BC88" s="383">
        <f t="shared" si="214"/>
        <v>0</v>
      </c>
      <c r="BP88" s="383">
        <f t="shared" si="216"/>
        <v>0</v>
      </c>
      <c r="CF88" s="297" t="s">
        <v>996</v>
      </c>
      <c r="CG88" s="12" t="s">
        <v>965</v>
      </c>
    </row>
    <row r="89" spans="1:85" s="3" customFormat="1">
      <c r="A89" s="296" t="s">
        <v>537</v>
      </c>
      <c r="B89" s="12" t="s">
        <v>502</v>
      </c>
      <c r="C89" s="5"/>
      <c r="P89" s="397">
        <f t="shared" si="208"/>
        <v>0</v>
      </c>
      <c r="AC89" s="397">
        <f t="shared" si="210"/>
        <v>0</v>
      </c>
      <c r="AP89" s="397">
        <f t="shared" si="212"/>
        <v>0</v>
      </c>
      <c r="BC89" s="397">
        <f t="shared" si="214"/>
        <v>0</v>
      </c>
      <c r="BP89" s="397">
        <f t="shared" si="216"/>
        <v>0</v>
      </c>
      <c r="CF89" s="296" t="s">
        <v>1040</v>
      </c>
      <c r="CG89" s="12" t="s">
        <v>965</v>
      </c>
    </row>
    <row r="90" spans="1:85" s="3" customFormat="1">
      <c r="A90" s="296" t="s">
        <v>538</v>
      </c>
      <c r="B90" s="12" t="s">
        <v>502</v>
      </c>
      <c r="C90" s="5"/>
      <c r="P90" s="397">
        <f t="shared" si="208"/>
        <v>0</v>
      </c>
      <c r="AC90" s="397">
        <f t="shared" si="210"/>
        <v>0</v>
      </c>
      <c r="AP90" s="397">
        <f t="shared" si="212"/>
        <v>0</v>
      </c>
      <c r="BC90" s="397">
        <f t="shared" si="214"/>
        <v>0</v>
      </c>
      <c r="BP90" s="397">
        <f t="shared" si="216"/>
        <v>0</v>
      </c>
      <c r="CF90" s="296" t="s">
        <v>1039</v>
      </c>
      <c r="CG90" s="12" t="s">
        <v>965</v>
      </c>
    </row>
    <row r="91" spans="1:85" s="63" customFormat="1">
      <c r="A91" s="298" t="s">
        <v>475</v>
      </c>
      <c r="B91" s="12" t="s">
        <v>502</v>
      </c>
      <c r="C91" s="299"/>
      <c r="D91" s="63">
        <f t="shared" ref="D91:O91" si="277">D80+D81+D89+D90</f>
        <v>0</v>
      </c>
      <c r="E91" s="63">
        <f t="shared" si="277"/>
        <v>0</v>
      </c>
      <c r="F91" s="63">
        <f t="shared" si="277"/>
        <v>0</v>
      </c>
      <c r="G91" s="63">
        <f t="shared" si="277"/>
        <v>0</v>
      </c>
      <c r="H91" s="63">
        <f t="shared" si="277"/>
        <v>0</v>
      </c>
      <c r="I91" s="63">
        <f t="shared" si="277"/>
        <v>0</v>
      </c>
      <c r="J91" s="63">
        <f t="shared" si="277"/>
        <v>0</v>
      </c>
      <c r="K91" s="63">
        <f t="shared" si="277"/>
        <v>0</v>
      </c>
      <c r="L91" s="63">
        <f t="shared" si="277"/>
        <v>0</v>
      </c>
      <c r="M91" s="63">
        <f t="shared" si="277"/>
        <v>0</v>
      </c>
      <c r="N91" s="63">
        <f t="shared" si="277"/>
        <v>0</v>
      </c>
      <c r="O91" s="63">
        <f t="shared" si="277"/>
        <v>0</v>
      </c>
      <c r="P91" s="419">
        <f t="shared" si="208"/>
        <v>0</v>
      </c>
      <c r="Q91" s="63">
        <f t="shared" ref="Q91:AB91" si="278">Q80+Q81+Q89+Q90</f>
        <v>0</v>
      </c>
      <c r="R91" s="63">
        <f t="shared" si="278"/>
        <v>0</v>
      </c>
      <c r="S91" s="63">
        <f t="shared" si="278"/>
        <v>0</v>
      </c>
      <c r="T91" s="63">
        <f t="shared" si="278"/>
        <v>0</v>
      </c>
      <c r="U91" s="63">
        <f t="shared" si="278"/>
        <v>0</v>
      </c>
      <c r="V91" s="63">
        <f t="shared" si="278"/>
        <v>0</v>
      </c>
      <c r="W91" s="63">
        <f t="shared" si="278"/>
        <v>0</v>
      </c>
      <c r="X91" s="63">
        <f t="shared" si="278"/>
        <v>0</v>
      </c>
      <c r="Y91" s="63">
        <f t="shared" si="278"/>
        <v>0</v>
      </c>
      <c r="Z91" s="63">
        <f t="shared" si="278"/>
        <v>0</v>
      </c>
      <c r="AA91" s="63">
        <f t="shared" si="278"/>
        <v>0</v>
      </c>
      <c r="AB91" s="63">
        <f t="shared" si="278"/>
        <v>0</v>
      </c>
      <c r="AC91" s="419">
        <f t="shared" si="210"/>
        <v>0</v>
      </c>
      <c r="AD91" s="63">
        <f t="shared" ref="AD91:AO91" si="279">AD80+AD81+AD89+AD90</f>
        <v>0</v>
      </c>
      <c r="AE91" s="63">
        <f t="shared" si="279"/>
        <v>0</v>
      </c>
      <c r="AF91" s="63">
        <f t="shared" si="279"/>
        <v>0</v>
      </c>
      <c r="AG91" s="63">
        <f t="shared" si="279"/>
        <v>0</v>
      </c>
      <c r="AH91" s="63">
        <f t="shared" si="279"/>
        <v>0</v>
      </c>
      <c r="AI91" s="63">
        <f t="shared" si="279"/>
        <v>0</v>
      </c>
      <c r="AJ91" s="63">
        <f t="shared" si="279"/>
        <v>0</v>
      </c>
      <c r="AK91" s="63">
        <f t="shared" si="279"/>
        <v>0</v>
      </c>
      <c r="AL91" s="63">
        <f t="shared" si="279"/>
        <v>0</v>
      </c>
      <c r="AM91" s="63">
        <f t="shared" si="279"/>
        <v>0</v>
      </c>
      <c r="AN91" s="63">
        <f t="shared" si="279"/>
        <v>0</v>
      </c>
      <c r="AO91" s="63">
        <f t="shared" si="279"/>
        <v>0</v>
      </c>
      <c r="AP91" s="419">
        <f t="shared" si="212"/>
        <v>0</v>
      </c>
      <c r="AQ91" s="63">
        <f t="shared" ref="AQ91:BB91" si="280">AQ80+AQ81+AQ89+AQ90</f>
        <v>0</v>
      </c>
      <c r="AR91" s="63">
        <f t="shared" si="280"/>
        <v>0</v>
      </c>
      <c r="AS91" s="63">
        <f t="shared" si="280"/>
        <v>0</v>
      </c>
      <c r="AT91" s="63">
        <f t="shared" si="280"/>
        <v>0</v>
      </c>
      <c r="AU91" s="63">
        <f t="shared" si="280"/>
        <v>0</v>
      </c>
      <c r="AV91" s="63">
        <f t="shared" si="280"/>
        <v>0</v>
      </c>
      <c r="AW91" s="63">
        <f t="shared" si="280"/>
        <v>0</v>
      </c>
      <c r="AX91" s="63">
        <f t="shared" si="280"/>
        <v>0</v>
      </c>
      <c r="AY91" s="63">
        <f t="shared" si="280"/>
        <v>0</v>
      </c>
      <c r="AZ91" s="63">
        <f t="shared" si="280"/>
        <v>0</v>
      </c>
      <c r="BA91" s="63">
        <f t="shared" si="280"/>
        <v>0</v>
      </c>
      <c r="BB91" s="63">
        <f t="shared" si="280"/>
        <v>0</v>
      </c>
      <c r="BC91" s="419">
        <f t="shared" si="214"/>
        <v>0</v>
      </c>
      <c r="BD91" s="63">
        <f t="shared" ref="BD91:BO91" si="281">BD80+BD81+BD89+BD90</f>
        <v>0</v>
      </c>
      <c r="BE91" s="63">
        <f t="shared" si="281"/>
        <v>0</v>
      </c>
      <c r="BF91" s="63">
        <f t="shared" si="281"/>
        <v>0</v>
      </c>
      <c r="BG91" s="63">
        <f t="shared" si="281"/>
        <v>0</v>
      </c>
      <c r="BH91" s="63">
        <f t="shared" si="281"/>
        <v>0</v>
      </c>
      <c r="BI91" s="63">
        <f t="shared" si="281"/>
        <v>0</v>
      </c>
      <c r="BJ91" s="63">
        <f t="shared" si="281"/>
        <v>0</v>
      </c>
      <c r="BK91" s="63">
        <f t="shared" si="281"/>
        <v>0</v>
      </c>
      <c r="BL91" s="63">
        <f t="shared" si="281"/>
        <v>0</v>
      </c>
      <c r="BM91" s="63">
        <f t="shared" si="281"/>
        <v>0</v>
      </c>
      <c r="BN91" s="63">
        <f t="shared" si="281"/>
        <v>0</v>
      </c>
      <c r="BO91" s="63">
        <f t="shared" si="281"/>
        <v>0</v>
      </c>
      <c r="BP91" s="419">
        <f t="shared" si="216"/>
        <v>0</v>
      </c>
      <c r="CF91" s="298" t="s">
        <v>859</v>
      </c>
      <c r="CG91" s="12" t="s">
        <v>965</v>
      </c>
    </row>
    <row r="92" spans="1:85" s="63" customFormat="1">
      <c r="A92" s="298" t="s">
        <v>539</v>
      </c>
      <c r="B92" s="12" t="s">
        <v>502</v>
      </c>
      <c r="C92" s="299"/>
      <c r="D92" s="63">
        <f t="shared" ref="D92:O92" si="282">D79+D91</f>
        <v>0</v>
      </c>
      <c r="E92" s="63">
        <f t="shared" si="282"/>
        <v>0</v>
      </c>
      <c r="F92" s="63">
        <f t="shared" si="282"/>
        <v>0</v>
      </c>
      <c r="G92" s="63">
        <f t="shared" si="282"/>
        <v>0</v>
      </c>
      <c r="H92" s="63">
        <f t="shared" si="282"/>
        <v>0</v>
      </c>
      <c r="I92" s="63">
        <f t="shared" si="282"/>
        <v>0</v>
      </c>
      <c r="J92" s="63">
        <f t="shared" si="282"/>
        <v>-7.611789998636378</v>
      </c>
      <c r="K92" s="63">
        <f t="shared" si="282"/>
        <v>-15.368489120664485</v>
      </c>
      <c r="L92" s="63">
        <f t="shared" si="282"/>
        <v>-23.43025710588855</v>
      </c>
      <c r="M92" s="63">
        <f t="shared" si="282"/>
        <v>-31.712925805108618</v>
      </c>
      <c r="N92" s="63">
        <f t="shared" si="282"/>
        <v>-40.328198909479283</v>
      </c>
      <c r="O92" s="63">
        <f t="shared" si="282"/>
        <v>-48.72784502415373</v>
      </c>
      <c r="P92" s="419">
        <f t="shared" si="208"/>
        <v>-167.17950596393106</v>
      </c>
      <c r="Q92" s="63">
        <f t="shared" ref="Q92:AB92" si="283">Q79+Q91</f>
        <v>-32.640441081337812</v>
      </c>
      <c r="R92" s="63">
        <f t="shared" si="283"/>
        <v>-41.902205003672648</v>
      </c>
      <c r="S92" s="63">
        <f t="shared" si="283"/>
        <v>-51.377786795858171</v>
      </c>
      <c r="T92" s="63">
        <f t="shared" si="283"/>
        <v>-62.13639999721579</v>
      </c>
      <c r="U92" s="63">
        <f t="shared" si="283"/>
        <v>-72.733916987441205</v>
      </c>
      <c r="V92" s="63">
        <f t="shared" si="283"/>
        <v>-84.430378902418539</v>
      </c>
      <c r="W92" s="63">
        <f t="shared" si="283"/>
        <v>-95.710399605254679</v>
      </c>
      <c r="X92" s="63">
        <f t="shared" si="283"/>
        <v>-107.76861204535805</v>
      </c>
      <c r="Y92" s="63">
        <f t="shared" si="283"/>
        <v>-120.77400061775319</v>
      </c>
      <c r="Z92" s="63">
        <f t="shared" si="283"/>
        <v>-132.94590252445579</v>
      </c>
      <c r="AA92" s="63">
        <f t="shared" si="283"/>
        <v>-146.75289300426704</v>
      </c>
      <c r="AB92" s="63">
        <f t="shared" si="283"/>
        <v>-158.76557153938148</v>
      </c>
      <c r="AC92" s="419">
        <f t="shared" si="210"/>
        <v>-1107.9385081044143</v>
      </c>
      <c r="AD92" s="63">
        <f t="shared" ref="AD92:AO92" si="284">AD79+AD91</f>
        <v>-29.391054770227186</v>
      </c>
      <c r="AE92" s="63">
        <f t="shared" si="284"/>
        <v>-24.21801434314898</v>
      </c>
      <c r="AF92" s="63">
        <f t="shared" si="284"/>
        <v>-20.637355984776264</v>
      </c>
      <c r="AG92" s="63">
        <f t="shared" si="284"/>
        <v>-23.926907218521592</v>
      </c>
      <c r="AH92" s="63">
        <f t="shared" si="284"/>
        <v>-23.481671842623371</v>
      </c>
      <c r="AI92" s="63">
        <f t="shared" si="284"/>
        <v>-27.130008250004039</v>
      </c>
      <c r="AJ92" s="63">
        <f t="shared" si="284"/>
        <v>-26.504714568933537</v>
      </c>
      <c r="AK92" s="63">
        <f t="shared" si="284"/>
        <v>-28.077746118876235</v>
      </c>
      <c r="AL92" s="63">
        <f t="shared" si="284"/>
        <v>-32.281415701945662</v>
      </c>
      <c r="AM92" s="63">
        <f t="shared" si="284"/>
        <v>-31.335575339130287</v>
      </c>
      <c r="AN92" s="63">
        <f t="shared" si="284"/>
        <v>-35.918133523514143</v>
      </c>
      <c r="AO92" s="63">
        <f t="shared" si="284"/>
        <v>-34.501603550323125</v>
      </c>
      <c r="AP92" s="419">
        <f t="shared" si="212"/>
        <v>-337.40420121202442</v>
      </c>
      <c r="AQ92" s="63">
        <f t="shared" ref="AQ92:BB92" si="285">AQ79+AQ91</f>
        <v>167.75832596677958</v>
      </c>
      <c r="AR92" s="63">
        <f t="shared" si="285"/>
        <v>190.5927315002059</v>
      </c>
      <c r="AS92" s="63">
        <f t="shared" si="285"/>
        <v>211.90818748696131</v>
      </c>
      <c r="AT92" s="63">
        <f t="shared" si="285"/>
        <v>212.9928975026188</v>
      </c>
      <c r="AU92" s="63">
        <f t="shared" si="285"/>
        <v>225.11975965366412</v>
      </c>
      <c r="AV92" s="63">
        <f t="shared" si="285"/>
        <v>226.46220441428011</v>
      </c>
      <c r="AW92" s="63">
        <f t="shared" si="285"/>
        <v>239.49872239312083</v>
      </c>
      <c r="AX92" s="63">
        <f t="shared" si="285"/>
        <v>247.0930895735836</v>
      </c>
      <c r="AY92" s="63">
        <f t="shared" si="285"/>
        <v>248.67238222715196</v>
      </c>
      <c r="AZ92" s="63">
        <f t="shared" si="285"/>
        <v>263.02470950279371</v>
      </c>
      <c r="BA92" s="63">
        <f t="shared" si="285"/>
        <v>264.66455839092646</v>
      </c>
      <c r="BB92" s="63">
        <f t="shared" si="285"/>
        <v>279.47465292422487</v>
      </c>
      <c r="BC92" s="419">
        <f t="shared" si="214"/>
        <v>2777.2622215363117</v>
      </c>
      <c r="BD92" s="63">
        <f t="shared" ref="BD92:BO92" si="286">BD79+BD91</f>
        <v>465.83905514346066</v>
      </c>
      <c r="BE92" s="63">
        <f t="shared" si="286"/>
        <v>486.49448428921312</v>
      </c>
      <c r="BF92" s="63">
        <f t="shared" si="286"/>
        <v>520.52937548699333</v>
      </c>
      <c r="BG92" s="63">
        <f t="shared" si="286"/>
        <v>519.66162308577373</v>
      </c>
      <c r="BH92" s="63">
        <f t="shared" si="286"/>
        <v>537.5951011023958</v>
      </c>
      <c r="BI92" s="63">
        <f t="shared" si="286"/>
        <v>537.64019728819619</v>
      </c>
      <c r="BJ92" s="63">
        <f t="shared" si="286"/>
        <v>557.0570277517545</v>
      </c>
      <c r="BK92" s="63">
        <f t="shared" si="286"/>
        <v>567.6226352359937</v>
      </c>
      <c r="BL92" s="63">
        <f t="shared" si="286"/>
        <v>568.77130841064491</v>
      </c>
      <c r="BM92" s="63">
        <f t="shared" si="286"/>
        <v>590.29404400198041</v>
      </c>
      <c r="BN92" s="63">
        <f t="shared" si="286"/>
        <v>592.00510525371612</v>
      </c>
      <c r="BO92" s="63">
        <f t="shared" si="286"/>
        <v>613.92702066208085</v>
      </c>
      <c r="BP92" s="419">
        <f t="shared" si="216"/>
        <v>6557.4369777122047</v>
      </c>
      <c r="CF92" s="298" t="s">
        <v>858</v>
      </c>
      <c r="CG92" s="12" t="s">
        <v>965</v>
      </c>
    </row>
    <row r="93" spans="1:85" s="3" customFormat="1">
      <c r="A93" s="296" t="s">
        <v>540</v>
      </c>
      <c r="B93" s="12" t="s">
        <v>502</v>
      </c>
      <c r="C93" s="40"/>
      <c r="D93" s="3">
        <f>IF(D92&lt;0,0,D92*$C$93)</f>
        <v>0</v>
      </c>
      <c r="E93" s="3">
        <f>IF(SUM(D92:E92)&lt;0,0,SUM(D92:E92)*$C$93)-D93</f>
        <v>0</v>
      </c>
      <c r="F93" s="3">
        <f>IF(SUM(D92:F92)&lt;0,0,SUM(D92:F92)*$C$93)-SUM(D93:E93)</f>
        <v>0</v>
      </c>
      <c r="G93" s="3">
        <f>IF(SUM(D92:G92)&lt;0,0,SUM(D92:G92)*$C$93)-SUM(D93:F93)</f>
        <v>0</v>
      </c>
      <c r="H93" s="3">
        <f>IF(SUM(D92:H92)&lt;0,0,SUM(D92:H92)*$C$93)-SUM(D93:G93)</f>
        <v>0</v>
      </c>
      <c r="I93" s="3">
        <f>IF(SUM(D92:I92)&lt;0,0,SUM(D92:I92)*$C$93)-SUM(D93:H93)</f>
        <v>0</v>
      </c>
      <c r="J93" s="3">
        <f>IF(SUM(D92:J92)&lt;0,0,SUM(D92:J92)*$C$93)-SUM(D93:I93)</f>
        <v>0</v>
      </c>
      <c r="K93" s="3">
        <f>IF(SUM(D92:K92)&lt;0,0,SUM(D92:K92)*$C$93)-SUM(D93:J93)</f>
        <v>0</v>
      </c>
      <c r="L93" s="3">
        <f>IF(SUM(D92:L92)&lt;0,0,SUM(D92:L92)*$C$93)-SUM(D93:K93)</f>
        <v>0</v>
      </c>
      <c r="M93" s="3">
        <f>IF(SUM(D92:M92)&lt;0,0,SUM(D92:M92)*$C$93)-SUM(D93:L93)</f>
        <v>0</v>
      </c>
      <c r="N93" s="3">
        <f>IF(SUM(D92:N92)&lt;0,0,SUM(D92:N92)*$C$93)-SUM(D93:M93)</f>
        <v>0</v>
      </c>
      <c r="O93" s="3">
        <f>IF(SUM(D92:O92)&lt;0,0,SUM(D92:O92)*$C$93)-SUM(D93:N93)</f>
        <v>0</v>
      </c>
      <c r="P93" s="397">
        <f t="shared" si="208"/>
        <v>0</v>
      </c>
      <c r="Q93" s="3">
        <f>IF(Q92&lt;0,0,Q92*$C$93)</f>
        <v>0</v>
      </c>
      <c r="R93" s="3">
        <f>IF(SUM(Q92:R92)&lt;0,0,SUM(Q92:R92)*$C$93)-Q93</f>
        <v>0</v>
      </c>
      <c r="S93" s="3">
        <f>IF(SUM(Q92:S92)&lt;0,0,SUM(Q92:S92)*$C$93)-SUM(Q93:R93)</f>
        <v>0</v>
      </c>
      <c r="T93" s="3">
        <f>IF(SUM(Q92:T92)&lt;0,0,SUM(Q92:T92)*$C$93)-SUM(Q93:S93)</f>
        <v>0</v>
      </c>
      <c r="U93" s="3">
        <f>IF(SUM(Q92:U92)&lt;0,0,SUM(Q92:U92)*$C$93)-SUM(Q93:T93)</f>
        <v>0</v>
      </c>
      <c r="V93" s="3">
        <f>IF(SUM(Q92:V92)&lt;0,0,SUM(Q92:V92)*$C$93)-SUM(Q93:U93)</f>
        <v>0</v>
      </c>
      <c r="W93" s="3">
        <f>IF(SUM(Q92:W92)&lt;0,0,SUM(Q92:W92)*$C$93)-SUM(Q93:V93)</f>
        <v>0</v>
      </c>
      <c r="X93" s="3">
        <f>IF(SUM(Q92:X92)&lt;0,0,SUM(Q92:X92)*$C$93)-SUM(Q93:W93)</f>
        <v>0</v>
      </c>
      <c r="Y93" s="3">
        <f>IF(SUM(Q92:Y92)&lt;0,0,SUM(Q92:Y92)*$C$93)-SUM(Q93:X93)</f>
        <v>0</v>
      </c>
      <c r="Z93" s="3">
        <f>IF(SUM(Q92:Z92)&lt;0,0,SUM(Q92:Z92)*$C$93)-SUM(Q93:Y93)</f>
        <v>0</v>
      </c>
      <c r="AA93" s="3">
        <f>IF(SUM(Q92:AA92)&lt;0,0,SUM(Q92:AA92)*$C$93)-SUM(Q93:Z93)</f>
        <v>0</v>
      </c>
      <c r="AB93" s="3">
        <f>IF(SUM(Q92:AB92)&lt;0,0,SUM(Q92:AB92)*$C$93)-SUM(Q93:AA93)</f>
        <v>0</v>
      </c>
      <c r="AC93" s="397">
        <f t="shared" si="210"/>
        <v>0</v>
      </c>
      <c r="AD93" s="3">
        <f>IF(AD92&lt;0,0,AD92*$C$93)</f>
        <v>0</v>
      </c>
      <c r="AE93" s="3">
        <f>IF(SUM(AD92:AE92)&lt;0,0,SUM(AD92:AE92)*$C$93)-AD93</f>
        <v>0</v>
      </c>
      <c r="AF93" s="3">
        <f>IF(SUM(AD92:AF92)&lt;0,0,SUM(AD92:AF92)*$C$93)-SUM(AD93:AE93)</f>
        <v>0</v>
      </c>
      <c r="AG93" s="3">
        <f>IF(SUM(AD92:AG92)&lt;0,0,SUM(AD92:AG92)*$C$93)-SUM(AD93:AF93)</f>
        <v>0</v>
      </c>
      <c r="AH93" s="3">
        <f>IF(SUM(AD92:AH92)&lt;0,0,SUM(AD92:AH92)*$C$93)-SUM(AD93:AG93)</f>
        <v>0</v>
      </c>
      <c r="AI93" s="3">
        <f>IF(SUM(AD92:AI92)&lt;0,0,SUM(AD92:AI92)*$C$93)-SUM(AD93:AH93)</f>
        <v>0</v>
      </c>
      <c r="AJ93" s="3">
        <f>IF(SUM(AD92:AJ92)&lt;0,0,SUM(AD92:AJ92)*$C$93)-SUM(AD93:AI93)</f>
        <v>0</v>
      </c>
      <c r="AK93" s="3">
        <f>IF(SUM(AD92:AK92)&lt;0,0,SUM(AD92:AK92)*$C$93)-SUM(AD93:AJ93)</f>
        <v>0</v>
      </c>
      <c r="AL93" s="3">
        <f>IF(SUM(AD92:AL92)&lt;0,0,SUM(AD92:AL92)*$C$93)-SUM(AD93:AK93)</f>
        <v>0</v>
      </c>
      <c r="AM93" s="3">
        <f>IF(SUM(AD92:AM92)&lt;0,0,SUM(AD92:AM92)*$C$93)-SUM(AD93:AL93)</f>
        <v>0</v>
      </c>
      <c r="AN93" s="3">
        <f>IF(SUM(AD92:AN92)&lt;0,0,SUM(AD92:AN92)*$C$93)-SUM(AD93:AM93)</f>
        <v>0</v>
      </c>
      <c r="AO93" s="3">
        <f>IF(SUM(AD92:AO92)&lt;0,0,SUM(AD92:AO92)*$C$93)-SUM(AD93:AN93)</f>
        <v>0</v>
      </c>
      <c r="AP93" s="397">
        <f t="shared" si="212"/>
        <v>0</v>
      </c>
      <c r="AQ93" s="3">
        <f>IF(AQ92&lt;0,0,AQ92*$C$93)</f>
        <v>0</v>
      </c>
      <c r="AR93" s="3">
        <f>IF(SUM(AQ92:AR92)&lt;0,0,SUM(AQ92:AR92)*$C$93)-AQ93</f>
        <v>0</v>
      </c>
      <c r="AS93" s="3">
        <f>IF(SUM(AQ92:AS92)&lt;0,0,SUM(AQ92:AS92)*$C$93)-SUM(AQ93:AR93)</f>
        <v>0</v>
      </c>
      <c r="AT93" s="3">
        <f>IF(SUM(AQ92:AT92)&lt;0,0,SUM(AQ92:AT92)*$C$93)-SUM(AQ93:AS93)</f>
        <v>0</v>
      </c>
      <c r="AU93" s="3">
        <f>IF(SUM(AQ92:AU92)&lt;0,0,SUM(AQ92:AU92)*$C$93)-SUM(AQ93:AT93)</f>
        <v>0</v>
      </c>
      <c r="AV93" s="3">
        <f>IF(SUM(AQ92:AV92)&lt;0,0,SUM(AQ92:AV92)*$C$93)-SUM(AQ93:AU93)</f>
        <v>0</v>
      </c>
      <c r="AW93" s="3">
        <f>IF(SUM(AQ92:AW92)&lt;0,0,SUM(AQ92:AW92)*$C$93)-SUM(AQ93:AV93)</f>
        <v>0</v>
      </c>
      <c r="AX93" s="3">
        <f>IF(SUM(AQ92:AX92)&lt;0,0,SUM(AQ92:AX92)*$C$93)-SUM(AQ93:AW93)</f>
        <v>0</v>
      </c>
      <c r="AY93" s="3">
        <f>IF(SUM(AQ92:AY92)&lt;0,0,SUM(AQ92:AY92)*$C$93)-SUM(AQ93:AX93)</f>
        <v>0</v>
      </c>
      <c r="AZ93" s="3">
        <f>IF(SUM(AQ92:AZ92)&lt;0,0,SUM(AQ92:AZ92)*$C$93)-SUM(AQ93:AY93)</f>
        <v>0</v>
      </c>
      <c r="BA93" s="3">
        <f>IF(SUM(AQ92:BA92)&lt;0,0,SUM(AQ92:BA92)*$C$93)-SUM(AQ93:AZ93)</f>
        <v>0</v>
      </c>
      <c r="BB93" s="3">
        <f>IF(SUM(AQ92:BB92)&lt;0,0,SUM(AQ92:BB92)*$C$93)-SUM(AQ93:BA93)</f>
        <v>0</v>
      </c>
      <c r="BC93" s="397">
        <f t="shared" si="214"/>
        <v>0</v>
      </c>
      <c r="BD93" s="3">
        <f>IF(BD92&lt;0,0,BD92*$C$93)</f>
        <v>0</v>
      </c>
      <c r="BE93" s="3">
        <f>IF(SUM(BD92:BE92)&lt;0,0,SUM(BD92:BE92)*$C$93)-BD93</f>
        <v>0</v>
      </c>
      <c r="BF93" s="3">
        <f>IF(SUM(BD92:BF92)&lt;0,0,SUM(BD92:BF92)*$C$93)-SUM(BD93:BE93)</f>
        <v>0</v>
      </c>
      <c r="BG93" s="3">
        <f>IF(SUM(BD92:BG92)&lt;0,0,SUM(BD92:BG92)*$C$93)-SUM(BD93:BF93)</f>
        <v>0</v>
      </c>
      <c r="BH93" s="3">
        <f>IF(SUM(BD92:BH92)&lt;0,0,SUM(BD92:BH92)*$C$93)-SUM(BD93:BG93)</f>
        <v>0</v>
      </c>
      <c r="BI93" s="3">
        <f>IF(SUM(BD92:BI92)&lt;0,0,SUM(BD92:BI92)*$C$93)-SUM(BD93:BH93)</f>
        <v>0</v>
      </c>
      <c r="BJ93" s="3">
        <f>IF(SUM(BD92:BJ92)&lt;0,0,SUM(BD92:BJ92)*$C$93)-SUM(BD93:BI93)</f>
        <v>0</v>
      </c>
      <c r="BK93" s="3">
        <f>IF(SUM(BD92:BK92)&lt;0,0,SUM(BD92:BK92)*$C$93)-SUM(BD93:BJ93)</f>
        <v>0</v>
      </c>
      <c r="BL93" s="3">
        <f>IF(SUM(BD92:BL92)&lt;0,0,SUM(BD92:BL92)*$C$93)-SUM(BD93:BK93)</f>
        <v>0</v>
      </c>
      <c r="BM93" s="3">
        <f>IF(SUM(BD92:BM92)&lt;0,0,SUM(BD92:BM92)*$C$93)-SUM(BD93:BL93)</f>
        <v>0</v>
      </c>
      <c r="BN93" s="3">
        <f>IF(SUM(BD92:BN92)&lt;0,0,SUM(BD92:BN92)*$C$93)-SUM(BD93:BM93)</f>
        <v>0</v>
      </c>
      <c r="BO93" s="3">
        <f>IF(SUM(BD92:BO92)&lt;0,0,SUM(BD92:BO92)*$C$93)-SUM(BD93:BN93)</f>
        <v>0</v>
      </c>
      <c r="BP93" s="397">
        <f t="shared" si="216"/>
        <v>0</v>
      </c>
      <c r="CF93" s="296" t="s">
        <v>857</v>
      </c>
      <c r="CG93" s="12" t="s">
        <v>965</v>
      </c>
    </row>
    <row r="94" spans="1:85" s="301" customFormat="1" ht="15.6">
      <c r="A94" s="301" t="s">
        <v>676</v>
      </c>
      <c r="B94" s="380" t="s">
        <v>502</v>
      </c>
      <c r="C94" s="302"/>
      <c r="D94" s="301">
        <f t="shared" ref="D94:O94" si="287">D92+D93</f>
        <v>0</v>
      </c>
      <c r="E94" s="301">
        <f t="shared" si="287"/>
        <v>0</v>
      </c>
      <c r="F94" s="301">
        <f t="shared" si="287"/>
        <v>0</v>
      </c>
      <c r="G94" s="301">
        <f t="shared" si="287"/>
        <v>0</v>
      </c>
      <c r="H94" s="301">
        <f t="shared" si="287"/>
        <v>0</v>
      </c>
      <c r="I94" s="301">
        <f t="shared" si="287"/>
        <v>0</v>
      </c>
      <c r="J94" s="301">
        <f t="shared" si="287"/>
        <v>-7.611789998636378</v>
      </c>
      <c r="K94" s="301">
        <f t="shared" si="287"/>
        <v>-15.368489120664485</v>
      </c>
      <c r="L94" s="301">
        <f t="shared" si="287"/>
        <v>-23.43025710588855</v>
      </c>
      <c r="M94" s="301">
        <f t="shared" si="287"/>
        <v>-31.712925805108618</v>
      </c>
      <c r="N94" s="301">
        <f t="shared" si="287"/>
        <v>-40.328198909479283</v>
      </c>
      <c r="O94" s="301">
        <f t="shared" si="287"/>
        <v>-48.72784502415373</v>
      </c>
      <c r="P94" s="389">
        <f t="shared" si="208"/>
        <v>-167.17950596393106</v>
      </c>
      <c r="Q94" s="301">
        <f t="shared" ref="Q94:AB94" si="288">Q92+Q93</f>
        <v>-32.640441081337812</v>
      </c>
      <c r="R94" s="301">
        <f t="shared" si="288"/>
        <v>-41.902205003672648</v>
      </c>
      <c r="S94" s="301">
        <f t="shared" si="288"/>
        <v>-51.377786795858171</v>
      </c>
      <c r="T94" s="301">
        <f t="shared" si="288"/>
        <v>-62.13639999721579</v>
      </c>
      <c r="U94" s="301">
        <f t="shared" si="288"/>
        <v>-72.733916987441205</v>
      </c>
      <c r="V94" s="301">
        <f t="shared" si="288"/>
        <v>-84.430378902418539</v>
      </c>
      <c r="W94" s="301">
        <f t="shared" si="288"/>
        <v>-95.710399605254679</v>
      </c>
      <c r="X94" s="301">
        <f t="shared" si="288"/>
        <v>-107.76861204535805</v>
      </c>
      <c r="Y94" s="301">
        <f t="shared" si="288"/>
        <v>-120.77400061775319</v>
      </c>
      <c r="Z94" s="301">
        <f t="shared" si="288"/>
        <v>-132.94590252445579</v>
      </c>
      <c r="AA94" s="301">
        <f t="shared" si="288"/>
        <v>-146.75289300426704</v>
      </c>
      <c r="AB94" s="301">
        <f t="shared" si="288"/>
        <v>-158.76557153938148</v>
      </c>
      <c r="AC94" s="389">
        <f t="shared" si="210"/>
        <v>-1107.9385081044143</v>
      </c>
      <c r="AD94" s="301">
        <f t="shared" ref="AD94:AO94" si="289">AD92+AD93</f>
        <v>-29.391054770227186</v>
      </c>
      <c r="AE94" s="301">
        <f t="shared" si="289"/>
        <v>-24.21801434314898</v>
      </c>
      <c r="AF94" s="301">
        <f t="shared" si="289"/>
        <v>-20.637355984776264</v>
      </c>
      <c r="AG94" s="301">
        <f t="shared" si="289"/>
        <v>-23.926907218521592</v>
      </c>
      <c r="AH94" s="301">
        <f t="shared" si="289"/>
        <v>-23.481671842623371</v>
      </c>
      <c r="AI94" s="301">
        <f t="shared" si="289"/>
        <v>-27.130008250004039</v>
      </c>
      <c r="AJ94" s="301">
        <f t="shared" si="289"/>
        <v>-26.504714568933537</v>
      </c>
      <c r="AK94" s="301">
        <f t="shared" si="289"/>
        <v>-28.077746118876235</v>
      </c>
      <c r="AL94" s="301">
        <f t="shared" si="289"/>
        <v>-32.281415701945662</v>
      </c>
      <c r="AM94" s="301">
        <f t="shared" si="289"/>
        <v>-31.335575339130287</v>
      </c>
      <c r="AN94" s="301">
        <f t="shared" si="289"/>
        <v>-35.918133523514143</v>
      </c>
      <c r="AO94" s="301">
        <f t="shared" si="289"/>
        <v>-34.501603550323125</v>
      </c>
      <c r="AP94" s="389">
        <f t="shared" si="212"/>
        <v>-337.40420121202442</v>
      </c>
      <c r="AQ94" s="301">
        <f t="shared" ref="AQ94:BB94" si="290">AQ92+AQ93</f>
        <v>167.75832596677958</v>
      </c>
      <c r="AR94" s="301">
        <f t="shared" si="290"/>
        <v>190.5927315002059</v>
      </c>
      <c r="AS94" s="301">
        <f t="shared" si="290"/>
        <v>211.90818748696131</v>
      </c>
      <c r="AT94" s="301">
        <f t="shared" si="290"/>
        <v>212.9928975026188</v>
      </c>
      <c r="AU94" s="301">
        <f t="shared" si="290"/>
        <v>225.11975965366412</v>
      </c>
      <c r="AV94" s="301">
        <f t="shared" si="290"/>
        <v>226.46220441428011</v>
      </c>
      <c r="AW94" s="301">
        <f t="shared" si="290"/>
        <v>239.49872239312083</v>
      </c>
      <c r="AX94" s="301">
        <f t="shared" si="290"/>
        <v>247.0930895735836</v>
      </c>
      <c r="AY94" s="301">
        <f t="shared" si="290"/>
        <v>248.67238222715196</v>
      </c>
      <c r="AZ94" s="301">
        <f t="shared" si="290"/>
        <v>263.02470950279371</v>
      </c>
      <c r="BA94" s="301">
        <f t="shared" si="290"/>
        <v>264.66455839092646</v>
      </c>
      <c r="BB94" s="301">
        <f t="shared" si="290"/>
        <v>279.47465292422487</v>
      </c>
      <c r="BC94" s="389">
        <f t="shared" si="214"/>
        <v>2777.2622215363117</v>
      </c>
      <c r="BD94" s="301">
        <f t="shared" ref="BD94:BO94" si="291">BD92+BD93</f>
        <v>465.83905514346066</v>
      </c>
      <c r="BE94" s="301">
        <f t="shared" si="291"/>
        <v>486.49448428921312</v>
      </c>
      <c r="BF94" s="301">
        <f t="shared" si="291"/>
        <v>520.52937548699333</v>
      </c>
      <c r="BG94" s="301">
        <f t="shared" si="291"/>
        <v>519.66162308577373</v>
      </c>
      <c r="BH94" s="301">
        <f t="shared" si="291"/>
        <v>537.5951011023958</v>
      </c>
      <c r="BI94" s="301">
        <f t="shared" si="291"/>
        <v>537.64019728819619</v>
      </c>
      <c r="BJ94" s="301">
        <f t="shared" si="291"/>
        <v>557.0570277517545</v>
      </c>
      <c r="BK94" s="301">
        <f t="shared" si="291"/>
        <v>567.6226352359937</v>
      </c>
      <c r="BL94" s="301">
        <f t="shared" si="291"/>
        <v>568.77130841064491</v>
      </c>
      <c r="BM94" s="301">
        <f t="shared" si="291"/>
        <v>590.29404400198041</v>
      </c>
      <c r="BN94" s="301">
        <f t="shared" si="291"/>
        <v>592.00510525371612</v>
      </c>
      <c r="BO94" s="301">
        <f t="shared" si="291"/>
        <v>613.92702066208085</v>
      </c>
      <c r="BP94" s="389">
        <f t="shared" si="216"/>
        <v>6557.4369777122047</v>
      </c>
      <c r="CF94" s="301" t="s">
        <v>940</v>
      </c>
      <c r="CG94" s="380" t="s">
        <v>965</v>
      </c>
    </row>
    <row r="95" spans="1:85" s="299" customFormat="1" ht="15.6">
      <c r="A95" s="299" t="s">
        <v>676</v>
      </c>
      <c r="B95" s="380" t="s">
        <v>628</v>
      </c>
      <c r="D95" s="299">
        <f t="shared" ref="D95:AI95" si="292">D94/500*1000</f>
        <v>0</v>
      </c>
      <c r="E95" s="299">
        <f t="shared" si="292"/>
        <v>0</v>
      </c>
      <c r="F95" s="299">
        <f t="shared" si="292"/>
        <v>0</v>
      </c>
      <c r="G95" s="299">
        <f t="shared" si="292"/>
        <v>0</v>
      </c>
      <c r="H95" s="299">
        <f t="shared" si="292"/>
        <v>0</v>
      </c>
      <c r="I95" s="299">
        <f t="shared" si="292"/>
        <v>0</v>
      </c>
      <c r="J95" s="299">
        <f t="shared" si="292"/>
        <v>-15.223579997272756</v>
      </c>
      <c r="K95" s="299">
        <f t="shared" si="292"/>
        <v>-30.73697824132897</v>
      </c>
      <c r="L95" s="299">
        <f t="shared" si="292"/>
        <v>-46.860514211777101</v>
      </c>
      <c r="M95" s="299">
        <f t="shared" si="292"/>
        <v>-63.425851610217244</v>
      </c>
      <c r="N95" s="299">
        <f t="shared" si="292"/>
        <v>-80.656397818958567</v>
      </c>
      <c r="O95" s="299">
        <f t="shared" si="292"/>
        <v>-97.45569004830746</v>
      </c>
      <c r="P95" s="299">
        <f t="shared" si="292"/>
        <v>-334.35901192786213</v>
      </c>
      <c r="Q95" s="299">
        <f t="shared" si="292"/>
        <v>-65.280882162675624</v>
      </c>
      <c r="R95" s="299">
        <f t="shared" si="292"/>
        <v>-83.804410007345297</v>
      </c>
      <c r="S95" s="299">
        <f t="shared" si="292"/>
        <v>-102.75557359171634</v>
      </c>
      <c r="T95" s="299">
        <f t="shared" si="292"/>
        <v>-124.27279999443158</v>
      </c>
      <c r="U95" s="299">
        <f t="shared" si="292"/>
        <v>-145.46783397488241</v>
      </c>
      <c r="V95" s="299">
        <f t="shared" si="292"/>
        <v>-168.86075780483708</v>
      </c>
      <c r="W95" s="299">
        <f t="shared" si="292"/>
        <v>-191.42079921050936</v>
      </c>
      <c r="X95" s="299">
        <f t="shared" si="292"/>
        <v>-215.53722409071611</v>
      </c>
      <c r="Y95" s="299">
        <f t="shared" si="292"/>
        <v>-241.54800123550638</v>
      </c>
      <c r="Z95" s="299">
        <f t="shared" si="292"/>
        <v>-265.89180504891158</v>
      </c>
      <c r="AA95" s="299">
        <f t="shared" si="292"/>
        <v>-293.50578600853407</v>
      </c>
      <c r="AB95" s="299">
        <f t="shared" si="292"/>
        <v>-317.53114307876297</v>
      </c>
      <c r="AC95" s="299">
        <f t="shared" si="292"/>
        <v>-2215.8770162088285</v>
      </c>
      <c r="AD95" s="299">
        <f t="shared" si="292"/>
        <v>-58.782109540454371</v>
      </c>
      <c r="AE95" s="299">
        <f t="shared" si="292"/>
        <v>-48.436028686297959</v>
      </c>
      <c r="AF95" s="299">
        <f t="shared" si="292"/>
        <v>-41.274711969552527</v>
      </c>
      <c r="AG95" s="299">
        <f t="shared" si="292"/>
        <v>-47.853814437043184</v>
      </c>
      <c r="AH95" s="299">
        <f t="shared" si="292"/>
        <v>-46.963343685246741</v>
      </c>
      <c r="AI95" s="299">
        <f t="shared" si="292"/>
        <v>-54.260016500008078</v>
      </c>
      <c r="AJ95" s="299">
        <f t="shared" ref="AJ95:BO95" si="293">AJ94/500*1000</f>
        <v>-53.009429137867073</v>
      </c>
      <c r="AK95" s="299">
        <f t="shared" si="293"/>
        <v>-56.155492237752469</v>
      </c>
      <c r="AL95" s="299">
        <f t="shared" si="293"/>
        <v>-64.562831403891323</v>
      </c>
      <c r="AM95" s="299">
        <f t="shared" si="293"/>
        <v>-62.671150678260567</v>
      </c>
      <c r="AN95" s="299">
        <f t="shared" si="293"/>
        <v>-71.836267047028286</v>
      </c>
      <c r="AO95" s="299">
        <f t="shared" si="293"/>
        <v>-69.00320710064625</v>
      </c>
      <c r="AP95" s="299">
        <f t="shared" si="293"/>
        <v>-674.80840242404884</v>
      </c>
      <c r="AQ95" s="299">
        <f t="shared" si="293"/>
        <v>335.51665193355916</v>
      </c>
      <c r="AR95" s="299">
        <f t="shared" si="293"/>
        <v>381.1854630004118</v>
      </c>
      <c r="AS95" s="299">
        <f t="shared" si="293"/>
        <v>423.81637497392262</v>
      </c>
      <c r="AT95" s="299">
        <f t="shared" si="293"/>
        <v>425.98579500523761</v>
      </c>
      <c r="AU95" s="299">
        <f t="shared" si="293"/>
        <v>450.23951930732824</v>
      </c>
      <c r="AV95" s="299">
        <f t="shared" si="293"/>
        <v>452.92440882856022</v>
      </c>
      <c r="AW95" s="299">
        <f t="shared" si="293"/>
        <v>478.99744478624166</v>
      </c>
      <c r="AX95" s="299">
        <f t="shared" si="293"/>
        <v>494.18617914716719</v>
      </c>
      <c r="AY95" s="299">
        <f t="shared" si="293"/>
        <v>497.34476445430391</v>
      </c>
      <c r="AZ95" s="299">
        <f t="shared" si="293"/>
        <v>526.04941900558742</v>
      </c>
      <c r="BA95" s="299">
        <f t="shared" si="293"/>
        <v>529.32911678185292</v>
      </c>
      <c r="BB95" s="299">
        <f t="shared" si="293"/>
        <v>558.94930584844974</v>
      </c>
      <c r="BC95" s="299">
        <f t="shared" si="293"/>
        <v>5554.5244430726234</v>
      </c>
      <c r="BD95" s="299">
        <f t="shared" si="293"/>
        <v>931.67811028692131</v>
      </c>
      <c r="BE95" s="299">
        <f t="shared" si="293"/>
        <v>972.98896857842624</v>
      </c>
      <c r="BF95" s="299">
        <f t="shared" si="293"/>
        <v>1041.0587509739867</v>
      </c>
      <c r="BG95" s="299">
        <f t="shared" si="293"/>
        <v>1039.3232461715475</v>
      </c>
      <c r="BH95" s="299">
        <f t="shared" si="293"/>
        <v>1075.1902022047916</v>
      </c>
      <c r="BI95" s="299">
        <f t="shared" si="293"/>
        <v>1075.2803945763924</v>
      </c>
      <c r="BJ95" s="299">
        <f t="shared" si="293"/>
        <v>1114.114055503509</v>
      </c>
      <c r="BK95" s="299">
        <f t="shared" si="293"/>
        <v>1135.2452704719874</v>
      </c>
      <c r="BL95" s="299">
        <f t="shared" si="293"/>
        <v>1137.5426168212898</v>
      </c>
      <c r="BM95" s="299">
        <f t="shared" si="293"/>
        <v>1180.5880880039608</v>
      </c>
      <c r="BN95" s="299">
        <f t="shared" si="293"/>
        <v>1184.0102105074322</v>
      </c>
      <c r="BO95" s="299">
        <f t="shared" si="293"/>
        <v>1227.8540413241617</v>
      </c>
      <c r="BP95" s="299">
        <f t="shared" ref="BP95" si="294">BP94/500*1000</f>
        <v>13114.873955424409</v>
      </c>
      <c r="BR95" s="60">
        <f>D95+E95+F95</f>
        <v>0</v>
      </c>
      <c r="BS95" s="60">
        <f>G95+H95+I95</f>
        <v>0</v>
      </c>
      <c r="BT95" s="60">
        <f>J95+K95+L95</f>
        <v>-92.821072450378836</v>
      </c>
      <c r="BU95" s="60">
        <f>M95+N95+O95</f>
        <v>-241.53793947748329</v>
      </c>
      <c r="BV95" s="60">
        <f>SUM(Q95:V95)</f>
        <v>-690.4422575358883</v>
      </c>
      <c r="BW95" s="60">
        <f>SUM(W95:AB95)</f>
        <v>-1525.4347586729405</v>
      </c>
      <c r="BX95" s="60">
        <f>SUM(AD95:AI95)</f>
        <v>-297.57002481860286</v>
      </c>
      <c r="BY95" s="60">
        <f>SUM(AJ95:AO95)</f>
        <v>-377.23837760544598</v>
      </c>
      <c r="BZ95" s="60">
        <f>SUM(AQ95:AV95)</f>
        <v>2469.6682130490199</v>
      </c>
      <c r="CA95" s="60">
        <f>SUM(AW95:BB95)</f>
        <v>3084.8562300236026</v>
      </c>
      <c r="CB95" s="60">
        <f>SUM(BD95:BI95)</f>
        <v>6135.5196727920656</v>
      </c>
      <c r="CC95" s="60">
        <f>SUM(BJ95:BO95)</f>
        <v>6979.354282632341</v>
      </c>
      <c r="CD95" s="301"/>
      <c r="CF95" s="299" t="s">
        <v>940</v>
      </c>
      <c r="CG95" s="380" t="s">
        <v>967</v>
      </c>
    </row>
    <row r="96" spans="1:85" s="1" customFormat="1">
      <c r="B96" s="413"/>
      <c r="C96" s="469"/>
      <c r="CG96" s="413"/>
    </row>
    <row r="97" spans="2:85" s="1" customFormat="1">
      <c r="B97" s="413"/>
      <c r="C97" s="469"/>
      <c r="CG97" s="413"/>
    </row>
    <row r="98" spans="2:85" s="1" customFormat="1">
      <c r="B98" s="413"/>
      <c r="C98" s="469"/>
      <c r="CG98" s="413"/>
    </row>
    <row r="99" spans="2:85" s="1" customFormat="1">
      <c r="B99" s="413"/>
      <c r="C99" s="469"/>
      <c r="CG99" s="413"/>
    </row>
    <row r="100" spans="2:85" s="1" customFormat="1">
      <c r="B100" s="413"/>
      <c r="C100" s="469"/>
      <c r="CG100" s="413"/>
    </row>
    <row r="101" spans="2:85" s="1" customFormat="1">
      <c r="B101" s="413"/>
      <c r="C101" s="469"/>
      <c r="CG101" s="41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7" tint="0.79998168889431442"/>
    <outlinePr summaryBelow="0"/>
  </sheetPr>
  <dimension ref="A1:CG117"/>
  <sheetViews>
    <sheetView showGridLines="0" zoomScale="110" zoomScaleNormal="110" workbookViewId="0">
      <selection activeCell="CG17" sqref="CG17"/>
    </sheetView>
  </sheetViews>
  <sheetFormatPr defaultColWidth="9.109375" defaultRowHeight="13.8" outlineLevelRow="1" outlineLevelCol="1"/>
  <cols>
    <col min="1" max="1" width="57.6640625" style="4" customWidth="1"/>
    <col min="2" max="2" width="10.6640625" style="13" customWidth="1"/>
    <col min="3" max="3" width="8.6640625" style="6" customWidth="1"/>
    <col min="4" max="15" width="9.109375" style="4" hidden="1" customWidth="1" outlineLevel="1"/>
    <col min="16" max="16" width="10.6640625" style="4" customWidth="1" collapsed="1"/>
    <col min="17" max="28" width="9.109375" style="4" hidden="1" customWidth="1" outlineLevel="1"/>
    <col min="29" max="29" width="10.6640625" style="4" customWidth="1" collapsed="1"/>
    <col min="30" max="41" width="9.109375" style="4" hidden="1" customWidth="1" outlineLevel="1"/>
    <col min="42" max="42" width="10.6640625" style="4" customWidth="1" collapsed="1"/>
    <col min="43" max="53" width="9.109375" style="4" hidden="1" customWidth="1" outlineLevel="1"/>
    <col min="54" max="54" width="9.109375" style="4" hidden="1" customWidth="1" outlineLevel="1" collapsed="1"/>
    <col min="55" max="55" width="10.6640625" style="4" customWidth="1" collapsed="1"/>
    <col min="56" max="67" width="9.109375" style="4" hidden="1" customWidth="1" outlineLevel="1"/>
    <col min="68" max="68" width="10.6640625" style="4" customWidth="1" collapsed="1"/>
    <col min="69" max="69" width="0" style="4" hidden="1" customWidth="1"/>
    <col min="70" max="71" width="2.109375" style="4" hidden="1" customWidth="1"/>
    <col min="72" max="72" width="7.109375" style="4" hidden="1" customWidth="1"/>
    <col min="73" max="76" width="8.33203125" style="4" hidden="1" customWidth="1"/>
    <col min="77" max="77" width="9.88671875" style="4" hidden="1" customWidth="1"/>
    <col min="78" max="78" width="8.33203125" style="4" hidden="1" customWidth="1"/>
    <col min="79" max="79" width="9.88671875" style="4" hidden="1" customWidth="1"/>
    <col min="80" max="80" width="8.33203125" style="4" hidden="1" customWidth="1"/>
    <col min="81" max="81" width="9.88671875" style="4" hidden="1" customWidth="1"/>
    <col min="82" max="82" width="0" style="4" hidden="1" customWidth="1"/>
    <col min="83" max="83" width="9.109375" style="4"/>
    <col min="84" max="84" width="57.6640625" style="4" customWidth="1"/>
    <col min="85" max="85" width="10.6640625" style="13" customWidth="1"/>
    <col min="86" max="16384" width="9.109375" style="4"/>
  </cols>
  <sheetData>
    <row r="1" spans="1:85" s="13" customFormat="1" ht="10.199999999999999">
      <c r="D1" s="13">
        <v>31</v>
      </c>
      <c r="E1" s="13">
        <v>28</v>
      </c>
      <c r="F1" s="13">
        <v>31</v>
      </c>
      <c r="G1" s="13">
        <v>30</v>
      </c>
      <c r="H1" s="13">
        <v>31</v>
      </c>
      <c r="I1" s="13">
        <v>30</v>
      </c>
      <c r="J1" s="13">
        <v>31</v>
      </c>
      <c r="K1" s="13">
        <v>31</v>
      </c>
      <c r="L1" s="13">
        <v>30</v>
      </c>
      <c r="M1" s="13">
        <v>31</v>
      </c>
      <c r="N1" s="13">
        <v>30</v>
      </c>
      <c r="O1" s="13">
        <v>31</v>
      </c>
      <c r="P1" s="429">
        <f>SUM(D1:O1)</f>
        <v>365</v>
      </c>
      <c r="Q1" s="13">
        <v>31</v>
      </c>
      <c r="R1" s="13">
        <v>28</v>
      </c>
      <c r="S1" s="13">
        <v>31</v>
      </c>
      <c r="T1" s="13">
        <v>30</v>
      </c>
      <c r="U1" s="13">
        <v>31</v>
      </c>
      <c r="V1" s="13">
        <v>30</v>
      </c>
      <c r="W1" s="13">
        <v>31</v>
      </c>
      <c r="X1" s="13">
        <v>31</v>
      </c>
      <c r="Y1" s="13">
        <v>30</v>
      </c>
      <c r="Z1" s="13">
        <v>31</v>
      </c>
      <c r="AA1" s="13">
        <v>30</v>
      </c>
      <c r="AB1" s="13">
        <v>31</v>
      </c>
      <c r="AC1" s="429">
        <f>SUM(Q1:AB1)</f>
        <v>365</v>
      </c>
      <c r="AD1" s="13">
        <v>31</v>
      </c>
      <c r="AE1" s="13">
        <v>28</v>
      </c>
      <c r="AF1" s="13">
        <v>31</v>
      </c>
      <c r="AG1" s="13">
        <v>30</v>
      </c>
      <c r="AH1" s="13">
        <v>31</v>
      </c>
      <c r="AI1" s="13">
        <v>30</v>
      </c>
      <c r="AJ1" s="13">
        <v>31</v>
      </c>
      <c r="AK1" s="13">
        <v>31</v>
      </c>
      <c r="AL1" s="13">
        <v>30</v>
      </c>
      <c r="AM1" s="13">
        <v>31</v>
      </c>
      <c r="AN1" s="13">
        <v>30</v>
      </c>
      <c r="AO1" s="13">
        <v>31</v>
      </c>
      <c r="AP1" s="429">
        <f>SUM(AD1:AO1)</f>
        <v>365</v>
      </c>
      <c r="AQ1" s="13">
        <v>31</v>
      </c>
      <c r="AR1" s="13">
        <v>28</v>
      </c>
      <c r="AS1" s="13">
        <v>31</v>
      </c>
      <c r="AT1" s="13">
        <v>30</v>
      </c>
      <c r="AU1" s="13">
        <v>31</v>
      </c>
      <c r="AV1" s="13">
        <v>30</v>
      </c>
      <c r="AW1" s="13">
        <v>31</v>
      </c>
      <c r="AX1" s="13">
        <v>31</v>
      </c>
      <c r="AY1" s="13">
        <v>30</v>
      </c>
      <c r="AZ1" s="13">
        <v>31</v>
      </c>
      <c r="BA1" s="13">
        <v>30</v>
      </c>
      <c r="BB1" s="13">
        <v>31</v>
      </c>
      <c r="BC1" s="429">
        <f>SUM(AQ1:BB1)</f>
        <v>365</v>
      </c>
      <c r="BD1" s="13">
        <v>31</v>
      </c>
      <c r="BE1" s="13">
        <v>28</v>
      </c>
      <c r="BF1" s="13">
        <v>31</v>
      </c>
      <c r="BG1" s="13">
        <v>30</v>
      </c>
      <c r="BH1" s="13">
        <v>31</v>
      </c>
      <c r="BI1" s="13">
        <v>30</v>
      </c>
      <c r="BJ1" s="13">
        <v>31</v>
      </c>
      <c r="BK1" s="13">
        <v>31</v>
      </c>
      <c r="BL1" s="13">
        <v>30</v>
      </c>
      <c r="BM1" s="13">
        <v>31</v>
      </c>
      <c r="BN1" s="13">
        <v>30</v>
      </c>
      <c r="BO1" s="13">
        <v>31</v>
      </c>
      <c r="BP1" s="429">
        <f>SUM(BD1:BO1)</f>
        <v>365</v>
      </c>
    </row>
    <row r="2" spans="1:85" s="1" customFormat="1">
      <c r="A2" s="415"/>
      <c r="B2" s="416" t="s">
        <v>665</v>
      </c>
      <c r="C2" s="428"/>
      <c r="D2" s="415" t="s">
        <v>107</v>
      </c>
      <c r="E2" s="415" t="s">
        <v>135</v>
      </c>
      <c r="F2" s="415" t="s">
        <v>136</v>
      </c>
      <c r="G2" s="415" t="s">
        <v>137</v>
      </c>
      <c r="H2" s="415" t="s">
        <v>138</v>
      </c>
      <c r="I2" s="415" t="s">
        <v>139</v>
      </c>
      <c r="J2" s="415" t="s">
        <v>140</v>
      </c>
      <c r="K2" s="415" t="s">
        <v>141</v>
      </c>
      <c r="L2" s="415" t="s">
        <v>142</v>
      </c>
      <c r="M2" s="415" t="s">
        <v>143</v>
      </c>
      <c r="N2" s="415" t="s">
        <v>144</v>
      </c>
      <c r="O2" s="415" t="s">
        <v>145</v>
      </c>
      <c r="P2" s="414" t="s">
        <v>146</v>
      </c>
      <c r="Q2" s="415" t="s">
        <v>107</v>
      </c>
      <c r="R2" s="415" t="s">
        <v>135</v>
      </c>
      <c r="S2" s="415" t="s">
        <v>136</v>
      </c>
      <c r="T2" s="415" t="s">
        <v>137</v>
      </c>
      <c r="U2" s="415" t="s">
        <v>138</v>
      </c>
      <c r="V2" s="415" t="s">
        <v>139</v>
      </c>
      <c r="W2" s="415" t="s">
        <v>140</v>
      </c>
      <c r="X2" s="415" t="s">
        <v>141</v>
      </c>
      <c r="Y2" s="415" t="s">
        <v>142</v>
      </c>
      <c r="Z2" s="415" t="s">
        <v>143</v>
      </c>
      <c r="AA2" s="415" t="s">
        <v>144</v>
      </c>
      <c r="AB2" s="415" t="s">
        <v>145</v>
      </c>
      <c r="AC2" s="414" t="s">
        <v>151</v>
      </c>
      <c r="AD2" s="415" t="s">
        <v>107</v>
      </c>
      <c r="AE2" s="415" t="s">
        <v>135</v>
      </c>
      <c r="AF2" s="415" t="s">
        <v>136</v>
      </c>
      <c r="AG2" s="415" t="s">
        <v>137</v>
      </c>
      <c r="AH2" s="415" t="s">
        <v>138</v>
      </c>
      <c r="AI2" s="415" t="s">
        <v>139</v>
      </c>
      <c r="AJ2" s="415" t="s">
        <v>140</v>
      </c>
      <c r="AK2" s="415" t="s">
        <v>141</v>
      </c>
      <c r="AL2" s="415" t="s">
        <v>142</v>
      </c>
      <c r="AM2" s="415" t="s">
        <v>143</v>
      </c>
      <c r="AN2" s="415" t="s">
        <v>144</v>
      </c>
      <c r="AO2" s="415" t="s">
        <v>145</v>
      </c>
      <c r="AP2" s="414" t="s">
        <v>152</v>
      </c>
      <c r="AQ2" s="415" t="s">
        <v>107</v>
      </c>
      <c r="AR2" s="415" t="s">
        <v>135</v>
      </c>
      <c r="AS2" s="415" t="s">
        <v>136</v>
      </c>
      <c r="AT2" s="415" t="s">
        <v>137</v>
      </c>
      <c r="AU2" s="415" t="s">
        <v>138</v>
      </c>
      <c r="AV2" s="415" t="s">
        <v>139</v>
      </c>
      <c r="AW2" s="415" t="s">
        <v>140</v>
      </c>
      <c r="AX2" s="415" t="s">
        <v>141</v>
      </c>
      <c r="AY2" s="415" t="s">
        <v>142</v>
      </c>
      <c r="AZ2" s="415" t="s">
        <v>143</v>
      </c>
      <c r="BA2" s="415" t="s">
        <v>144</v>
      </c>
      <c r="BB2" s="415" t="s">
        <v>145</v>
      </c>
      <c r="BC2" s="414" t="s">
        <v>153</v>
      </c>
      <c r="BD2" s="415" t="s">
        <v>107</v>
      </c>
      <c r="BE2" s="415" t="s">
        <v>135</v>
      </c>
      <c r="BF2" s="415" t="s">
        <v>136</v>
      </c>
      <c r="BG2" s="415" t="s">
        <v>137</v>
      </c>
      <c r="BH2" s="415" t="s">
        <v>138</v>
      </c>
      <c r="BI2" s="415" t="s">
        <v>139</v>
      </c>
      <c r="BJ2" s="415" t="s">
        <v>140</v>
      </c>
      <c r="BK2" s="415" t="s">
        <v>141</v>
      </c>
      <c r="BL2" s="415" t="s">
        <v>142</v>
      </c>
      <c r="BM2" s="415" t="s">
        <v>143</v>
      </c>
      <c r="BN2" s="415" t="s">
        <v>144</v>
      </c>
      <c r="BO2" s="415" t="s">
        <v>145</v>
      </c>
      <c r="BP2" s="414" t="s">
        <v>154</v>
      </c>
      <c r="CF2" s="415"/>
      <c r="CG2" s="416"/>
    </row>
    <row r="3" spans="1:85">
      <c r="P3" s="349"/>
      <c r="AC3" s="349"/>
      <c r="AP3" s="349"/>
      <c r="BC3" s="349"/>
      <c r="BP3" s="349"/>
    </row>
    <row r="4" spans="1:85" s="3" customFormat="1">
      <c r="A4" s="3" t="s">
        <v>24</v>
      </c>
      <c r="B4" s="12" t="s">
        <v>496</v>
      </c>
      <c r="C4" s="5"/>
      <c r="J4" s="3">
        <f>P4*J5</f>
        <v>9536.4389412884884</v>
      </c>
      <c r="K4" s="3">
        <f>P4*K5</f>
        <v>9536.4389412884884</v>
      </c>
      <c r="L4" s="3">
        <f>P4*L5</f>
        <v>9536.4389412884884</v>
      </c>
      <c r="M4" s="3">
        <f>P4*M5</f>
        <v>9536.4389412884884</v>
      </c>
      <c r="N4" s="3">
        <f>P4*N5</f>
        <v>9536.4389412884884</v>
      </c>
      <c r="O4" s="3">
        <f>P4*O5</f>
        <v>66755.07258901943</v>
      </c>
      <c r="P4" s="425">
        <f>Funnel!E107</f>
        <v>114437.26729546188</v>
      </c>
      <c r="Q4" s="3">
        <f>AC4*Q5</f>
        <v>21109.36765192834</v>
      </c>
      <c r="R4" s="3">
        <f>AC4*R5</f>
        <v>21109.36765192834</v>
      </c>
      <c r="S4" s="3">
        <f>AC4*S5</f>
        <v>21109.36765192834</v>
      </c>
      <c r="T4" s="3">
        <f>AC4*T5</f>
        <v>21109.36765192834</v>
      </c>
      <c r="U4" s="3">
        <f>AC4*U5</f>
        <v>21109.36765192834</v>
      </c>
      <c r="V4" s="3">
        <f>AC4*V5</f>
        <v>21109.36765192834</v>
      </c>
      <c r="W4" s="3">
        <f>AC4*W5</f>
        <v>21109.36765192834</v>
      </c>
      <c r="X4" s="3">
        <f>AC4*X5</f>
        <v>21109.36765192834</v>
      </c>
      <c r="Y4" s="3">
        <f>AC4*Y5</f>
        <v>21109.36765192834</v>
      </c>
      <c r="Z4" s="3">
        <f>AC4*Z5</f>
        <v>21109.36765192834</v>
      </c>
      <c r="AA4" s="3">
        <f>AC4*AA5</f>
        <v>21109.36765192834</v>
      </c>
      <c r="AB4" s="3">
        <f>AC4*AB5</f>
        <v>21109.367651928325</v>
      </c>
      <c r="AC4" s="425">
        <f>Funnel!F107</f>
        <v>253312.41182314011</v>
      </c>
      <c r="AD4" s="3">
        <f>AP4*AD5</f>
        <v>31359.676368357588</v>
      </c>
      <c r="AE4" s="3">
        <f>AP4*AE5</f>
        <v>31359.676368357588</v>
      </c>
      <c r="AF4" s="3">
        <f>AP4*AF5</f>
        <v>31359.676368357588</v>
      </c>
      <c r="AG4" s="3">
        <f>AP4*AG5</f>
        <v>31359.676368357588</v>
      </c>
      <c r="AH4" s="3">
        <f>AP4*AH5</f>
        <v>31359.676368357588</v>
      </c>
      <c r="AI4" s="3">
        <f>AP4*AI5</f>
        <v>31359.676368357588</v>
      </c>
      <c r="AJ4" s="3">
        <f>AP4*AJ5</f>
        <v>31359.676368357588</v>
      </c>
      <c r="AK4" s="3">
        <f>AP4*AK5</f>
        <v>31359.676368357588</v>
      </c>
      <c r="AL4" s="3">
        <f>AP4*AL5</f>
        <v>31359.676368357588</v>
      </c>
      <c r="AM4" s="3">
        <f>AP4*AM5</f>
        <v>31359.676368357588</v>
      </c>
      <c r="AN4" s="3">
        <f>AP4*AN5</f>
        <v>31359.676368357588</v>
      </c>
      <c r="AO4" s="3">
        <f>AP4*AO5</f>
        <v>31359.676368357563</v>
      </c>
      <c r="AP4" s="425">
        <f>Funnel!G107</f>
        <v>376316.11642029107</v>
      </c>
      <c r="AQ4" s="3">
        <f>BC4*AQ5</f>
        <v>43985.695059514022</v>
      </c>
      <c r="AR4" s="3">
        <f>BC4*AR5</f>
        <v>43985.695059514022</v>
      </c>
      <c r="AS4" s="3">
        <f>BC4*AS5</f>
        <v>43985.695059514022</v>
      </c>
      <c r="AT4" s="3">
        <f>BC4*AT5</f>
        <v>43985.695059514022</v>
      </c>
      <c r="AU4" s="3">
        <f>BC4*AU5</f>
        <v>43985.695059514022</v>
      </c>
      <c r="AV4" s="3">
        <f>BC4*AV5</f>
        <v>43985.695059514022</v>
      </c>
      <c r="AW4" s="3">
        <f>BC4*AW5</f>
        <v>43985.695059514022</v>
      </c>
      <c r="AX4" s="3">
        <f>BC4*AX5</f>
        <v>43985.695059514022</v>
      </c>
      <c r="AY4" s="3">
        <f>BC4*AY5</f>
        <v>43985.695059514022</v>
      </c>
      <c r="AZ4" s="3">
        <f>BC4*AZ5</f>
        <v>43985.695059514022</v>
      </c>
      <c r="BA4" s="3">
        <f>BC4*BA5</f>
        <v>43985.695059514022</v>
      </c>
      <c r="BB4" s="3">
        <f>BC4*BB5</f>
        <v>43985.695059513986</v>
      </c>
      <c r="BC4" s="425">
        <f>Funnel!H107</f>
        <v>527828.34071416827</v>
      </c>
      <c r="BD4" s="3">
        <f>BP4*BD5</f>
        <v>50209.861566441119</v>
      </c>
      <c r="BE4" s="3">
        <f>BP4*BE5</f>
        <v>50209.861566441119</v>
      </c>
      <c r="BF4" s="3">
        <f>BP4*BF5</f>
        <v>50209.861566441119</v>
      </c>
      <c r="BG4" s="3">
        <f>BP4*BG5</f>
        <v>50209.861566441119</v>
      </c>
      <c r="BH4" s="3">
        <f>BP4*BH5</f>
        <v>50209.861566441119</v>
      </c>
      <c r="BI4" s="3">
        <f>BP4*BI5</f>
        <v>50209.861566441119</v>
      </c>
      <c r="BJ4" s="3">
        <f>BP4*BJ5</f>
        <v>50209.861566441119</v>
      </c>
      <c r="BK4" s="3">
        <f>BP4*BK5</f>
        <v>50209.861566441119</v>
      </c>
      <c r="BL4" s="3">
        <f>BP4*BL5</f>
        <v>50209.861566441119</v>
      </c>
      <c r="BM4" s="3">
        <f>BP4*BM5</f>
        <v>50209.861566441119</v>
      </c>
      <c r="BN4" s="3">
        <f>BP4*BN5</f>
        <v>50209.861566441119</v>
      </c>
      <c r="BO4" s="3">
        <f>BP4*BO5</f>
        <v>50209.861566441083</v>
      </c>
      <c r="BP4" s="425">
        <f>Funnel!I107</f>
        <v>602518.33879729349</v>
      </c>
      <c r="CF4" s="3" t="s">
        <v>1102</v>
      </c>
      <c r="CG4" s="12" t="s">
        <v>394</v>
      </c>
    </row>
    <row r="5" spans="1:85" s="40" customFormat="1">
      <c r="A5" s="40" t="s">
        <v>155</v>
      </c>
      <c r="B5" s="285" t="s">
        <v>231</v>
      </c>
      <c r="J5" s="40">
        <f>100%/12</f>
        <v>8.3333333333333329E-2</v>
      </c>
      <c r="K5" s="40">
        <f>100%/12</f>
        <v>8.3333333333333329E-2</v>
      </c>
      <c r="L5" s="40">
        <f>100%/12</f>
        <v>8.3333333333333329E-2</v>
      </c>
      <c r="M5" s="40">
        <f>100%/12</f>
        <v>8.3333333333333329E-2</v>
      </c>
      <c r="N5" s="40">
        <f>100%/12</f>
        <v>8.3333333333333329E-2</v>
      </c>
      <c r="O5" s="40">
        <f>100%-SUM(D5:N5)</f>
        <v>0.58333333333333337</v>
      </c>
      <c r="P5" s="427">
        <f>SUM(D5:O5)</f>
        <v>1</v>
      </c>
      <c r="Q5" s="40">
        <f t="shared" ref="Q5:AA5" si="0">100%/12</f>
        <v>8.3333333333333329E-2</v>
      </c>
      <c r="R5" s="40">
        <f t="shared" si="0"/>
        <v>8.3333333333333329E-2</v>
      </c>
      <c r="S5" s="40">
        <f t="shared" si="0"/>
        <v>8.3333333333333329E-2</v>
      </c>
      <c r="T5" s="40">
        <f t="shared" si="0"/>
        <v>8.3333333333333329E-2</v>
      </c>
      <c r="U5" s="40">
        <f t="shared" si="0"/>
        <v>8.3333333333333329E-2</v>
      </c>
      <c r="V5" s="40">
        <f t="shared" si="0"/>
        <v>8.3333333333333329E-2</v>
      </c>
      <c r="W5" s="40">
        <f t="shared" si="0"/>
        <v>8.3333333333333329E-2</v>
      </c>
      <c r="X5" s="40">
        <f t="shared" si="0"/>
        <v>8.3333333333333329E-2</v>
      </c>
      <c r="Y5" s="40">
        <f t="shared" si="0"/>
        <v>8.3333333333333329E-2</v>
      </c>
      <c r="Z5" s="40">
        <f t="shared" si="0"/>
        <v>8.3333333333333329E-2</v>
      </c>
      <c r="AA5" s="40">
        <f t="shared" si="0"/>
        <v>8.3333333333333329E-2</v>
      </c>
      <c r="AB5" s="40">
        <f>100%-SUM(Q5:AA5)</f>
        <v>8.3333333333333259E-2</v>
      </c>
      <c r="AC5" s="427">
        <f>SUM(Q5:AB5)</f>
        <v>1</v>
      </c>
      <c r="AD5" s="40">
        <f t="shared" ref="AD5:AN5" si="1">100%/12</f>
        <v>8.3333333333333329E-2</v>
      </c>
      <c r="AE5" s="40">
        <f t="shared" si="1"/>
        <v>8.3333333333333329E-2</v>
      </c>
      <c r="AF5" s="40">
        <f t="shared" si="1"/>
        <v>8.3333333333333329E-2</v>
      </c>
      <c r="AG5" s="40">
        <f t="shared" si="1"/>
        <v>8.3333333333333329E-2</v>
      </c>
      <c r="AH5" s="40">
        <f t="shared" si="1"/>
        <v>8.3333333333333329E-2</v>
      </c>
      <c r="AI5" s="40">
        <f t="shared" si="1"/>
        <v>8.3333333333333329E-2</v>
      </c>
      <c r="AJ5" s="40">
        <f t="shared" si="1"/>
        <v>8.3333333333333329E-2</v>
      </c>
      <c r="AK5" s="40">
        <f t="shared" si="1"/>
        <v>8.3333333333333329E-2</v>
      </c>
      <c r="AL5" s="40">
        <f t="shared" si="1"/>
        <v>8.3333333333333329E-2</v>
      </c>
      <c r="AM5" s="40">
        <f t="shared" si="1"/>
        <v>8.3333333333333329E-2</v>
      </c>
      <c r="AN5" s="40">
        <f t="shared" si="1"/>
        <v>8.3333333333333329E-2</v>
      </c>
      <c r="AO5" s="40">
        <f>100%-SUM(AD5:AN5)</f>
        <v>8.3333333333333259E-2</v>
      </c>
      <c r="AP5" s="427">
        <f>SUM(AD5:AO5)</f>
        <v>1</v>
      </c>
      <c r="AQ5" s="40">
        <f t="shared" ref="AQ5:BA5" si="2">100%/12</f>
        <v>8.3333333333333329E-2</v>
      </c>
      <c r="AR5" s="40">
        <f t="shared" si="2"/>
        <v>8.3333333333333329E-2</v>
      </c>
      <c r="AS5" s="40">
        <f t="shared" si="2"/>
        <v>8.3333333333333329E-2</v>
      </c>
      <c r="AT5" s="40">
        <f t="shared" si="2"/>
        <v>8.3333333333333329E-2</v>
      </c>
      <c r="AU5" s="40">
        <f t="shared" si="2"/>
        <v>8.3333333333333329E-2</v>
      </c>
      <c r="AV5" s="40">
        <f t="shared" si="2"/>
        <v>8.3333333333333329E-2</v>
      </c>
      <c r="AW5" s="40">
        <f t="shared" si="2"/>
        <v>8.3333333333333329E-2</v>
      </c>
      <c r="AX5" s="40">
        <f t="shared" si="2"/>
        <v>8.3333333333333329E-2</v>
      </c>
      <c r="AY5" s="40">
        <f t="shared" si="2"/>
        <v>8.3333333333333329E-2</v>
      </c>
      <c r="AZ5" s="40">
        <f t="shared" si="2"/>
        <v>8.3333333333333329E-2</v>
      </c>
      <c r="BA5" s="40">
        <f t="shared" si="2"/>
        <v>8.3333333333333329E-2</v>
      </c>
      <c r="BB5" s="40">
        <f>100%-SUM(AQ5:BA5)</f>
        <v>8.3333333333333259E-2</v>
      </c>
      <c r="BC5" s="427">
        <f>SUM(AQ5:BB5)</f>
        <v>1</v>
      </c>
      <c r="BD5" s="40">
        <f t="shared" ref="BD5:BN5" si="3">100%/12</f>
        <v>8.3333333333333329E-2</v>
      </c>
      <c r="BE5" s="40">
        <f t="shared" si="3"/>
        <v>8.3333333333333329E-2</v>
      </c>
      <c r="BF5" s="40">
        <f t="shared" si="3"/>
        <v>8.3333333333333329E-2</v>
      </c>
      <c r="BG5" s="40">
        <f t="shared" si="3"/>
        <v>8.3333333333333329E-2</v>
      </c>
      <c r="BH5" s="40">
        <f t="shared" si="3"/>
        <v>8.3333333333333329E-2</v>
      </c>
      <c r="BI5" s="40">
        <f t="shared" si="3"/>
        <v>8.3333333333333329E-2</v>
      </c>
      <c r="BJ5" s="40">
        <f t="shared" si="3"/>
        <v>8.3333333333333329E-2</v>
      </c>
      <c r="BK5" s="40">
        <f t="shared" si="3"/>
        <v>8.3333333333333329E-2</v>
      </c>
      <c r="BL5" s="40">
        <f t="shared" si="3"/>
        <v>8.3333333333333329E-2</v>
      </c>
      <c r="BM5" s="40">
        <f t="shared" si="3"/>
        <v>8.3333333333333329E-2</v>
      </c>
      <c r="BN5" s="40">
        <f t="shared" si="3"/>
        <v>8.3333333333333329E-2</v>
      </c>
      <c r="BO5" s="40">
        <f>100%-SUM(BD5:BN5)</f>
        <v>8.3333333333333259E-2</v>
      </c>
      <c r="BP5" s="427">
        <f>SUM(BD5:BO5)</f>
        <v>1</v>
      </c>
      <c r="CF5" s="40" t="s">
        <v>1030</v>
      </c>
      <c r="CG5" s="285" t="s">
        <v>231</v>
      </c>
    </row>
    <row r="6" spans="1:85" s="65" customFormat="1">
      <c r="A6" s="76" t="s">
        <v>13</v>
      </c>
      <c r="B6" s="285" t="s">
        <v>231</v>
      </c>
      <c r="C6" s="40"/>
      <c r="J6" s="65">
        <f>P6</f>
        <v>0.2</v>
      </c>
      <c r="K6" s="65">
        <f>P6</f>
        <v>0.2</v>
      </c>
      <c r="L6" s="65">
        <f>P6</f>
        <v>0.2</v>
      </c>
      <c r="M6" s="65">
        <f>P6</f>
        <v>0.2</v>
      </c>
      <c r="N6" s="65">
        <f>P6</f>
        <v>0.2</v>
      </c>
      <c r="O6" s="65">
        <f>P6</f>
        <v>0.2</v>
      </c>
      <c r="P6" s="426">
        <f>Funnel!E108</f>
        <v>0.2</v>
      </c>
      <c r="Q6" s="65">
        <f>AC6</f>
        <v>0.3</v>
      </c>
      <c r="R6" s="65">
        <f>AC6</f>
        <v>0.3</v>
      </c>
      <c r="S6" s="65">
        <f>AC6</f>
        <v>0.3</v>
      </c>
      <c r="T6" s="65">
        <f>AC6</f>
        <v>0.3</v>
      </c>
      <c r="U6" s="65">
        <f>AC6</f>
        <v>0.3</v>
      </c>
      <c r="V6" s="65">
        <f>AC6</f>
        <v>0.3</v>
      </c>
      <c r="W6" s="65">
        <f>AC6</f>
        <v>0.3</v>
      </c>
      <c r="X6" s="65">
        <f>AC6</f>
        <v>0.3</v>
      </c>
      <c r="Y6" s="65">
        <f>AC6</f>
        <v>0.3</v>
      </c>
      <c r="Z6" s="65">
        <f>AC6</f>
        <v>0.3</v>
      </c>
      <c r="AA6" s="65">
        <f>AC6</f>
        <v>0.3</v>
      </c>
      <c r="AB6" s="65">
        <f>AC6</f>
        <v>0.3</v>
      </c>
      <c r="AC6" s="426">
        <f>Funnel!F108</f>
        <v>0.3</v>
      </c>
      <c r="AD6" s="65">
        <f>AP6</f>
        <v>0.35</v>
      </c>
      <c r="AE6" s="65">
        <f>AP6</f>
        <v>0.35</v>
      </c>
      <c r="AF6" s="65">
        <f>AP6</f>
        <v>0.35</v>
      </c>
      <c r="AG6" s="65">
        <f>AP6</f>
        <v>0.35</v>
      </c>
      <c r="AH6" s="65">
        <f>AP6</f>
        <v>0.35</v>
      </c>
      <c r="AI6" s="65">
        <f>AP6</f>
        <v>0.35</v>
      </c>
      <c r="AJ6" s="65">
        <f>AP6</f>
        <v>0.35</v>
      </c>
      <c r="AK6" s="65">
        <f>AP6</f>
        <v>0.35</v>
      </c>
      <c r="AL6" s="65">
        <f>AP6</f>
        <v>0.35</v>
      </c>
      <c r="AM6" s="65">
        <f>AP6</f>
        <v>0.35</v>
      </c>
      <c r="AN6" s="65">
        <f>AP6</f>
        <v>0.35</v>
      </c>
      <c r="AO6" s="65">
        <f>AP6</f>
        <v>0.35</v>
      </c>
      <c r="AP6" s="426">
        <f>Funnel!G108</f>
        <v>0.35</v>
      </c>
      <c r="AQ6" s="65">
        <f>BC6</f>
        <v>0.35</v>
      </c>
      <c r="AR6" s="65">
        <f>BC6</f>
        <v>0.35</v>
      </c>
      <c r="AS6" s="65">
        <f>BC6</f>
        <v>0.35</v>
      </c>
      <c r="AT6" s="65">
        <f>BC6</f>
        <v>0.35</v>
      </c>
      <c r="AU6" s="65">
        <f>BC6</f>
        <v>0.35</v>
      </c>
      <c r="AV6" s="65">
        <f>BC6</f>
        <v>0.35</v>
      </c>
      <c r="AW6" s="65">
        <f>BC6</f>
        <v>0.35</v>
      </c>
      <c r="AX6" s="65">
        <f>BC6</f>
        <v>0.35</v>
      </c>
      <c r="AY6" s="65">
        <f>BC6</f>
        <v>0.35</v>
      </c>
      <c r="AZ6" s="65">
        <f>BC6</f>
        <v>0.35</v>
      </c>
      <c r="BA6" s="65">
        <f>BC6</f>
        <v>0.35</v>
      </c>
      <c r="BB6" s="65">
        <f>BC6</f>
        <v>0.35</v>
      </c>
      <c r="BC6" s="426">
        <f>Funnel!H108</f>
        <v>0.35</v>
      </c>
      <c r="BD6" s="65">
        <f>BP6</f>
        <v>0.35</v>
      </c>
      <c r="BE6" s="65">
        <f>BP6</f>
        <v>0.35</v>
      </c>
      <c r="BF6" s="65">
        <f>BP6</f>
        <v>0.35</v>
      </c>
      <c r="BG6" s="65">
        <f>BP6</f>
        <v>0.35</v>
      </c>
      <c r="BH6" s="65">
        <f>BP6</f>
        <v>0.35</v>
      </c>
      <c r="BI6" s="65">
        <f>BP6</f>
        <v>0.35</v>
      </c>
      <c r="BJ6" s="65">
        <f>BP6</f>
        <v>0.35</v>
      </c>
      <c r="BK6" s="65">
        <f>BP6</f>
        <v>0.35</v>
      </c>
      <c r="BL6" s="65">
        <f>BP6</f>
        <v>0.35</v>
      </c>
      <c r="BM6" s="65">
        <f>BP6</f>
        <v>0.35</v>
      </c>
      <c r="BN6" s="65">
        <f>BP6</f>
        <v>0.35</v>
      </c>
      <c r="BO6" s="65">
        <f>BP6</f>
        <v>0.35</v>
      </c>
      <c r="BP6" s="426">
        <f>Funnel!I108</f>
        <v>0.35</v>
      </c>
      <c r="CF6" s="76" t="s">
        <v>13</v>
      </c>
      <c r="CG6" s="285" t="s">
        <v>231</v>
      </c>
    </row>
    <row r="7" spans="1:85" s="3" customFormat="1">
      <c r="A7" s="3" t="s">
        <v>688</v>
      </c>
      <c r="B7" s="12" t="s">
        <v>496</v>
      </c>
      <c r="C7" s="5"/>
      <c r="J7" s="3">
        <f t="shared" ref="J7:O7" si="4">J4*J6</f>
        <v>1907.2877882576977</v>
      </c>
      <c r="K7" s="3">
        <f t="shared" si="4"/>
        <v>1907.2877882576977</v>
      </c>
      <c r="L7" s="3">
        <f t="shared" si="4"/>
        <v>1907.2877882576977</v>
      </c>
      <c r="M7" s="3">
        <f t="shared" si="4"/>
        <v>1907.2877882576977</v>
      </c>
      <c r="N7" s="3">
        <f t="shared" si="4"/>
        <v>1907.2877882576977</v>
      </c>
      <c r="O7" s="3">
        <f t="shared" si="4"/>
        <v>13351.014517803887</v>
      </c>
      <c r="P7" s="397">
        <f>SUM(D7:O7)</f>
        <v>22887.453459092376</v>
      </c>
      <c r="Q7" s="3">
        <f t="shared" ref="Q7:AB7" si="5">Q4*Q6</f>
        <v>6332.8102955785016</v>
      </c>
      <c r="R7" s="3">
        <f t="shared" si="5"/>
        <v>6332.8102955785016</v>
      </c>
      <c r="S7" s="3">
        <f t="shared" si="5"/>
        <v>6332.8102955785016</v>
      </c>
      <c r="T7" s="3">
        <f t="shared" si="5"/>
        <v>6332.8102955785016</v>
      </c>
      <c r="U7" s="3">
        <f t="shared" si="5"/>
        <v>6332.8102955785016</v>
      </c>
      <c r="V7" s="3">
        <f t="shared" si="5"/>
        <v>6332.8102955785016</v>
      </c>
      <c r="W7" s="3">
        <f t="shared" si="5"/>
        <v>6332.8102955785016</v>
      </c>
      <c r="X7" s="3">
        <f t="shared" si="5"/>
        <v>6332.8102955785016</v>
      </c>
      <c r="Y7" s="3">
        <f t="shared" si="5"/>
        <v>6332.8102955785016</v>
      </c>
      <c r="Z7" s="3">
        <f t="shared" si="5"/>
        <v>6332.8102955785016</v>
      </c>
      <c r="AA7" s="3">
        <f t="shared" si="5"/>
        <v>6332.8102955785016</v>
      </c>
      <c r="AB7" s="3">
        <f t="shared" si="5"/>
        <v>6332.8102955784971</v>
      </c>
      <c r="AC7" s="397">
        <f>SUM(Q7:AB7)</f>
        <v>75993.723546942012</v>
      </c>
      <c r="AD7" s="3">
        <f t="shared" ref="AD7:AO7" si="6">AD4*AD6</f>
        <v>10975.886728925156</v>
      </c>
      <c r="AE7" s="3">
        <f t="shared" si="6"/>
        <v>10975.886728925156</v>
      </c>
      <c r="AF7" s="3">
        <f t="shared" si="6"/>
        <v>10975.886728925156</v>
      </c>
      <c r="AG7" s="3">
        <f t="shared" si="6"/>
        <v>10975.886728925156</v>
      </c>
      <c r="AH7" s="3">
        <f t="shared" si="6"/>
        <v>10975.886728925156</v>
      </c>
      <c r="AI7" s="3">
        <f t="shared" si="6"/>
        <v>10975.886728925156</v>
      </c>
      <c r="AJ7" s="3">
        <f t="shared" si="6"/>
        <v>10975.886728925156</v>
      </c>
      <c r="AK7" s="3">
        <f t="shared" si="6"/>
        <v>10975.886728925156</v>
      </c>
      <c r="AL7" s="3">
        <f t="shared" si="6"/>
        <v>10975.886728925156</v>
      </c>
      <c r="AM7" s="3">
        <f t="shared" si="6"/>
        <v>10975.886728925156</v>
      </c>
      <c r="AN7" s="3">
        <f t="shared" si="6"/>
        <v>10975.886728925156</v>
      </c>
      <c r="AO7" s="3">
        <f t="shared" si="6"/>
        <v>10975.886728925147</v>
      </c>
      <c r="AP7" s="397">
        <f>SUM(AD7:AO7)</f>
        <v>131710.64074710183</v>
      </c>
      <c r="AQ7" s="3">
        <f t="shared" ref="AQ7:BB7" si="7">AQ4*AQ6</f>
        <v>15394.993270829907</v>
      </c>
      <c r="AR7" s="3">
        <f t="shared" si="7"/>
        <v>15394.993270829907</v>
      </c>
      <c r="AS7" s="3">
        <f t="shared" si="7"/>
        <v>15394.993270829907</v>
      </c>
      <c r="AT7" s="3">
        <f t="shared" si="7"/>
        <v>15394.993270829907</v>
      </c>
      <c r="AU7" s="3">
        <f t="shared" si="7"/>
        <v>15394.993270829907</v>
      </c>
      <c r="AV7" s="3">
        <f t="shared" si="7"/>
        <v>15394.993270829907</v>
      </c>
      <c r="AW7" s="3">
        <f t="shared" si="7"/>
        <v>15394.993270829907</v>
      </c>
      <c r="AX7" s="3">
        <f t="shared" si="7"/>
        <v>15394.993270829907</v>
      </c>
      <c r="AY7" s="3">
        <f t="shared" si="7"/>
        <v>15394.993270829907</v>
      </c>
      <c r="AZ7" s="3">
        <f t="shared" si="7"/>
        <v>15394.993270829907</v>
      </c>
      <c r="BA7" s="3">
        <f t="shared" si="7"/>
        <v>15394.993270829907</v>
      </c>
      <c r="BB7" s="3">
        <f t="shared" si="7"/>
        <v>15394.993270829895</v>
      </c>
      <c r="BC7" s="397">
        <f>SUM(AQ7:BB7)</f>
        <v>184739.91924995885</v>
      </c>
      <c r="BD7" s="3">
        <f t="shared" ref="BD7:BO7" si="8">BD4*BD6</f>
        <v>17573.45154825439</v>
      </c>
      <c r="BE7" s="3">
        <f t="shared" si="8"/>
        <v>17573.45154825439</v>
      </c>
      <c r="BF7" s="3">
        <f t="shared" si="8"/>
        <v>17573.45154825439</v>
      </c>
      <c r="BG7" s="3">
        <f t="shared" si="8"/>
        <v>17573.45154825439</v>
      </c>
      <c r="BH7" s="3">
        <f t="shared" si="8"/>
        <v>17573.45154825439</v>
      </c>
      <c r="BI7" s="3">
        <f t="shared" si="8"/>
        <v>17573.45154825439</v>
      </c>
      <c r="BJ7" s="3">
        <f t="shared" si="8"/>
        <v>17573.45154825439</v>
      </c>
      <c r="BK7" s="3">
        <f t="shared" si="8"/>
        <v>17573.45154825439</v>
      </c>
      <c r="BL7" s="3">
        <f t="shared" si="8"/>
        <v>17573.45154825439</v>
      </c>
      <c r="BM7" s="3">
        <f t="shared" si="8"/>
        <v>17573.45154825439</v>
      </c>
      <c r="BN7" s="3">
        <f t="shared" si="8"/>
        <v>17573.45154825439</v>
      </c>
      <c r="BO7" s="3">
        <f t="shared" si="8"/>
        <v>17573.451548254379</v>
      </c>
      <c r="BP7" s="397">
        <f>SUM(BD7:BO7)</f>
        <v>210881.41857905264</v>
      </c>
      <c r="CF7" s="3" t="s">
        <v>1206</v>
      </c>
      <c r="CG7" s="12" t="s">
        <v>394</v>
      </c>
    </row>
    <row r="8" spans="1:85" s="65" customFormat="1">
      <c r="A8" s="76" t="s">
        <v>15</v>
      </c>
      <c r="B8" s="285" t="s">
        <v>231</v>
      </c>
      <c r="C8" s="40"/>
      <c r="J8" s="65">
        <f>P8</f>
        <v>0.8</v>
      </c>
      <c r="K8" s="65">
        <f>P8</f>
        <v>0.8</v>
      </c>
      <c r="L8" s="65">
        <f>P8</f>
        <v>0.8</v>
      </c>
      <c r="M8" s="65">
        <f>P8</f>
        <v>0.8</v>
      </c>
      <c r="N8" s="65">
        <f>P8</f>
        <v>0.8</v>
      </c>
      <c r="O8" s="65">
        <f>P8</f>
        <v>0.8</v>
      </c>
      <c r="P8" s="426">
        <f>Funnel!E110</f>
        <v>0.8</v>
      </c>
      <c r="Q8" s="65">
        <f>AC8</f>
        <v>0.8</v>
      </c>
      <c r="R8" s="65">
        <f>AC8</f>
        <v>0.8</v>
      </c>
      <c r="S8" s="65">
        <f>AC8</f>
        <v>0.8</v>
      </c>
      <c r="T8" s="65">
        <f>AC8</f>
        <v>0.8</v>
      </c>
      <c r="U8" s="65">
        <f>AC8</f>
        <v>0.8</v>
      </c>
      <c r="V8" s="65">
        <f>AC8</f>
        <v>0.8</v>
      </c>
      <c r="W8" s="65">
        <f>AC8</f>
        <v>0.8</v>
      </c>
      <c r="X8" s="65">
        <f>AC8</f>
        <v>0.8</v>
      </c>
      <c r="Y8" s="65">
        <f>AC8</f>
        <v>0.8</v>
      </c>
      <c r="Z8" s="65">
        <f>AC8</f>
        <v>0.8</v>
      </c>
      <c r="AA8" s="65">
        <f>AC8</f>
        <v>0.8</v>
      </c>
      <c r="AB8" s="65">
        <f>AC8</f>
        <v>0.8</v>
      </c>
      <c r="AC8" s="426">
        <f>Funnel!F110</f>
        <v>0.8</v>
      </c>
      <c r="AD8" s="65">
        <f>AP8</f>
        <v>0.8</v>
      </c>
      <c r="AE8" s="65">
        <f>AP8</f>
        <v>0.8</v>
      </c>
      <c r="AF8" s="65">
        <f>AP8</f>
        <v>0.8</v>
      </c>
      <c r="AG8" s="65">
        <f>AP8</f>
        <v>0.8</v>
      </c>
      <c r="AH8" s="65">
        <f>AP8</f>
        <v>0.8</v>
      </c>
      <c r="AI8" s="65">
        <f>AP8</f>
        <v>0.8</v>
      </c>
      <c r="AJ8" s="65">
        <f>AP8</f>
        <v>0.8</v>
      </c>
      <c r="AK8" s="65">
        <f>AP8</f>
        <v>0.8</v>
      </c>
      <c r="AL8" s="65">
        <f>AP8</f>
        <v>0.8</v>
      </c>
      <c r="AM8" s="65">
        <f>AP8</f>
        <v>0.8</v>
      </c>
      <c r="AN8" s="65">
        <f>AP8</f>
        <v>0.8</v>
      </c>
      <c r="AO8" s="65">
        <f>AP8</f>
        <v>0.8</v>
      </c>
      <c r="AP8" s="426">
        <f>Funnel!G110</f>
        <v>0.8</v>
      </c>
      <c r="AQ8" s="65">
        <f>BC8</f>
        <v>0.8</v>
      </c>
      <c r="AR8" s="65">
        <f>BC8</f>
        <v>0.8</v>
      </c>
      <c r="AS8" s="65">
        <f>BC8</f>
        <v>0.8</v>
      </c>
      <c r="AT8" s="65">
        <f>BC8</f>
        <v>0.8</v>
      </c>
      <c r="AU8" s="65">
        <f>BC8</f>
        <v>0.8</v>
      </c>
      <c r="AV8" s="65">
        <f>BC8</f>
        <v>0.8</v>
      </c>
      <c r="AW8" s="65">
        <f>BC8</f>
        <v>0.8</v>
      </c>
      <c r="AX8" s="65">
        <f>BC8</f>
        <v>0.8</v>
      </c>
      <c r="AY8" s="65">
        <f>BC8</f>
        <v>0.8</v>
      </c>
      <c r="AZ8" s="65">
        <f>BC8</f>
        <v>0.8</v>
      </c>
      <c r="BA8" s="65">
        <f>BC8</f>
        <v>0.8</v>
      </c>
      <c r="BB8" s="65">
        <f>BC8</f>
        <v>0.8</v>
      </c>
      <c r="BC8" s="426">
        <f>Funnel!H110</f>
        <v>0.8</v>
      </c>
      <c r="BD8" s="65">
        <f>BP8</f>
        <v>0.8</v>
      </c>
      <c r="BE8" s="65">
        <f>BP8</f>
        <v>0.8</v>
      </c>
      <c r="BF8" s="65">
        <f>BP8</f>
        <v>0.8</v>
      </c>
      <c r="BG8" s="65">
        <f>BP8</f>
        <v>0.8</v>
      </c>
      <c r="BH8" s="65">
        <f>BP8</f>
        <v>0.8</v>
      </c>
      <c r="BI8" s="65">
        <f>BP8</f>
        <v>0.8</v>
      </c>
      <c r="BJ8" s="65">
        <f>BP8</f>
        <v>0.8</v>
      </c>
      <c r="BK8" s="65">
        <f>BP8</f>
        <v>0.8</v>
      </c>
      <c r="BL8" s="65">
        <f>BP8</f>
        <v>0.8</v>
      </c>
      <c r="BM8" s="65">
        <f>BP8</f>
        <v>0.8</v>
      </c>
      <c r="BN8" s="65">
        <f>BP8</f>
        <v>0.8</v>
      </c>
      <c r="BO8" s="65">
        <f>BP8</f>
        <v>0.8</v>
      </c>
      <c r="BP8" s="426">
        <f>Funnel!I110</f>
        <v>0.8</v>
      </c>
      <c r="CF8" s="76" t="s">
        <v>15</v>
      </c>
      <c r="CG8" s="285" t="s">
        <v>231</v>
      </c>
    </row>
    <row r="9" spans="1:85" s="3" customFormat="1">
      <c r="A9" s="3" t="s">
        <v>687</v>
      </c>
      <c r="B9" s="12" t="s">
        <v>496</v>
      </c>
      <c r="C9" s="5"/>
      <c r="J9" s="3">
        <f t="shared" ref="J9:O9" si="9">J7*J8</f>
        <v>1525.8302306061582</v>
      </c>
      <c r="K9" s="3">
        <f t="shared" si="9"/>
        <v>1525.8302306061582</v>
      </c>
      <c r="L9" s="3">
        <f t="shared" si="9"/>
        <v>1525.8302306061582</v>
      </c>
      <c r="M9" s="3">
        <f t="shared" si="9"/>
        <v>1525.8302306061582</v>
      </c>
      <c r="N9" s="3">
        <f t="shared" si="9"/>
        <v>1525.8302306061582</v>
      </c>
      <c r="O9" s="3">
        <f t="shared" si="9"/>
        <v>10680.81161424311</v>
      </c>
      <c r="P9" s="397">
        <f>SUM(D9:O9)</f>
        <v>18309.962767273901</v>
      </c>
      <c r="Q9" s="3">
        <f t="shared" ref="Q9:AB9" si="10">Q7*Q8</f>
        <v>5066.2482364628013</v>
      </c>
      <c r="R9" s="3">
        <f t="shared" si="10"/>
        <v>5066.2482364628013</v>
      </c>
      <c r="S9" s="3">
        <f t="shared" si="10"/>
        <v>5066.2482364628013</v>
      </c>
      <c r="T9" s="3">
        <f t="shared" si="10"/>
        <v>5066.2482364628013</v>
      </c>
      <c r="U9" s="3">
        <f t="shared" si="10"/>
        <v>5066.2482364628013</v>
      </c>
      <c r="V9" s="3">
        <f t="shared" si="10"/>
        <v>5066.2482364628013</v>
      </c>
      <c r="W9" s="3">
        <f t="shared" si="10"/>
        <v>5066.2482364628013</v>
      </c>
      <c r="X9" s="3">
        <f t="shared" si="10"/>
        <v>5066.2482364628013</v>
      </c>
      <c r="Y9" s="3">
        <f t="shared" si="10"/>
        <v>5066.2482364628013</v>
      </c>
      <c r="Z9" s="3">
        <f t="shared" si="10"/>
        <v>5066.2482364628013</v>
      </c>
      <c r="AA9" s="3">
        <f t="shared" si="10"/>
        <v>5066.2482364628013</v>
      </c>
      <c r="AB9" s="3">
        <f t="shared" si="10"/>
        <v>5066.2482364627976</v>
      </c>
      <c r="AC9" s="397">
        <f>SUM(Q9:AB9)</f>
        <v>60794.978837553615</v>
      </c>
      <c r="AD9" s="3">
        <f t="shared" ref="AD9:AO9" si="11">AD7*AD8</f>
        <v>8780.7093831401253</v>
      </c>
      <c r="AE9" s="3">
        <f t="shared" si="11"/>
        <v>8780.7093831401253</v>
      </c>
      <c r="AF9" s="3">
        <f t="shared" si="11"/>
        <v>8780.7093831401253</v>
      </c>
      <c r="AG9" s="3">
        <f t="shared" si="11"/>
        <v>8780.7093831401253</v>
      </c>
      <c r="AH9" s="3">
        <f t="shared" si="11"/>
        <v>8780.7093831401253</v>
      </c>
      <c r="AI9" s="3">
        <f t="shared" si="11"/>
        <v>8780.7093831401253</v>
      </c>
      <c r="AJ9" s="3">
        <f t="shared" si="11"/>
        <v>8780.7093831401253</v>
      </c>
      <c r="AK9" s="3">
        <f t="shared" si="11"/>
        <v>8780.7093831401253</v>
      </c>
      <c r="AL9" s="3">
        <f t="shared" si="11"/>
        <v>8780.7093831401253</v>
      </c>
      <c r="AM9" s="3">
        <f t="shared" si="11"/>
        <v>8780.7093831401253</v>
      </c>
      <c r="AN9" s="3">
        <f t="shared" si="11"/>
        <v>8780.7093831401253</v>
      </c>
      <c r="AO9" s="3">
        <f t="shared" si="11"/>
        <v>8780.709383140118</v>
      </c>
      <c r="AP9" s="397">
        <f>SUM(AD9:AO9)</f>
        <v>105368.51259768152</v>
      </c>
      <c r="AQ9" s="3">
        <f t="shared" ref="AQ9:BB9" si="12">AQ7*AQ8</f>
        <v>12315.994616663927</v>
      </c>
      <c r="AR9" s="3">
        <f t="shared" si="12"/>
        <v>12315.994616663927</v>
      </c>
      <c r="AS9" s="3">
        <f t="shared" si="12"/>
        <v>12315.994616663927</v>
      </c>
      <c r="AT9" s="3">
        <f t="shared" si="12"/>
        <v>12315.994616663927</v>
      </c>
      <c r="AU9" s="3">
        <f t="shared" si="12"/>
        <v>12315.994616663927</v>
      </c>
      <c r="AV9" s="3">
        <f t="shared" si="12"/>
        <v>12315.994616663927</v>
      </c>
      <c r="AW9" s="3">
        <f t="shared" si="12"/>
        <v>12315.994616663927</v>
      </c>
      <c r="AX9" s="3">
        <f t="shared" si="12"/>
        <v>12315.994616663927</v>
      </c>
      <c r="AY9" s="3">
        <f t="shared" si="12"/>
        <v>12315.994616663927</v>
      </c>
      <c r="AZ9" s="3">
        <f t="shared" si="12"/>
        <v>12315.994616663927</v>
      </c>
      <c r="BA9" s="3">
        <f t="shared" si="12"/>
        <v>12315.994616663927</v>
      </c>
      <c r="BB9" s="3">
        <f t="shared" si="12"/>
        <v>12315.994616663917</v>
      </c>
      <c r="BC9" s="397">
        <f>SUM(AQ9:BB9)</f>
        <v>147791.93539996713</v>
      </c>
      <c r="BD9" s="3">
        <f t="shared" ref="BD9:BO9" si="13">BD7*BD8</f>
        <v>14058.761238603513</v>
      </c>
      <c r="BE9" s="3">
        <f t="shared" si="13"/>
        <v>14058.761238603513</v>
      </c>
      <c r="BF9" s="3">
        <f t="shared" si="13"/>
        <v>14058.761238603513</v>
      </c>
      <c r="BG9" s="3">
        <f t="shared" si="13"/>
        <v>14058.761238603513</v>
      </c>
      <c r="BH9" s="3">
        <f t="shared" si="13"/>
        <v>14058.761238603513</v>
      </c>
      <c r="BI9" s="3">
        <f t="shared" si="13"/>
        <v>14058.761238603513</v>
      </c>
      <c r="BJ9" s="3">
        <f t="shared" si="13"/>
        <v>14058.761238603513</v>
      </c>
      <c r="BK9" s="3">
        <f t="shared" si="13"/>
        <v>14058.761238603513</v>
      </c>
      <c r="BL9" s="3">
        <f t="shared" si="13"/>
        <v>14058.761238603513</v>
      </c>
      <c r="BM9" s="3">
        <f t="shared" si="13"/>
        <v>14058.761238603513</v>
      </c>
      <c r="BN9" s="3">
        <f t="shared" si="13"/>
        <v>14058.761238603513</v>
      </c>
      <c r="BO9" s="3">
        <f t="shared" si="13"/>
        <v>14058.761238603503</v>
      </c>
      <c r="BP9" s="397">
        <f>SUM(BD9:BO9)</f>
        <v>168705.13486324216</v>
      </c>
      <c r="CF9" s="3" t="s">
        <v>1207</v>
      </c>
      <c r="CG9" s="12" t="s">
        <v>394</v>
      </c>
    </row>
    <row r="10" spans="1:85" s="3" customFormat="1">
      <c r="A10" s="3" t="s">
        <v>17</v>
      </c>
      <c r="B10" s="12" t="s">
        <v>130</v>
      </c>
      <c r="C10" s="5"/>
      <c r="J10" s="3">
        <f>P10</f>
        <v>1000000</v>
      </c>
      <c r="K10" s="3">
        <f>P10</f>
        <v>1000000</v>
      </c>
      <c r="L10" s="3">
        <f>P10</f>
        <v>1000000</v>
      </c>
      <c r="M10" s="3">
        <f>P10</f>
        <v>1000000</v>
      </c>
      <c r="N10" s="3">
        <f>P10</f>
        <v>1000000</v>
      </c>
      <c r="O10" s="3">
        <f>P10</f>
        <v>1000000</v>
      </c>
      <c r="P10" s="425">
        <f>Funnel!E112</f>
        <v>1000000</v>
      </c>
      <c r="Q10" s="3">
        <f>AC10</f>
        <v>1100000</v>
      </c>
      <c r="R10" s="3">
        <f>AC10</f>
        <v>1100000</v>
      </c>
      <c r="S10" s="3">
        <f>AC10</f>
        <v>1100000</v>
      </c>
      <c r="T10" s="3">
        <f>AC10</f>
        <v>1100000</v>
      </c>
      <c r="U10" s="3">
        <f>AC10</f>
        <v>1100000</v>
      </c>
      <c r="V10" s="3">
        <f>AC10</f>
        <v>1100000</v>
      </c>
      <c r="W10" s="3">
        <f>AC10</f>
        <v>1100000</v>
      </c>
      <c r="X10" s="3">
        <f>AC10</f>
        <v>1100000</v>
      </c>
      <c r="Y10" s="3">
        <f>AC10</f>
        <v>1100000</v>
      </c>
      <c r="Z10" s="3">
        <f>AC10</f>
        <v>1100000</v>
      </c>
      <c r="AA10" s="3">
        <f>AC10</f>
        <v>1100000</v>
      </c>
      <c r="AB10" s="3">
        <f>AC10</f>
        <v>1100000</v>
      </c>
      <c r="AC10" s="425">
        <f>Funnel!F112</f>
        <v>1100000</v>
      </c>
      <c r="AD10" s="3">
        <f>AP10</f>
        <v>1210000</v>
      </c>
      <c r="AE10" s="3">
        <f>AP10</f>
        <v>1210000</v>
      </c>
      <c r="AF10" s="3">
        <f>AP10</f>
        <v>1210000</v>
      </c>
      <c r="AG10" s="3">
        <f>AP10</f>
        <v>1210000</v>
      </c>
      <c r="AH10" s="3">
        <f>AP10</f>
        <v>1210000</v>
      </c>
      <c r="AI10" s="3">
        <f>AP10</f>
        <v>1210000</v>
      </c>
      <c r="AJ10" s="3">
        <f>AP10</f>
        <v>1210000</v>
      </c>
      <c r="AK10" s="3">
        <f>AP10</f>
        <v>1210000</v>
      </c>
      <c r="AL10" s="3">
        <f>AP10</f>
        <v>1210000</v>
      </c>
      <c r="AM10" s="3">
        <f>AP10</f>
        <v>1210000</v>
      </c>
      <c r="AN10" s="3">
        <f>AP10</f>
        <v>1210000</v>
      </c>
      <c r="AO10" s="3">
        <f>AP10</f>
        <v>1210000</v>
      </c>
      <c r="AP10" s="425">
        <f>Funnel!G112</f>
        <v>1210000</v>
      </c>
      <c r="AQ10" s="3">
        <f>BC10</f>
        <v>1331000</v>
      </c>
      <c r="AR10" s="3">
        <f>BC10</f>
        <v>1331000</v>
      </c>
      <c r="AS10" s="3">
        <f>BC10</f>
        <v>1331000</v>
      </c>
      <c r="AT10" s="3">
        <f>BC10</f>
        <v>1331000</v>
      </c>
      <c r="AU10" s="3">
        <f>BC10</f>
        <v>1331000</v>
      </c>
      <c r="AV10" s="3">
        <f>BC10</f>
        <v>1331000</v>
      </c>
      <c r="AW10" s="3">
        <f>BC10</f>
        <v>1331000</v>
      </c>
      <c r="AX10" s="3">
        <f>BC10</f>
        <v>1331000</v>
      </c>
      <c r="AY10" s="3">
        <f>BC10</f>
        <v>1331000</v>
      </c>
      <c r="AZ10" s="3">
        <f>BC10</f>
        <v>1331000</v>
      </c>
      <c r="BA10" s="3">
        <f>BC10</f>
        <v>1331000</v>
      </c>
      <c r="BB10" s="3">
        <f>BC10</f>
        <v>1331000</v>
      </c>
      <c r="BC10" s="425">
        <f>Funnel!H112</f>
        <v>1331000</v>
      </c>
      <c r="BD10" s="3">
        <f>BP10</f>
        <v>1464100.0000000002</v>
      </c>
      <c r="BE10" s="3">
        <f>BP10</f>
        <v>1464100.0000000002</v>
      </c>
      <c r="BF10" s="3">
        <f>BP10</f>
        <v>1464100.0000000002</v>
      </c>
      <c r="BG10" s="3">
        <f>BP10</f>
        <v>1464100.0000000002</v>
      </c>
      <c r="BH10" s="3">
        <f>BP10</f>
        <v>1464100.0000000002</v>
      </c>
      <c r="BI10" s="3">
        <f>BP10</f>
        <v>1464100.0000000002</v>
      </c>
      <c r="BJ10" s="3">
        <f>BP10</f>
        <v>1464100.0000000002</v>
      </c>
      <c r="BK10" s="3">
        <f>BP10</f>
        <v>1464100.0000000002</v>
      </c>
      <c r="BL10" s="3">
        <f>BP10</f>
        <v>1464100.0000000002</v>
      </c>
      <c r="BM10" s="3">
        <f>BP10</f>
        <v>1464100.0000000002</v>
      </c>
      <c r="BN10" s="3">
        <f>BP10</f>
        <v>1464100.0000000002</v>
      </c>
      <c r="BO10" s="3">
        <f>BP10</f>
        <v>1464100.0000000002</v>
      </c>
      <c r="BP10" s="425">
        <f>Funnel!I112</f>
        <v>1464100.0000000002</v>
      </c>
      <c r="CF10" s="3" t="s">
        <v>1103</v>
      </c>
      <c r="CG10" s="12" t="s">
        <v>966</v>
      </c>
    </row>
    <row r="11" spans="1:85" s="3" customFormat="1">
      <c r="A11" s="3" t="s">
        <v>108</v>
      </c>
      <c r="B11" s="12" t="s">
        <v>502</v>
      </c>
      <c r="C11" s="5"/>
      <c r="J11" s="3">
        <f t="shared" ref="J11:O11" si="14">J9*J10/1000000</f>
        <v>1525.8302306061582</v>
      </c>
      <c r="K11" s="3">
        <f t="shared" si="14"/>
        <v>1525.8302306061582</v>
      </c>
      <c r="L11" s="3">
        <f t="shared" si="14"/>
        <v>1525.8302306061582</v>
      </c>
      <c r="M11" s="3">
        <f t="shared" si="14"/>
        <v>1525.8302306061582</v>
      </c>
      <c r="N11" s="3">
        <f t="shared" si="14"/>
        <v>1525.8302306061582</v>
      </c>
      <c r="O11" s="3">
        <f t="shared" si="14"/>
        <v>10680.81161424311</v>
      </c>
      <c r="P11" s="397">
        <f>SUM(D11:O11)</f>
        <v>18309.962767273901</v>
      </c>
      <c r="Q11" s="3">
        <f t="shared" ref="Q11:AB11" si="15">Q9*Q10/1000000</f>
        <v>5572.8730601090811</v>
      </c>
      <c r="R11" s="3">
        <f t="shared" si="15"/>
        <v>5572.8730601090811</v>
      </c>
      <c r="S11" s="3">
        <f t="shared" si="15"/>
        <v>5572.8730601090811</v>
      </c>
      <c r="T11" s="3">
        <f t="shared" si="15"/>
        <v>5572.8730601090811</v>
      </c>
      <c r="U11" s="3">
        <f t="shared" si="15"/>
        <v>5572.8730601090811</v>
      </c>
      <c r="V11" s="3">
        <f t="shared" si="15"/>
        <v>5572.8730601090811</v>
      </c>
      <c r="W11" s="3">
        <f t="shared" si="15"/>
        <v>5572.8730601090811</v>
      </c>
      <c r="X11" s="3">
        <f t="shared" si="15"/>
        <v>5572.8730601090811</v>
      </c>
      <c r="Y11" s="3">
        <f t="shared" si="15"/>
        <v>5572.8730601090811</v>
      </c>
      <c r="Z11" s="3">
        <f t="shared" si="15"/>
        <v>5572.8730601090811</v>
      </c>
      <c r="AA11" s="3">
        <f t="shared" si="15"/>
        <v>5572.8730601090811</v>
      </c>
      <c r="AB11" s="3">
        <f t="shared" si="15"/>
        <v>5572.8730601090774</v>
      </c>
      <c r="AC11" s="397">
        <f>SUM(Q11:AB11)</f>
        <v>66874.476721308951</v>
      </c>
      <c r="AD11" s="3">
        <f t="shared" ref="AD11:AO11" si="16">AD9*AD10/1000000</f>
        <v>10624.658353599552</v>
      </c>
      <c r="AE11" s="3">
        <f t="shared" si="16"/>
        <v>10624.658353599552</v>
      </c>
      <c r="AF11" s="3">
        <f t="shared" si="16"/>
        <v>10624.658353599552</v>
      </c>
      <c r="AG11" s="3">
        <f t="shared" si="16"/>
        <v>10624.658353599552</v>
      </c>
      <c r="AH11" s="3">
        <f t="shared" si="16"/>
        <v>10624.658353599552</v>
      </c>
      <c r="AI11" s="3">
        <f t="shared" si="16"/>
        <v>10624.658353599552</v>
      </c>
      <c r="AJ11" s="3">
        <f t="shared" si="16"/>
        <v>10624.658353599552</v>
      </c>
      <c r="AK11" s="3">
        <f t="shared" si="16"/>
        <v>10624.658353599552</v>
      </c>
      <c r="AL11" s="3">
        <f t="shared" si="16"/>
        <v>10624.658353599552</v>
      </c>
      <c r="AM11" s="3">
        <f t="shared" si="16"/>
        <v>10624.658353599552</v>
      </c>
      <c r="AN11" s="3">
        <f t="shared" si="16"/>
        <v>10624.658353599552</v>
      </c>
      <c r="AO11" s="3">
        <f t="shared" si="16"/>
        <v>10624.658353599543</v>
      </c>
      <c r="AP11" s="397">
        <f>SUM(AD11:AO11)</f>
        <v>127495.9002431946</v>
      </c>
      <c r="AQ11" s="3">
        <f t="shared" ref="AQ11:BB11" si="17">AQ9*AQ10/1000000</f>
        <v>16392.588834779686</v>
      </c>
      <c r="AR11" s="3">
        <f t="shared" si="17"/>
        <v>16392.588834779686</v>
      </c>
      <c r="AS11" s="3">
        <f t="shared" si="17"/>
        <v>16392.588834779686</v>
      </c>
      <c r="AT11" s="3">
        <f t="shared" si="17"/>
        <v>16392.588834779686</v>
      </c>
      <c r="AU11" s="3">
        <f t="shared" si="17"/>
        <v>16392.588834779686</v>
      </c>
      <c r="AV11" s="3">
        <f t="shared" si="17"/>
        <v>16392.588834779686</v>
      </c>
      <c r="AW11" s="3">
        <f t="shared" si="17"/>
        <v>16392.588834779686</v>
      </c>
      <c r="AX11" s="3">
        <f t="shared" si="17"/>
        <v>16392.588834779686</v>
      </c>
      <c r="AY11" s="3">
        <f t="shared" si="17"/>
        <v>16392.588834779686</v>
      </c>
      <c r="AZ11" s="3">
        <f t="shared" si="17"/>
        <v>16392.588834779686</v>
      </c>
      <c r="BA11" s="3">
        <f t="shared" si="17"/>
        <v>16392.588834779686</v>
      </c>
      <c r="BB11" s="3">
        <f t="shared" si="17"/>
        <v>16392.588834779672</v>
      </c>
      <c r="BC11" s="397">
        <f>SUM(AQ11:BB11)</f>
        <v>196711.06601735624</v>
      </c>
      <c r="BD11" s="3">
        <f t="shared" ref="BD11:BO11" si="18">BD9*BD10/1000000</f>
        <v>20583.432329439409</v>
      </c>
      <c r="BE11" s="3">
        <f t="shared" si="18"/>
        <v>20583.432329439409</v>
      </c>
      <c r="BF11" s="3">
        <f t="shared" si="18"/>
        <v>20583.432329439409</v>
      </c>
      <c r="BG11" s="3">
        <f t="shared" si="18"/>
        <v>20583.432329439409</v>
      </c>
      <c r="BH11" s="3">
        <f t="shared" si="18"/>
        <v>20583.432329439409</v>
      </c>
      <c r="BI11" s="3">
        <f t="shared" si="18"/>
        <v>20583.432329439409</v>
      </c>
      <c r="BJ11" s="3">
        <f t="shared" si="18"/>
        <v>20583.432329439409</v>
      </c>
      <c r="BK11" s="3">
        <f t="shared" si="18"/>
        <v>20583.432329439409</v>
      </c>
      <c r="BL11" s="3">
        <f t="shared" si="18"/>
        <v>20583.432329439409</v>
      </c>
      <c r="BM11" s="3">
        <f t="shared" si="18"/>
        <v>20583.432329439409</v>
      </c>
      <c r="BN11" s="3">
        <f t="shared" si="18"/>
        <v>20583.432329439409</v>
      </c>
      <c r="BO11" s="3">
        <f t="shared" si="18"/>
        <v>20583.432329439391</v>
      </c>
      <c r="BP11" s="397">
        <f>SUM(BD11:BO11)</f>
        <v>247001.18795327289</v>
      </c>
      <c r="CF11" s="3" t="str">
        <f>'Installment card_1000 (indiv)'!CF52</f>
        <v>Volume of issues</v>
      </c>
      <c r="CG11" s="12" t="s">
        <v>965</v>
      </c>
    </row>
    <row r="12" spans="1:85" s="68" customFormat="1">
      <c r="A12" s="68" t="s">
        <v>150</v>
      </c>
      <c r="B12" s="295" t="s">
        <v>231</v>
      </c>
      <c r="J12" s="68">
        <f>P12</f>
        <v>-0.04</v>
      </c>
      <c r="K12" s="68">
        <f>P12</f>
        <v>-0.04</v>
      </c>
      <c r="L12" s="68">
        <f>P12</f>
        <v>-0.04</v>
      </c>
      <c r="M12" s="68">
        <f>P12</f>
        <v>-0.04</v>
      </c>
      <c r="N12" s="68">
        <f>P12</f>
        <v>-0.04</v>
      </c>
      <c r="O12" s="68">
        <f>P12</f>
        <v>-0.04</v>
      </c>
      <c r="P12" s="339">
        <v>-0.04</v>
      </c>
      <c r="Q12" s="68">
        <f>AC12</f>
        <v>-0.04</v>
      </c>
      <c r="R12" s="68">
        <f>AC12</f>
        <v>-0.04</v>
      </c>
      <c r="S12" s="68">
        <f>AC12</f>
        <v>-0.04</v>
      </c>
      <c r="T12" s="68">
        <f>AC12</f>
        <v>-0.04</v>
      </c>
      <c r="U12" s="68">
        <f>AC12</f>
        <v>-0.04</v>
      </c>
      <c r="V12" s="68">
        <f>AC12</f>
        <v>-0.04</v>
      </c>
      <c r="W12" s="68">
        <f>AC12</f>
        <v>-0.04</v>
      </c>
      <c r="X12" s="68">
        <f>AC12</f>
        <v>-0.04</v>
      </c>
      <c r="Y12" s="68">
        <f>AC12</f>
        <v>-0.04</v>
      </c>
      <c r="Z12" s="68">
        <f>AC12</f>
        <v>-0.04</v>
      </c>
      <c r="AA12" s="68">
        <f>AC12</f>
        <v>-0.04</v>
      </c>
      <c r="AB12" s="68">
        <f>AC12</f>
        <v>-0.04</v>
      </c>
      <c r="AC12" s="339">
        <v>-0.04</v>
      </c>
      <c r="AD12" s="68">
        <f>AP12</f>
        <v>-0.04</v>
      </c>
      <c r="AE12" s="68">
        <f>AP12</f>
        <v>-0.04</v>
      </c>
      <c r="AF12" s="68">
        <f>AP12</f>
        <v>-0.04</v>
      </c>
      <c r="AG12" s="68">
        <f>AP12</f>
        <v>-0.04</v>
      </c>
      <c r="AH12" s="68">
        <f>AP12</f>
        <v>-0.04</v>
      </c>
      <c r="AI12" s="68">
        <f>AP12</f>
        <v>-0.04</v>
      </c>
      <c r="AJ12" s="68">
        <f>AP12</f>
        <v>-0.04</v>
      </c>
      <c r="AK12" s="68">
        <f>AP12</f>
        <v>-0.04</v>
      </c>
      <c r="AL12" s="68">
        <f>AP12</f>
        <v>-0.04</v>
      </c>
      <c r="AM12" s="68">
        <f>AP12</f>
        <v>-0.04</v>
      </c>
      <c r="AN12" s="68">
        <f>AP12</f>
        <v>-0.04</v>
      </c>
      <c r="AO12" s="68">
        <f>AP12</f>
        <v>-0.04</v>
      </c>
      <c r="AP12" s="339">
        <v>-0.04</v>
      </c>
      <c r="AQ12" s="68">
        <f>BC12</f>
        <v>-0.04</v>
      </c>
      <c r="AR12" s="68">
        <f>BC12</f>
        <v>-0.04</v>
      </c>
      <c r="AS12" s="68">
        <f>BC12</f>
        <v>-0.04</v>
      </c>
      <c r="AT12" s="68">
        <f>BC12</f>
        <v>-0.04</v>
      </c>
      <c r="AU12" s="68">
        <f>BC12</f>
        <v>-0.04</v>
      </c>
      <c r="AV12" s="68">
        <f>BC12</f>
        <v>-0.04</v>
      </c>
      <c r="AW12" s="68">
        <f>BC12</f>
        <v>-0.04</v>
      </c>
      <c r="AX12" s="68">
        <f>BC12</f>
        <v>-0.04</v>
      </c>
      <c r="AY12" s="68">
        <f>BC12</f>
        <v>-0.04</v>
      </c>
      <c r="AZ12" s="68">
        <f>BC12</f>
        <v>-0.04</v>
      </c>
      <c r="BA12" s="68">
        <f>BC12</f>
        <v>-0.04</v>
      </c>
      <c r="BB12" s="68">
        <f>BC12</f>
        <v>-0.04</v>
      </c>
      <c r="BC12" s="339">
        <v>-0.04</v>
      </c>
      <c r="BD12" s="68">
        <f>BP12</f>
        <v>-0.04</v>
      </c>
      <c r="BE12" s="68">
        <f>BP12</f>
        <v>-0.04</v>
      </c>
      <c r="BF12" s="68">
        <f>BP12</f>
        <v>-0.04</v>
      </c>
      <c r="BG12" s="68">
        <f>BP12</f>
        <v>-0.04</v>
      </c>
      <c r="BH12" s="68">
        <f>BP12</f>
        <v>-0.04</v>
      </c>
      <c r="BI12" s="68">
        <f>BP12</f>
        <v>-0.04</v>
      </c>
      <c r="BJ12" s="68">
        <f>BP12</f>
        <v>-0.04</v>
      </c>
      <c r="BK12" s="68">
        <f>BP12</f>
        <v>-0.04</v>
      </c>
      <c r="BL12" s="68">
        <f>BP12</f>
        <v>-0.04</v>
      </c>
      <c r="BM12" s="68">
        <f>BP12</f>
        <v>-0.04</v>
      </c>
      <c r="BN12" s="68">
        <f>BP12</f>
        <v>-0.04</v>
      </c>
      <c r="BO12" s="68">
        <f>BP12</f>
        <v>-0.04</v>
      </c>
      <c r="BP12" s="339">
        <v>-0.04</v>
      </c>
      <c r="CF12" s="68" t="str">
        <f>'Installment card_1000 (indiv)'!CF66</f>
        <v>% portfolio repayment</v>
      </c>
      <c r="CG12" s="295" t="s">
        <v>231</v>
      </c>
    </row>
    <row r="13" spans="1:85" s="3" customFormat="1">
      <c r="A13" s="3" t="s">
        <v>147</v>
      </c>
      <c r="B13" s="12" t="s">
        <v>502</v>
      </c>
      <c r="C13" s="5"/>
      <c r="J13" s="3">
        <f t="shared" ref="J13:O13" si="19">I15*J12</f>
        <v>0</v>
      </c>
      <c r="K13" s="3">
        <f t="shared" si="19"/>
        <v>-61.033209224246328</v>
      </c>
      <c r="L13" s="3">
        <f t="shared" si="19"/>
        <v>-119.62509007952281</v>
      </c>
      <c r="M13" s="3">
        <f t="shared" si="19"/>
        <v>-175.87329570058822</v>
      </c>
      <c r="N13" s="3">
        <f t="shared" si="19"/>
        <v>-229.87157309681098</v>
      </c>
      <c r="O13" s="3">
        <f t="shared" si="19"/>
        <v>-281.70991939718488</v>
      </c>
      <c r="P13" s="397">
        <f>SUM(D13:O13)</f>
        <v>-868.11308749835314</v>
      </c>
      <c r="R13" s="3">
        <f t="shared" ref="R13:AB13" si="20">Q15*R12</f>
        <v>-222.91492240436324</v>
      </c>
      <c r="S13" s="3">
        <f t="shared" si="20"/>
        <v>-436.91324791255198</v>
      </c>
      <c r="T13" s="3">
        <f t="shared" si="20"/>
        <v>-642.35164040041309</v>
      </c>
      <c r="U13" s="3">
        <f t="shared" si="20"/>
        <v>-839.57249718875971</v>
      </c>
      <c r="V13" s="3">
        <f t="shared" si="20"/>
        <v>-1028.9045197055725</v>
      </c>
      <c r="W13" s="3">
        <f t="shared" si="20"/>
        <v>-1210.6632613217128</v>
      </c>
      <c r="X13" s="3">
        <f t="shared" si="20"/>
        <v>-1385.1516532732076</v>
      </c>
      <c r="Y13" s="3">
        <f t="shared" si="20"/>
        <v>-1552.6605095466425</v>
      </c>
      <c r="Z13" s="3">
        <f t="shared" si="20"/>
        <v>-1713.4690115691399</v>
      </c>
      <c r="AA13" s="3">
        <f t="shared" si="20"/>
        <v>-1867.8451735107374</v>
      </c>
      <c r="AB13" s="3">
        <f t="shared" si="20"/>
        <v>-2016.0462889746711</v>
      </c>
      <c r="AC13" s="397">
        <f>SUM(Q13:AB13)</f>
        <v>-12916.49272580777</v>
      </c>
      <c r="AE13" s="3">
        <f t="shared" ref="AE13:AO13" si="21">AD15*AE12</f>
        <v>-424.98633414398211</v>
      </c>
      <c r="AF13" s="3">
        <f t="shared" si="21"/>
        <v>-832.97321492220499</v>
      </c>
      <c r="AG13" s="3">
        <f t="shared" si="21"/>
        <v>-1224.6406204692989</v>
      </c>
      <c r="AH13" s="3">
        <f t="shared" si="21"/>
        <v>-1600.6413297945089</v>
      </c>
      <c r="AI13" s="3">
        <f t="shared" si="21"/>
        <v>-1961.6020107467107</v>
      </c>
      <c r="AJ13" s="3">
        <f t="shared" si="21"/>
        <v>-2308.1242644608242</v>
      </c>
      <c r="AK13" s="3">
        <f t="shared" si="21"/>
        <v>-2640.7856280263727</v>
      </c>
      <c r="AL13" s="3">
        <f t="shared" si="21"/>
        <v>-2960.1405370493007</v>
      </c>
      <c r="AM13" s="3">
        <f t="shared" si="21"/>
        <v>-3266.721249711311</v>
      </c>
      <c r="AN13" s="3">
        <f t="shared" si="21"/>
        <v>-3561.0387338668406</v>
      </c>
      <c r="AO13" s="3">
        <f t="shared" si="21"/>
        <v>-3843.5835186561494</v>
      </c>
      <c r="AP13" s="397">
        <f>SUM(AD13:AO13)</f>
        <v>-24625.237441847505</v>
      </c>
      <c r="AR13" s="3">
        <f t="shared" ref="AR13:BB13" si="22">AQ15*AR12</f>
        <v>-655.70355339118748</v>
      </c>
      <c r="AS13" s="3">
        <f t="shared" si="22"/>
        <v>-1285.1789646467275</v>
      </c>
      <c r="AT13" s="3">
        <f t="shared" si="22"/>
        <v>-1889.475359452046</v>
      </c>
      <c r="AU13" s="3">
        <f t="shared" si="22"/>
        <v>-2469.5998984651515</v>
      </c>
      <c r="AV13" s="3">
        <f t="shared" si="22"/>
        <v>-3026.5194559177326</v>
      </c>
      <c r="AW13" s="3">
        <f t="shared" si="22"/>
        <v>-3561.1622310722109</v>
      </c>
      <c r="AX13" s="3">
        <f t="shared" si="22"/>
        <v>-4074.4192952205094</v>
      </c>
      <c r="AY13" s="3">
        <f t="shared" si="22"/>
        <v>-4567.1460768028765</v>
      </c>
      <c r="AZ13" s="3">
        <f t="shared" si="22"/>
        <v>-5040.1637871219491</v>
      </c>
      <c r="BA13" s="3">
        <f t="shared" si="22"/>
        <v>-5494.2607890282598</v>
      </c>
      <c r="BB13" s="3">
        <f t="shared" si="22"/>
        <v>-5930.1939108583165</v>
      </c>
      <c r="BC13" s="397">
        <f>SUM(AQ13:BB13)</f>
        <v>-37993.823321976968</v>
      </c>
      <c r="BE13" s="3">
        <f t="shared" ref="BE13:BO13" si="23">BD15*BE12</f>
        <v>-823.33729317757638</v>
      </c>
      <c r="BF13" s="3">
        <f t="shared" si="23"/>
        <v>-1613.7410946280497</v>
      </c>
      <c r="BG13" s="3">
        <f t="shared" si="23"/>
        <v>-2372.5287440205043</v>
      </c>
      <c r="BH13" s="3">
        <f t="shared" si="23"/>
        <v>-3100.9648874372606</v>
      </c>
      <c r="BI13" s="3">
        <f t="shared" si="23"/>
        <v>-3800.2635851173463</v>
      </c>
      <c r="BJ13" s="3">
        <f t="shared" si="23"/>
        <v>-4471.5903348902293</v>
      </c>
      <c r="BK13" s="3">
        <f t="shared" si="23"/>
        <v>-5116.0640146721962</v>
      </c>
      <c r="BL13" s="3">
        <f t="shared" si="23"/>
        <v>-5734.7587472628848</v>
      </c>
      <c r="BM13" s="3">
        <f t="shared" si="23"/>
        <v>-6328.7056905499467</v>
      </c>
      <c r="BN13" s="3">
        <f t="shared" si="23"/>
        <v>-6898.8947561055247</v>
      </c>
      <c r="BO13" s="3">
        <f t="shared" si="23"/>
        <v>-7446.2762590388802</v>
      </c>
      <c r="BP13" s="397">
        <f>SUM(BD13:BO13)</f>
        <v>-47707.125406900399</v>
      </c>
      <c r="CF13" s="3" t="str">
        <f>'Installment card_1000 (indiv)'!CF59</f>
        <v>Volume of repayments</v>
      </c>
      <c r="CG13" s="12" t="s">
        <v>965</v>
      </c>
    </row>
    <row r="14" spans="1:85" s="3" customFormat="1">
      <c r="A14" s="3" t="s">
        <v>148</v>
      </c>
      <c r="B14" s="12" t="s">
        <v>502</v>
      </c>
      <c r="C14" s="5"/>
      <c r="P14" s="397">
        <f>O14</f>
        <v>0</v>
      </c>
      <c r="AC14" s="397">
        <f>AB14</f>
        <v>0</v>
      </c>
      <c r="AP14" s="397">
        <f>AO14</f>
        <v>0</v>
      </c>
      <c r="BC14" s="397">
        <f>BB14</f>
        <v>0</v>
      </c>
      <c r="BP14" s="397">
        <f>BO14</f>
        <v>0</v>
      </c>
      <c r="CF14" s="3" t="s">
        <v>1208</v>
      </c>
      <c r="CG14" s="12" t="s">
        <v>965</v>
      </c>
    </row>
    <row r="15" spans="1:85" s="3" customFormat="1">
      <c r="A15" s="3" t="s">
        <v>149</v>
      </c>
      <c r="B15" s="12" t="s">
        <v>502</v>
      </c>
      <c r="C15" s="5">
        <v>0</v>
      </c>
      <c r="J15" s="3">
        <f t="shared" ref="J15:O15" si="24">I15+J11+J13+J14</f>
        <v>1525.8302306061582</v>
      </c>
      <c r="K15" s="3">
        <f t="shared" si="24"/>
        <v>2990.6272519880699</v>
      </c>
      <c r="L15" s="3">
        <f t="shared" si="24"/>
        <v>4396.8323925147051</v>
      </c>
      <c r="M15" s="3">
        <f t="shared" si="24"/>
        <v>5746.7893274202743</v>
      </c>
      <c r="N15" s="3">
        <f t="shared" si="24"/>
        <v>7042.7479849296215</v>
      </c>
      <c r="O15" s="3">
        <f t="shared" si="24"/>
        <v>17441.849679775547</v>
      </c>
      <c r="P15" s="397">
        <f>O15</f>
        <v>17441.849679775547</v>
      </c>
      <c r="Q15" s="3">
        <f>Q11+Q13+Q14</f>
        <v>5572.8730601090811</v>
      </c>
      <c r="R15" s="3">
        <f t="shared" ref="R15:AB15" si="25">Q15+R11+R13+R14</f>
        <v>10922.831197813799</v>
      </c>
      <c r="S15" s="3">
        <f t="shared" si="25"/>
        <v>16058.791010010327</v>
      </c>
      <c r="T15" s="3">
        <f t="shared" si="25"/>
        <v>20989.312429718993</v>
      </c>
      <c r="U15" s="3">
        <f t="shared" si="25"/>
        <v>25722.612992639311</v>
      </c>
      <c r="V15" s="3">
        <f t="shared" si="25"/>
        <v>30266.58153304282</v>
      </c>
      <c r="W15" s="3">
        <f t="shared" si="25"/>
        <v>34628.791331830187</v>
      </c>
      <c r="X15" s="3">
        <f t="shared" si="25"/>
        <v>38816.512738666061</v>
      </c>
      <c r="Y15" s="3">
        <f t="shared" si="25"/>
        <v>42836.725289228496</v>
      </c>
      <c r="Z15" s="3">
        <f t="shared" si="25"/>
        <v>46696.129337768434</v>
      </c>
      <c r="AA15" s="3">
        <f t="shared" si="25"/>
        <v>50401.157224366776</v>
      </c>
      <c r="AB15" s="3">
        <f t="shared" si="25"/>
        <v>53957.983995501185</v>
      </c>
      <c r="AC15" s="397">
        <f>AB15</f>
        <v>53957.983995501185</v>
      </c>
      <c r="AD15" s="3">
        <f>AD11+AD13+AD14</f>
        <v>10624.658353599552</v>
      </c>
      <c r="AE15" s="3">
        <f t="shared" ref="AE15:AO15" si="26">AD15+AE11+AE13+AE14</f>
        <v>20824.330373055123</v>
      </c>
      <c r="AF15" s="3">
        <f t="shared" si="26"/>
        <v>30616.015511732472</v>
      </c>
      <c r="AG15" s="3">
        <f t="shared" si="26"/>
        <v>40016.033244862723</v>
      </c>
      <c r="AH15" s="3">
        <f t="shared" si="26"/>
        <v>49040.050268667765</v>
      </c>
      <c r="AI15" s="3">
        <f t="shared" si="26"/>
        <v>57703.106611520605</v>
      </c>
      <c r="AJ15" s="3">
        <f t="shared" si="26"/>
        <v>66019.640700659322</v>
      </c>
      <c r="AK15" s="3">
        <f t="shared" si="26"/>
        <v>74003.513426232515</v>
      </c>
      <c r="AL15" s="3">
        <f t="shared" si="26"/>
        <v>81668.031242782774</v>
      </c>
      <c r="AM15" s="3">
        <f t="shared" si="26"/>
        <v>89025.968346671012</v>
      </c>
      <c r="AN15" s="3">
        <f t="shared" si="26"/>
        <v>96089.587966403735</v>
      </c>
      <c r="AO15" s="3">
        <f t="shared" si="26"/>
        <v>102870.66280134713</v>
      </c>
      <c r="AP15" s="397">
        <f>AO15</f>
        <v>102870.66280134713</v>
      </c>
      <c r="AQ15" s="3">
        <f>AQ11+AQ13+AQ14</f>
        <v>16392.588834779686</v>
      </c>
      <c r="AR15" s="3">
        <f t="shared" ref="AR15:BB15" si="27">AQ15+AR11+AR13+AR14</f>
        <v>32129.474116168185</v>
      </c>
      <c r="AS15" s="3">
        <f t="shared" si="27"/>
        <v>47236.883986301145</v>
      </c>
      <c r="AT15" s="3">
        <f t="shared" si="27"/>
        <v>61739.997461628787</v>
      </c>
      <c r="AU15" s="3">
        <f t="shared" si="27"/>
        <v>75662.986397943314</v>
      </c>
      <c r="AV15" s="3">
        <f t="shared" si="27"/>
        <v>89029.055776805268</v>
      </c>
      <c r="AW15" s="3">
        <f t="shared" si="27"/>
        <v>101860.48238051274</v>
      </c>
      <c r="AX15" s="3">
        <f t="shared" si="27"/>
        <v>114178.65192007192</v>
      </c>
      <c r="AY15" s="3">
        <f t="shared" si="27"/>
        <v>126004.09467804873</v>
      </c>
      <c r="AZ15" s="3">
        <f t="shared" si="27"/>
        <v>137356.51972570649</v>
      </c>
      <c r="BA15" s="3">
        <f t="shared" si="27"/>
        <v>148254.84777145792</v>
      </c>
      <c r="BB15" s="3">
        <f t="shared" si="27"/>
        <v>158717.2426953793</v>
      </c>
      <c r="BC15" s="397">
        <f>BB15</f>
        <v>158717.2426953793</v>
      </c>
      <c r="BD15" s="3">
        <f>BD11+BD13+BD14</f>
        <v>20583.432329439409</v>
      </c>
      <c r="BE15" s="3">
        <f t="shared" ref="BE15:BO15" si="28">BD15+BE11+BE13+BE14</f>
        <v>40343.527365701244</v>
      </c>
      <c r="BF15" s="3">
        <f t="shared" si="28"/>
        <v>59313.218600512606</v>
      </c>
      <c r="BG15" s="3">
        <f t="shared" si="28"/>
        <v>77524.122185931512</v>
      </c>
      <c r="BH15" s="3">
        <f t="shared" si="28"/>
        <v>95006.589627933659</v>
      </c>
      <c r="BI15" s="3">
        <f t="shared" si="28"/>
        <v>111789.75837225573</v>
      </c>
      <c r="BJ15" s="3">
        <f t="shared" si="28"/>
        <v>127901.60036680489</v>
      </c>
      <c r="BK15" s="3">
        <f t="shared" si="28"/>
        <v>143368.96868157212</v>
      </c>
      <c r="BL15" s="3">
        <f t="shared" si="28"/>
        <v>158217.64226374865</v>
      </c>
      <c r="BM15" s="3">
        <f t="shared" si="28"/>
        <v>172472.36890263812</v>
      </c>
      <c r="BN15" s="3">
        <f t="shared" si="28"/>
        <v>186156.90647597201</v>
      </c>
      <c r="BO15" s="3">
        <f t="shared" si="28"/>
        <v>199294.0625463725</v>
      </c>
      <c r="BP15" s="397">
        <f>BO15</f>
        <v>199294.0625463725</v>
      </c>
      <c r="CF15" s="3" t="s">
        <v>880</v>
      </c>
      <c r="CG15" s="12" t="s">
        <v>965</v>
      </c>
    </row>
    <row r="16" spans="1:85" s="3" customFormat="1" ht="15.6">
      <c r="A16" s="3" t="s">
        <v>149</v>
      </c>
      <c r="B16" s="12" t="s">
        <v>804</v>
      </c>
      <c r="C16" s="5">
        <v>0</v>
      </c>
      <c r="J16" s="3">
        <f>J15/500*1000</f>
        <v>3051.6604612123165</v>
      </c>
      <c r="K16" s="3">
        <f t="shared" ref="K16:O16" si="29">K15/500*1000</f>
        <v>5981.2545039761399</v>
      </c>
      <c r="L16" s="3">
        <f t="shared" si="29"/>
        <v>8793.6647850294103</v>
      </c>
      <c r="M16" s="3">
        <f t="shared" si="29"/>
        <v>11493.578654840549</v>
      </c>
      <c r="N16" s="3">
        <f t="shared" si="29"/>
        <v>14085.495969859243</v>
      </c>
      <c r="O16" s="3">
        <f t="shared" si="29"/>
        <v>34883.699359551094</v>
      </c>
      <c r="P16" s="397">
        <f>O16</f>
        <v>34883.699359551094</v>
      </c>
      <c r="Q16" s="3">
        <f>Q15/500*1000</f>
        <v>11145.746120218162</v>
      </c>
      <c r="R16" s="3">
        <f t="shared" ref="R16:AB16" si="30">R15/500*1000</f>
        <v>21845.662395627598</v>
      </c>
      <c r="S16" s="3">
        <f t="shared" si="30"/>
        <v>32117.582020020654</v>
      </c>
      <c r="T16" s="3">
        <f t="shared" si="30"/>
        <v>41978.624859437987</v>
      </c>
      <c r="U16" s="3">
        <f t="shared" si="30"/>
        <v>51445.225985278623</v>
      </c>
      <c r="V16" s="3">
        <f t="shared" si="30"/>
        <v>60533.163066085639</v>
      </c>
      <c r="W16" s="3">
        <f t="shared" si="30"/>
        <v>69257.582663660374</v>
      </c>
      <c r="X16" s="3">
        <f t="shared" si="30"/>
        <v>77633.025477332121</v>
      </c>
      <c r="Y16" s="3">
        <f t="shared" si="30"/>
        <v>85673.450578456992</v>
      </c>
      <c r="Z16" s="3">
        <f t="shared" si="30"/>
        <v>93392.258675536868</v>
      </c>
      <c r="AA16" s="3">
        <f t="shared" si="30"/>
        <v>100802.31444873355</v>
      </c>
      <c r="AB16" s="3">
        <f t="shared" si="30"/>
        <v>107915.96799100237</v>
      </c>
      <c r="AC16" s="397">
        <f>AB16</f>
        <v>107915.96799100237</v>
      </c>
      <c r="AD16" s="3">
        <f>AD15/500*1000</f>
        <v>21249.316707199105</v>
      </c>
      <c r="AE16" s="3">
        <f t="shared" ref="AE16" si="31">AE15/500*1000</f>
        <v>41648.660746110247</v>
      </c>
      <c r="AF16" s="3">
        <f t="shared" ref="AF16" si="32">AF15/500*1000</f>
        <v>61232.031023464944</v>
      </c>
      <c r="AG16" s="3">
        <f t="shared" ref="AG16" si="33">AG15/500*1000</f>
        <v>80032.066489725446</v>
      </c>
      <c r="AH16" s="3">
        <f t="shared" ref="AH16" si="34">AH15/500*1000</f>
        <v>98080.100537335529</v>
      </c>
      <c r="AI16" s="3">
        <f t="shared" ref="AI16" si="35">AI15/500*1000</f>
        <v>115406.21322304121</v>
      </c>
      <c r="AJ16" s="3">
        <f t="shared" ref="AJ16" si="36">AJ15/500*1000</f>
        <v>132039.28140131864</v>
      </c>
      <c r="AK16" s="3">
        <f t="shared" ref="AK16" si="37">AK15/500*1000</f>
        <v>148007.02685246503</v>
      </c>
      <c r="AL16" s="3">
        <f t="shared" ref="AL16" si="38">AL15/500*1000</f>
        <v>163336.06248556555</v>
      </c>
      <c r="AM16" s="3">
        <f t="shared" ref="AM16" si="39">AM15/500*1000</f>
        <v>178051.93669334202</v>
      </c>
      <c r="AN16" s="3">
        <f t="shared" ref="AN16" si="40">AN15/500*1000</f>
        <v>192179.17593280747</v>
      </c>
      <c r="AO16" s="3">
        <f t="shared" ref="AO16" si="41">AO15/500*1000</f>
        <v>205741.32560269427</v>
      </c>
      <c r="AP16" s="397">
        <f>AO16</f>
        <v>205741.32560269427</v>
      </c>
      <c r="AQ16" s="3">
        <f>AQ15/500*1000</f>
        <v>32785.177669559373</v>
      </c>
      <c r="AR16" s="3">
        <f t="shared" ref="AR16" si="42">AR15/500*1000</f>
        <v>64258.948232336363</v>
      </c>
      <c r="AS16" s="3">
        <f t="shared" ref="AS16" si="43">AS15/500*1000</f>
        <v>94473.767972602291</v>
      </c>
      <c r="AT16" s="3">
        <f t="shared" ref="AT16" si="44">AT15/500*1000</f>
        <v>123479.99492325757</v>
      </c>
      <c r="AU16" s="3">
        <f t="shared" ref="AU16" si="45">AU15/500*1000</f>
        <v>151325.97279588663</v>
      </c>
      <c r="AV16" s="3">
        <f t="shared" ref="AV16" si="46">AV15/500*1000</f>
        <v>178058.11155361054</v>
      </c>
      <c r="AW16" s="3">
        <f t="shared" ref="AW16" si="47">AW15/500*1000</f>
        <v>203720.96476102548</v>
      </c>
      <c r="AX16" s="3">
        <f t="shared" ref="AX16" si="48">AX15/500*1000</f>
        <v>228357.30384014384</v>
      </c>
      <c r="AY16" s="3">
        <f t="shared" ref="AY16" si="49">AY15/500*1000</f>
        <v>252008.18935609746</v>
      </c>
      <c r="AZ16" s="3">
        <f t="shared" ref="AZ16" si="50">AZ15/500*1000</f>
        <v>274713.03945141297</v>
      </c>
      <c r="BA16" s="3">
        <f t="shared" ref="BA16" si="51">BA15/500*1000</f>
        <v>296509.69554291584</v>
      </c>
      <c r="BB16" s="3">
        <f t="shared" ref="BB16" si="52">BB15/500*1000</f>
        <v>317434.48539075861</v>
      </c>
      <c r="BC16" s="397">
        <f>BB16</f>
        <v>317434.48539075861</v>
      </c>
      <c r="BD16" s="3">
        <f>BD15/500*1000</f>
        <v>41166.864658878818</v>
      </c>
      <c r="BE16" s="3">
        <f t="shared" ref="BE16" si="53">BE15/500*1000</f>
        <v>80687.054731402488</v>
      </c>
      <c r="BF16" s="3">
        <f t="shared" ref="BF16" si="54">BF15/500*1000</f>
        <v>118626.43720102521</v>
      </c>
      <c r="BG16" s="3">
        <f t="shared" ref="BG16" si="55">BG15/500*1000</f>
        <v>155048.24437186302</v>
      </c>
      <c r="BH16" s="3">
        <f t="shared" ref="BH16" si="56">BH15/500*1000</f>
        <v>190013.17925586732</v>
      </c>
      <c r="BI16" s="3">
        <f t="shared" ref="BI16" si="57">BI15/500*1000</f>
        <v>223579.51674451146</v>
      </c>
      <c r="BJ16" s="3">
        <f t="shared" ref="BJ16" si="58">BJ15/500*1000</f>
        <v>255803.20073360979</v>
      </c>
      <c r="BK16" s="3">
        <f t="shared" ref="BK16" si="59">BK15/500*1000</f>
        <v>286737.93736314424</v>
      </c>
      <c r="BL16" s="3">
        <f t="shared" ref="BL16" si="60">BL15/500*1000</f>
        <v>316435.28452749731</v>
      </c>
      <c r="BM16" s="3">
        <f t="shared" ref="BM16" si="61">BM15/500*1000</f>
        <v>344944.73780527624</v>
      </c>
      <c r="BN16" s="3">
        <f t="shared" ref="BN16" si="62">BN15/500*1000</f>
        <v>372313.81295194401</v>
      </c>
      <c r="BO16" s="3">
        <f t="shared" ref="BO16" si="63">BO15/500*1000</f>
        <v>398588.125092745</v>
      </c>
      <c r="BP16" s="397">
        <f>BO16</f>
        <v>398588.125092745</v>
      </c>
      <c r="BR16" s="60">
        <f>F16</f>
        <v>0</v>
      </c>
      <c r="BS16" s="60">
        <f>I16</f>
        <v>0</v>
      </c>
      <c r="BT16" s="60">
        <f>L16</f>
        <v>8793.6647850294103</v>
      </c>
      <c r="BU16" s="60">
        <f>O16</f>
        <v>34883.699359551094</v>
      </c>
      <c r="BV16" s="60">
        <f>V16</f>
        <v>60533.163066085639</v>
      </c>
      <c r="BW16" s="60">
        <f>AB16</f>
        <v>107915.96799100237</v>
      </c>
      <c r="BX16" s="60">
        <f>AI16</f>
        <v>115406.21322304121</v>
      </c>
      <c r="BY16" s="60">
        <f>AO16</f>
        <v>205741.32560269427</v>
      </c>
      <c r="BZ16" s="60">
        <f>AV16</f>
        <v>178058.11155361054</v>
      </c>
      <c r="CA16" s="60">
        <f>BB16</f>
        <v>317434.48539075861</v>
      </c>
      <c r="CB16" s="60">
        <f>BI16</f>
        <v>223579.51674451146</v>
      </c>
      <c r="CC16" s="60">
        <f>BO16</f>
        <v>398588.125092745</v>
      </c>
      <c r="CF16" s="3" t="s">
        <v>880</v>
      </c>
      <c r="CG16" s="12" t="s">
        <v>967</v>
      </c>
    </row>
    <row r="17" spans="1:85" s="3" customFormat="1">
      <c r="A17" s="3" t="s">
        <v>686</v>
      </c>
      <c r="B17" s="12" t="s">
        <v>502</v>
      </c>
      <c r="C17" s="5"/>
      <c r="J17" s="3">
        <f t="shared" ref="J17:O17" si="64">AVERAGE(I15:J15)</f>
        <v>1525.8302306061582</v>
      </c>
      <c r="K17" s="3">
        <f t="shared" si="64"/>
        <v>2258.2287412971141</v>
      </c>
      <c r="L17" s="3">
        <f t="shared" si="64"/>
        <v>3693.7298222513873</v>
      </c>
      <c r="M17" s="3">
        <f t="shared" si="64"/>
        <v>5071.8108599674897</v>
      </c>
      <c r="N17" s="3">
        <f t="shared" si="64"/>
        <v>6394.7686561749479</v>
      </c>
      <c r="O17" s="3">
        <f t="shared" si="64"/>
        <v>12242.298832352584</v>
      </c>
      <c r="P17" s="397">
        <f>AVERAGE(D17:O17)</f>
        <v>5197.7778571082808</v>
      </c>
      <c r="Q17" s="3">
        <f t="shared" ref="Q17:AB17" si="65">AVERAGE(P15:Q15)</f>
        <v>11507.361369942315</v>
      </c>
      <c r="R17" s="3">
        <f t="shared" si="65"/>
        <v>8247.85212896144</v>
      </c>
      <c r="S17" s="3">
        <f t="shared" si="65"/>
        <v>13490.811103912063</v>
      </c>
      <c r="T17" s="3">
        <f t="shared" si="65"/>
        <v>18524.051719864659</v>
      </c>
      <c r="U17" s="3">
        <f t="shared" si="65"/>
        <v>23355.962711179152</v>
      </c>
      <c r="V17" s="3">
        <f t="shared" si="65"/>
        <v>27994.597262841067</v>
      </c>
      <c r="W17" s="3">
        <f t="shared" si="65"/>
        <v>32447.686432436501</v>
      </c>
      <c r="X17" s="3">
        <f t="shared" si="65"/>
        <v>36722.652035248124</v>
      </c>
      <c r="Y17" s="3">
        <f t="shared" si="65"/>
        <v>40826.619013947275</v>
      </c>
      <c r="Z17" s="3">
        <f t="shared" si="65"/>
        <v>44766.427313498469</v>
      </c>
      <c r="AA17" s="3">
        <f t="shared" si="65"/>
        <v>48548.643281067605</v>
      </c>
      <c r="AB17" s="3">
        <f t="shared" si="65"/>
        <v>52179.57060993398</v>
      </c>
      <c r="AC17" s="397">
        <f>AVERAGE(Q17:AB17)</f>
        <v>29884.352915236053</v>
      </c>
      <c r="AD17" s="3">
        <f t="shared" ref="AD17:AO17" si="66">AVERAGE(AC15:AD15)</f>
        <v>32291.321174550369</v>
      </c>
      <c r="AE17" s="3">
        <f t="shared" si="66"/>
        <v>15724.494363327338</v>
      </c>
      <c r="AF17" s="3">
        <f t="shared" si="66"/>
        <v>25720.172942393798</v>
      </c>
      <c r="AG17" s="3">
        <f t="shared" si="66"/>
        <v>35316.024378297596</v>
      </c>
      <c r="AH17" s="3">
        <f t="shared" si="66"/>
        <v>44528.041756765248</v>
      </c>
      <c r="AI17" s="3">
        <f t="shared" si="66"/>
        <v>53371.578440094185</v>
      </c>
      <c r="AJ17" s="3">
        <f t="shared" si="66"/>
        <v>61861.373656089963</v>
      </c>
      <c r="AK17" s="3">
        <f t="shared" si="66"/>
        <v>70011.577063445919</v>
      </c>
      <c r="AL17" s="3">
        <f t="shared" si="66"/>
        <v>77835.772334507637</v>
      </c>
      <c r="AM17" s="3">
        <f t="shared" si="66"/>
        <v>85346.9997947269</v>
      </c>
      <c r="AN17" s="3">
        <f t="shared" si="66"/>
        <v>92557.778156537373</v>
      </c>
      <c r="AO17" s="3">
        <f t="shared" si="66"/>
        <v>99480.125383875435</v>
      </c>
      <c r="AP17" s="397">
        <f>AVERAGE(AD17:AO17)</f>
        <v>57837.104953717651</v>
      </c>
      <c r="AQ17" s="3">
        <f t="shared" ref="AQ17:BB17" si="67">AVERAGE(AP15:AQ15)</f>
        <v>59631.62581806341</v>
      </c>
      <c r="AR17" s="3">
        <f t="shared" si="67"/>
        <v>24261.031475473937</v>
      </c>
      <c r="AS17" s="3">
        <f t="shared" si="67"/>
        <v>39683.179051234663</v>
      </c>
      <c r="AT17" s="3">
        <f t="shared" si="67"/>
        <v>54488.440723964966</v>
      </c>
      <c r="AU17" s="3">
        <f t="shared" si="67"/>
        <v>68701.491929786047</v>
      </c>
      <c r="AV17" s="3">
        <f t="shared" si="67"/>
        <v>82346.021087374291</v>
      </c>
      <c r="AW17" s="3">
        <f t="shared" si="67"/>
        <v>95444.76907865901</v>
      </c>
      <c r="AX17" s="3">
        <f t="shared" si="67"/>
        <v>108019.56715029234</v>
      </c>
      <c r="AY17" s="3">
        <f t="shared" si="67"/>
        <v>120091.37329906033</v>
      </c>
      <c r="AZ17" s="3">
        <f t="shared" si="67"/>
        <v>131680.30720187761</v>
      </c>
      <c r="BA17" s="3">
        <f t="shared" si="67"/>
        <v>142805.6837485822</v>
      </c>
      <c r="BB17" s="3">
        <f t="shared" si="67"/>
        <v>153486.04523341861</v>
      </c>
      <c r="BC17" s="397">
        <f>AVERAGE(AQ17:BB17)</f>
        <v>90053.294649815638</v>
      </c>
      <c r="BD17" s="3">
        <f t="shared" ref="BD17:BO17" si="68">AVERAGE(BC15:BD15)</f>
        <v>89650.337512409358</v>
      </c>
      <c r="BE17" s="3">
        <f t="shared" si="68"/>
        <v>30463.479847570328</v>
      </c>
      <c r="BF17" s="3">
        <f t="shared" si="68"/>
        <v>49828.372983106921</v>
      </c>
      <c r="BG17" s="3">
        <f t="shared" si="68"/>
        <v>68418.670393222055</v>
      </c>
      <c r="BH17" s="3">
        <f t="shared" si="68"/>
        <v>86265.355906932586</v>
      </c>
      <c r="BI17" s="3">
        <f t="shared" si="68"/>
        <v>103398.1740000947</v>
      </c>
      <c r="BJ17" s="3">
        <f t="shared" si="68"/>
        <v>119845.67936953032</v>
      </c>
      <c r="BK17" s="3">
        <f t="shared" si="68"/>
        <v>135635.28452418849</v>
      </c>
      <c r="BL17" s="3">
        <f t="shared" si="68"/>
        <v>150793.3054726604</v>
      </c>
      <c r="BM17" s="3">
        <f t="shared" si="68"/>
        <v>165345.00558319339</v>
      </c>
      <c r="BN17" s="3">
        <f t="shared" si="68"/>
        <v>179314.63768930506</v>
      </c>
      <c r="BO17" s="3">
        <f t="shared" si="68"/>
        <v>192725.48451117225</v>
      </c>
      <c r="BP17" s="397">
        <f>AVERAGE(BD17:BO17)</f>
        <v>114306.98231611548</v>
      </c>
      <c r="CF17" s="3" t="s">
        <v>1104</v>
      </c>
      <c r="CG17" s="12" t="s">
        <v>965</v>
      </c>
    </row>
    <row r="18" spans="1:85" s="3" customFormat="1">
      <c r="A18" s="3" t="s">
        <v>685</v>
      </c>
      <c r="B18" s="12" t="s">
        <v>496</v>
      </c>
      <c r="C18" s="5">
        <v>0</v>
      </c>
      <c r="J18" s="3">
        <f t="shared" ref="J18:O18" si="69">J15*1000000/J10</f>
        <v>1525.8302306061582</v>
      </c>
      <c r="K18" s="3">
        <f t="shared" si="69"/>
        <v>2990.6272519880699</v>
      </c>
      <c r="L18" s="3">
        <f t="shared" si="69"/>
        <v>4396.8323925147051</v>
      </c>
      <c r="M18" s="3">
        <f t="shared" si="69"/>
        <v>5746.7893274202752</v>
      </c>
      <c r="N18" s="3">
        <f t="shared" si="69"/>
        <v>7042.7479849296215</v>
      </c>
      <c r="O18" s="3">
        <f t="shared" si="69"/>
        <v>17441.849679775547</v>
      </c>
      <c r="P18" s="397">
        <f>O18</f>
        <v>17441.849679775547</v>
      </c>
      <c r="Q18" s="3">
        <f t="shared" ref="Q18:AB18" si="70">Q15*1000000/Q10</f>
        <v>5066.2482364628013</v>
      </c>
      <c r="R18" s="3">
        <f t="shared" si="70"/>
        <v>9929.8465434670907</v>
      </c>
      <c r="S18" s="3">
        <f t="shared" si="70"/>
        <v>14598.900918191206</v>
      </c>
      <c r="T18" s="3">
        <f t="shared" si="70"/>
        <v>19081.193117926359</v>
      </c>
      <c r="U18" s="3">
        <f t="shared" si="70"/>
        <v>23384.193629672103</v>
      </c>
      <c r="V18" s="3">
        <f t="shared" si="70"/>
        <v>27515.074120948018</v>
      </c>
      <c r="W18" s="3">
        <f t="shared" si="70"/>
        <v>31480.719392572897</v>
      </c>
      <c r="X18" s="3">
        <f t="shared" si="70"/>
        <v>35287.738853332783</v>
      </c>
      <c r="Y18" s="3">
        <f t="shared" si="70"/>
        <v>38942.477535662263</v>
      </c>
      <c r="Z18" s="3">
        <f t="shared" si="70"/>
        <v>42451.026670698579</v>
      </c>
      <c r="AA18" s="3">
        <f t="shared" si="70"/>
        <v>45819.233840333429</v>
      </c>
      <c r="AB18" s="3">
        <f t="shared" si="70"/>
        <v>49052.712723182893</v>
      </c>
      <c r="AC18" s="397">
        <f>AB18</f>
        <v>49052.712723182893</v>
      </c>
      <c r="AD18" s="3">
        <f t="shared" ref="AD18:AO18" si="71">AD15*1000000/AD10</f>
        <v>8780.7093831401253</v>
      </c>
      <c r="AE18" s="3">
        <f t="shared" si="71"/>
        <v>17210.190390954645</v>
      </c>
      <c r="AF18" s="3">
        <f t="shared" si="71"/>
        <v>25302.492158456589</v>
      </c>
      <c r="AG18" s="3">
        <f t="shared" si="71"/>
        <v>33071.10185525845</v>
      </c>
      <c r="AH18" s="3">
        <f t="shared" si="71"/>
        <v>40528.967164188231</v>
      </c>
      <c r="AI18" s="3">
        <f t="shared" si="71"/>
        <v>47688.517860760832</v>
      </c>
      <c r="AJ18" s="3">
        <f t="shared" si="71"/>
        <v>54561.686529470513</v>
      </c>
      <c r="AK18" s="3">
        <f t="shared" si="71"/>
        <v>61159.928451431828</v>
      </c>
      <c r="AL18" s="3">
        <f t="shared" si="71"/>
        <v>67494.240696514695</v>
      </c>
      <c r="AM18" s="3">
        <f t="shared" si="71"/>
        <v>73575.180451794222</v>
      </c>
      <c r="AN18" s="3">
        <f t="shared" si="71"/>
        <v>79412.882616862582</v>
      </c>
      <c r="AO18" s="3">
        <f t="shared" si="71"/>
        <v>85017.076695328215</v>
      </c>
      <c r="AP18" s="397">
        <f>AO18</f>
        <v>85017.076695328215</v>
      </c>
      <c r="AQ18" s="3">
        <f t="shared" ref="AQ18:BB18" si="72">AQ15*1000000/AQ10</f>
        <v>12315.994616663926</v>
      </c>
      <c r="AR18" s="3">
        <f t="shared" si="72"/>
        <v>24139.349448661298</v>
      </c>
      <c r="AS18" s="3">
        <f t="shared" si="72"/>
        <v>35489.770087378776</v>
      </c>
      <c r="AT18" s="3">
        <f t="shared" si="72"/>
        <v>46386.173900547547</v>
      </c>
      <c r="AU18" s="3">
        <f t="shared" si="72"/>
        <v>56846.721561189566</v>
      </c>
      <c r="AV18" s="3">
        <f t="shared" si="72"/>
        <v>66888.847315405917</v>
      </c>
      <c r="AW18" s="3">
        <f t="shared" si="72"/>
        <v>76529.288039453604</v>
      </c>
      <c r="AX18" s="3">
        <f t="shared" si="72"/>
        <v>85784.111134539373</v>
      </c>
      <c r="AY18" s="3">
        <f t="shared" si="72"/>
        <v>94668.741305821735</v>
      </c>
      <c r="AZ18" s="3">
        <f t="shared" si="72"/>
        <v>103197.9862702528</v>
      </c>
      <c r="BA18" s="3">
        <f t="shared" si="72"/>
        <v>111386.06143610663</v>
      </c>
      <c r="BB18" s="3">
        <f t="shared" si="72"/>
        <v>119246.6135953263</v>
      </c>
      <c r="BC18" s="397">
        <f>BB18</f>
        <v>119246.6135953263</v>
      </c>
      <c r="BD18" s="3">
        <f t="shared" ref="BD18:BO18" si="73">BD15*1000000/BD10</f>
        <v>14058.761238603514</v>
      </c>
      <c r="BE18" s="3">
        <f t="shared" si="73"/>
        <v>27555.172027662888</v>
      </c>
      <c r="BF18" s="3">
        <f t="shared" si="73"/>
        <v>40511.726385159891</v>
      </c>
      <c r="BG18" s="3">
        <f t="shared" si="73"/>
        <v>52950.018568357016</v>
      </c>
      <c r="BH18" s="3">
        <f t="shared" si="73"/>
        <v>64890.779064226241</v>
      </c>
      <c r="BI18" s="3">
        <f t="shared" si="73"/>
        <v>76353.909140260716</v>
      </c>
      <c r="BJ18" s="3">
        <f t="shared" si="73"/>
        <v>87358.514013253793</v>
      </c>
      <c r="BK18" s="3">
        <f t="shared" si="73"/>
        <v>97922.934691327158</v>
      </c>
      <c r="BL18" s="3">
        <f t="shared" si="73"/>
        <v>108064.77854227759</v>
      </c>
      <c r="BM18" s="3">
        <f t="shared" si="73"/>
        <v>117800.94863919001</v>
      </c>
      <c r="BN18" s="3">
        <f t="shared" si="73"/>
        <v>127147.67193222593</v>
      </c>
      <c r="BO18" s="3">
        <f t="shared" si="73"/>
        <v>136120.52629354037</v>
      </c>
      <c r="BP18" s="397">
        <f>BO18</f>
        <v>136120.52629354037</v>
      </c>
      <c r="CF18" s="3" t="s">
        <v>1105</v>
      </c>
      <c r="CG18" s="12" t="s">
        <v>394</v>
      </c>
    </row>
    <row r="19" spans="1:85" s="3" customFormat="1">
      <c r="B19" s="12"/>
      <c r="C19" s="5"/>
      <c r="P19" s="397"/>
      <c r="AC19" s="397"/>
      <c r="AP19" s="397"/>
      <c r="BC19" s="397"/>
      <c r="BP19" s="397"/>
      <c r="CG19" s="12"/>
    </row>
    <row r="20" spans="1:85" s="291" customFormat="1">
      <c r="A20" s="291" t="s">
        <v>159</v>
      </c>
      <c r="B20" s="285" t="s">
        <v>231</v>
      </c>
      <c r="C20" s="40"/>
      <c r="J20" s="291">
        <f>P20</f>
        <v>0.35</v>
      </c>
      <c r="K20" s="291">
        <f t="shared" ref="K20:O20" si="74">J20</f>
        <v>0.35</v>
      </c>
      <c r="L20" s="291">
        <f t="shared" si="74"/>
        <v>0.35</v>
      </c>
      <c r="M20" s="291">
        <f t="shared" si="74"/>
        <v>0.35</v>
      </c>
      <c r="N20" s="291">
        <f t="shared" si="74"/>
        <v>0.35</v>
      </c>
      <c r="O20" s="291">
        <f t="shared" si="74"/>
        <v>0.35</v>
      </c>
      <c r="P20" s="424">
        <v>0.35</v>
      </c>
      <c r="Q20" s="291">
        <f>AC20</f>
        <v>0.33999999999999997</v>
      </c>
      <c r="R20" s="291">
        <f t="shared" ref="R20:AB20" si="75">Q20</f>
        <v>0.33999999999999997</v>
      </c>
      <c r="S20" s="291">
        <f t="shared" si="75"/>
        <v>0.33999999999999997</v>
      </c>
      <c r="T20" s="291">
        <f t="shared" si="75"/>
        <v>0.33999999999999997</v>
      </c>
      <c r="U20" s="291">
        <f t="shared" si="75"/>
        <v>0.33999999999999997</v>
      </c>
      <c r="V20" s="291">
        <f t="shared" si="75"/>
        <v>0.33999999999999997</v>
      </c>
      <c r="W20" s="291">
        <f t="shared" si="75"/>
        <v>0.33999999999999997</v>
      </c>
      <c r="X20" s="291">
        <f t="shared" si="75"/>
        <v>0.33999999999999997</v>
      </c>
      <c r="Y20" s="291">
        <f t="shared" si="75"/>
        <v>0.33999999999999997</v>
      </c>
      <c r="Z20" s="291">
        <f t="shared" si="75"/>
        <v>0.33999999999999997</v>
      </c>
      <c r="AA20" s="291">
        <f t="shared" si="75"/>
        <v>0.33999999999999997</v>
      </c>
      <c r="AB20" s="291">
        <f t="shared" si="75"/>
        <v>0.33999999999999997</v>
      </c>
      <c r="AC20" s="424">
        <f>P20-1%</f>
        <v>0.33999999999999997</v>
      </c>
      <c r="AD20" s="291">
        <f>AP20</f>
        <v>0.32999999999999996</v>
      </c>
      <c r="AE20" s="291">
        <f t="shared" ref="AE20:AO20" si="76">AD20</f>
        <v>0.32999999999999996</v>
      </c>
      <c r="AF20" s="291">
        <f t="shared" si="76"/>
        <v>0.32999999999999996</v>
      </c>
      <c r="AG20" s="291">
        <f t="shared" si="76"/>
        <v>0.32999999999999996</v>
      </c>
      <c r="AH20" s="291">
        <f t="shared" si="76"/>
        <v>0.32999999999999996</v>
      </c>
      <c r="AI20" s="291">
        <f t="shared" si="76"/>
        <v>0.32999999999999996</v>
      </c>
      <c r="AJ20" s="291">
        <f t="shared" si="76"/>
        <v>0.32999999999999996</v>
      </c>
      <c r="AK20" s="291">
        <f t="shared" si="76"/>
        <v>0.32999999999999996</v>
      </c>
      <c r="AL20" s="291">
        <f t="shared" si="76"/>
        <v>0.32999999999999996</v>
      </c>
      <c r="AM20" s="291">
        <f t="shared" si="76"/>
        <v>0.32999999999999996</v>
      </c>
      <c r="AN20" s="291">
        <f t="shared" si="76"/>
        <v>0.32999999999999996</v>
      </c>
      <c r="AO20" s="291">
        <f t="shared" si="76"/>
        <v>0.32999999999999996</v>
      </c>
      <c r="AP20" s="424">
        <f>AC20-1%</f>
        <v>0.32999999999999996</v>
      </c>
      <c r="AQ20" s="291">
        <f>BC20</f>
        <v>0.31999999999999995</v>
      </c>
      <c r="AR20" s="291">
        <f t="shared" ref="AR20:BB20" si="77">AQ20</f>
        <v>0.31999999999999995</v>
      </c>
      <c r="AS20" s="291">
        <f t="shared" si="77"/>
        <v>0.31999999999999995</v>
      </c>
      <c r="AT20" s="291">
        <f t="shared" si="77"/>
        <v>0.31999999999999995</v>
      </c>
      <c r="AU20" s="291">
        <f t="shared" si="77"/>
        <v>0.31999999999999995</v>
      </c>
      <c r="AV20" s="291">
        <f t="shared" si="77"/>
        <v>0.31999999999999995</v>
      </c>
      <c r="AW20" s="291">
        <f t="shared" si="77"/>
        <v>0.31999999999999995</v>
      </c>
      <c r="AX20" s="291">
        <f t="shared" si="77"/>
        <v>0.31999999999999995</v>
      </c>
      <c r="AY20" s="291">
        <f t="shared" si="77"/>
        <v>0.31999999999999995</v>
      </c>
      <c r="AZ20" s="291">
        <f t="shared" si="77"/>
        <v>0.31999999999999995</v>
      </c>
      <c r="BA20" s="291">
        <f t="shared" si="77"/>
        <v>0.31999999999999995</v>
      </c>
      <c r="BB20" s="291">
        <f t="shared" si="77"/>
        <v>0.31999999999999995</v>
      </c>
      <c r="BC20" s="424">
        <f>AP20-1%</f>
        <v>0.31999999999999995</v>
      </c>
      <c r="BD20" s="291">
        <f>BP20</f>
        <v>0.30999999999999994</v>
      </c>
      <c r="BE20" s="291">
        <f t="shared" ref="BE20:BO20" si="78">BD20</f>
        <v>0.30999999999999994</v>
      </c>
      <c r="BF20" s="291">
        <f t="shared" si="78"/>
        <v>0.30999999999999994</v>
      </c>
      <c r="BG20" s="291">
        <f t="shared" si="78"/>
        <v>0.30999999999999994</v>
      </c>
      <c r="BH20" s="291">
        <f t="shared" si="78"/>
        <v>0.30999999999999994</v>
      </c>
      <c r="BI20" s="291">
        <f t="shared" si="78"/>
        <v>0.30999999999999994</v>
      </c>
      <c r="BJ20" s="291">
        <f t="shared" si="78"/>
        <v>0.30999999999999994</v>
      </c>
      <c r="BK20" s="291">
        <f t="shared" si="78"/>
        <v>0.30999999999999994</v>
      </c>
      <c r="BL20" s="291">
        <f t="shared" si="78"/>
        <v>0.30999999999999994</v>
      </c>
      <c r="BM20" s="291">
        <f t="shared" si="78"/>
        <v>0.30999999999999994</v>
      </c>
      <c r="BN20" s="291">
        <f t="shared" si="78"/>
        <v>0.30999999999999994</v>
      </c>
      <c r="BO20" s="291">
        <f t="shared" si="78"/>
        <v>0.30999999999999994</v>
      </c>
      <c r="BP20" s="424">
        <f>BC20-1%</f>
        <v>0.30999999999999994</v>
      </c>
      <c r="CF20" s="291" t="str">
        <f>'Micro_30 (indiv)'!CF29</f>
        <v>Interest rate</v>
      </c>
      <c r="CG20" s="285" t="s">
        <v>231</v>
      </c>
    </row>
    <row r="21" spans="1:85" s="291" customFormat="1">
      <c r="A21" s="291" t="s">
        <v>684</v>
      </c>
      <c r="B21" s="285" t="s">
        <v>231</v>
      </c>
      <c r="C21" s="40"/>
      <c r="P21" s="424"/>
      <c r="AC21" s="424"/>
      <c r="AP21" s="424"/>
      <c r="BC21" s="424"/>
      <c r="BP21" s="424"/>
      <c r="CF21" s="291" t="s">
        <v>1106</v>
      </c>
      <c r="CG21" s="285" t="s">
        <v>231</v>
      </c>
    </row>
    <row r="22" spans="1:85" s="629" customFormat="1">
      <c r="A22" s="629" t="s">
        <v>156</v>
      </c>
      <c r="B22" s="630" t="s">
        <v>231</v>
      </c>
      <c r="P22" s="631"/>
      <c r="AC22" s="631"/>
      <c r="AP22" s="631"/>
      <c r="BC22" s="631"/>
      <c r="BP22" s="631"/>
      <c r="BQ22" s="629" t="s">
        <v>683</v>
      </c>
      <c r="CF22" s="629" t="str">
        <f>'Micro_30 (indiv)'!CF31</f>
        <v>PD level</v>
      </c>
      <c r="CG22" s="630" t="s">
        <v>231</v>
      </c>
    </row>
    <row r="23" spans="1:85" s="629" customFormat="1">
      <c r="A23" s="629" t="s">
        <v>682</v>
      </c>
      <c r="B23" s="630" t="s">
        <v>231</v>
      </c>
      <c r="C23" s="632">
        <v>-0.08</v>
      </c>
      <c r="D23" s="629">
        <f>(P23-C23)/12+C23</f>
        <v>-7.9583333333333339E-2</v>
      </c>
      <c r="E23" s="629">
        <f>(P23-C23)/12+D23</f>
        <v>-7.9166666666666677E-2</v>
      </c>
      <c r="F23" s="629">
        <f>(P23-C23)/12+E23</f>
        <v>-7.8750000000000014E-2</v>
      </c>
      <c r="G23" s="629">
        <f>(P23-C23)/12+F23</f>
        <v>-7.8333333333333352E-2</v>
      </c>
      <c r="H23" s="629">
        <f>(P23-C23)/12+G23</f>
        <v>-7.791666666666669E-2</v>
      </c>
      <c r="I23" s="629">
        <f>(P23-C23)/12+H23</f>
        <v>-7.7500000000000027E-2</v>
      </c>
      <c r="J23" s="629">
        <f>(P23-C23)/12+I23</f>
        <v>-7.7083333333333365E-2</v>
      </c>
      <c r="K23" s="629">
        <f>(P23-C23)/12+J23</f>
        <v>-7.6666666666666702E-2</v>
      </c>
      <c r="L23" s="629">
        <f>(P23-C23)/12+K23</f>
        <v>-7.625000000000004E-2</v>
      </c>
      <c r="M23" s="629">
        <f>(P23-C23)/12+L23</f>
        <v>-7.5833333333333378E-2</v>
      </c>
      <c r="N23" s="629">
        <f>(P23-C23)/12+M23</f>
        <v>-7.5416666666666715E-2</v>
      </c>
      <c r="O23" s="629">
        <f>(P23-C23)/12+N23</f>
        <v>-7.5000000000000053E-2</v>
      </c>
      <c r="P23" s="631">
        <f>C23+0.5%</f>
        <v>-7.4999999999999997E-2</v>
      </c>
      <c r="Q23" s="629">
        <f>(AC23-P23)/12+P23</f>
        <v>-7.4583333333333335E-2</v>
      </c>
      <c r="R23" s="629">
        <f>(AC23-P23)/12+Q23</f>
        <v>-7.4166666666666672E-2</v>
      </c>
      <c r="S23" s="629">
        <f>(AC23-P23)/12+R23</f>
        <v>-7.375000000000001E-2</v>
      </c>
      <c r="T23" s="629">
        <f>(AC23-P23)/12+S23</f>
        <v>-7.3333333333333348E-2</v>
      </c>
      <c r="U23" s="629">
        <f>(AC23-P23)/12+T23</f>
        <v>-7.2916666666666685E-2</v>
      </c>
      <c r="V23" s="629">
        <f>(AC23-P23)/12+U23</f>
        <v>-7.2500000000000023E-2</v>
      </c>
      <c r="W23" s="629">
        <f>(AC23-P23)/12+V23</f>
        <v>-7.208333333333336E-2</v>
      </c>
      <c r="X23" s="629">
        <f>(AC23-P23)/12+W23</f>
        <v>-7.1666666666666698E-2</v>
      </c>
      <c r="Y23" s="629">
        <f>(AC23-P23)/12+X23</f>
        <v>-7.1250000000000036E-2</v>
      </c>
      <c r="Z23" s="629">
        <f>(AC23-P23)/12+Y23</f>
        <v>-7.0833333333333373E-2</v>
      </c>
      <c r="AA23" s="629">
        <f>(AC23-P23)/12+Z23</f>
        <v>-7.0416666666666711E-2</v>
      </c>
      <c r="AB23" s="629">
        <f>(AC23-P23)/12+AA23</f>
        <v>-7.0000000000000048E-2</v>
      </c>
      <c r="AC23" s="631">
        <f>P23+0.5%</f>
        <v>-6.9999999999999993E-2</v>
      </c>
      <c r="AD23" s="629">
        <f>(AP23-AC23)/12+AC23</f>
        <v>-6.958333333333333E-2</v>
      </c>
      <c r="AE23" s="629">
        <f>(AP23-AC23)/12+AD23</f>
        <v>-6.9166666666666668E-2</v>
      </c>
      <c r="AF23" s="629">
        <f>(AP23-AC23)/12+AE23</f>
        <v>-6.8750000000000006E-2</v>
      </c>
      <c r="AG23" s="629">
        <f>(AP23-AC23)/12+AF23</f>
        <v>-6.8333333333333343E-2</v>
      </c>
      <c r="AH23" s="629">
        <f>(AP23-AC23)/12+AG23</f>
        <v>-6.7916666666666681E-2</v>
      </c>
      <c r="AI23" s="629">
        <f>(AP23-AC23)/12+AH23</f>
        <v>-6.7500000000000018E-2</v>
      </c>
      <c r="AJ23" s="629">
        <f>(AP23-AC23)/12+AI23</f>
        <v>-6.7083333333333356E-2</v>
      </c>
      <c r="AK23" s="629">
        <f>(AP23-AC23)/12+AJ23</f>
        <v>-6.6666666666666693E-2</v>
      </c>
      <c r="AL23" s="629">
        <f>(AP23-AC23)/12+AK23</f>
        <v>-6.6250000000000031E-2</v>
      </c>
      <c r="AM23" s="629">
        <f>(AP23-AC23)/12+AL23</f>
        <v>-6.5833333333333369E-2</v>
      </c>
      <c r="AN23" s="629">
        <f>(AP23-AC23)/12+AM23</f>
        <v>-6.5416666666666706E-2</v>
      </c>
      <c r="AO23" s="629">
        <f>(AP23-AC23)/12+AN23</f>
        <v>-6.5000000000000044E-2</v>
      </c>
      <c r="AP23" s="631">
        <f>AC23+0.5%</f>
        <v>-6.4999999999999988E-2</v>
      </c>
      <c r="AQ23" s="629">
        <f>(BC23-AP23)/12+AP23</f>
        <v>-6.4583333333333326E-2</v>
      </c>
      <c r="AR23" s="629">
        <f>(BC23-AP23)/12+AQ23</f>
        <v>-6.4166666666666664E-2</v>
      </c>
      <c r="AS23" s="629">
        <f>(BC23-AP23)/12+AR23</f>
        <v>-6.3750000000000001E-2</v>
      </c>
      <c r="AT23" s="629">
        <f>(BC23-AP23)/12+AS23</f>
        <v>-6.3333333333333339E-2</v>
      </c>
      <c r="AU23" s="629">
        <f>(BC23-AP23)/12+AT23</f>
        <v>-6.2916666666666676E-2</v>
      </c>
      <c r="AV23" s="629">
        <f>(BC23-AP23)/12+AU23</f>
        <v>-6.2500000000000014E-2</v>
      </c>
      <c r="AW23" s="629">
        <f>(BC23-AP23)/12+AV23</f>
        <v>-6.2083333333333345E-2</v>
      </c>
      <c r="AX23" s="629">
        <f>(BC23-AP23)/12+AW23</f>
        <v>-6.1666666666666675E-2</v>
      </c>
      <c r="AY23" s="629">
        <f>(BC23-AP23)/12+AX23</f>
        <v>-6.1250000000000006E-2</v>
      </c>
      <c r="AZ23" s="629">
        <f>(BC23-AP23)/12+AY23</f>
        <v>-6.0833333333333336E-2</v>
      </c>
      <c r="BA23" s="629">
        <f>(BC23-AP23)/12+AZ23</f>
        <v>-6.0416666666666667E-2</v>
      </c>
      <c r="BB23" s="629">
        <f>(BC23-AP23)/12+BA23</f>
        <v>-0.06</v>
      </c>
      <c r="BC23" s="631">
        <f>AP23+0.5%</f>
        <v>-5.9999999999999991E-2</v>
      </c>
      <c r="BD23" s="629">
        <f>(BP23-BC23)/12+BC23</f>
        <v>-5.9583333333333321E-2</v>
      </c>
      <c r="BE23" s="629">
        <f>(BP23-BC23)/12+BD23</f>
        <v>-5.9166666666666652E-2</v>
      </c>
      <c r="BF23" s="629">
        <f>(BP23-BC23)/12+BE23</f>
        <v>-5.8749999999999983E-2</v>
      </c>
      <c r="BG23" s="629">
        <f>(BP23-BC23)/12+BF23</f>
        <v>-5.8333333333333313E-2</v>
      </c>
      <c r="BH23" s="629">
        <f>(BP23-BC23)/12+BG23</f>
        <v>-5.7916666666666644E-2</v>
      </c>
      <c r="BI23" s="629">
        <f>(BP23-BC23)/12+BH23</f>
        <v>-5.7499999999999975E-2</v>
      </c>
      <c r="BJ23" s="629">
        <f>(BP23-BC23)/12+BI23</f>
        <v>-5.7083333333333305E-2</v>
      </c>
      <c r="BK23" s="629">
        <f>(BP23-BC23)/12+BJ23</f>
        <v>-5.6666666666666636E-2</v>
      </c>
      <c r="BL23" s="629">
        <f>(BP23-BC23)/12+BK23</f>
        <v>-5.6249999999999967E-2</v>
      </c>
      <c r="BM23" s="629">
        <f>(BP23-BC23)/12+BL23</f>
        <v>-5.5833333333333297E-2</v>
      </c>
      <c r="BN23" s="629">
        <f>(BP23-BC23)/12+BM23</f>
        <v>-5.5416666666666628E-2</v>
      </c>
      <c r="BO23" s="629">
        <f>(BP23-BC23)/12+BN23</f>
        <v>-5.4999999999999959E-2</v>
      </c>
      <c r="BP23" s="631">
        <f>BC23+0.5%</f>
        <v>-5.4999999999999993E-2</v>
      </c>
      <c r="BQ23" s="613" t="s">
        <v>681</v>
      </c>
      <c r="CF23" s="629" t="s">
        <v>1051</v>
      </c>
      <c r="CG23" s="630" t="s">
        <v>231</v>
      </c>
    </row>
    <row r="24" spans="1:85" s="291" customFormat="1">
      <c r="A24" s="291" t="s">
        <v>680</v>
      </c>
      <c r="B24" s="285" t="s">
        <v>231</v>
      </c>
      <c r="C24" s="40"/>
      <c r="D24" s="291">
        <f>P24</f>
        <v>-0.215</v>
      </c>
      <c r="E24" s="291">
        <f t="shared" ref="E24:O24" si="79">D24</f>
        <v>-0.215</v>
      </c>
      <c r="F24" s="291">
        <f t="shared" si="79"/>
        <v>-0.215</v>
      </c>
      <c r="G24" s="291">
        <f t="shared" si="79"/>
        <v>-0.215</v>
      </c>
      <c r="H24" s="291">
        <f t="shared" si="79"/>
        <v>-0.215</v>
      </c>
      <c r="I24" s="291">
        <f t="shared" si="79"/>
        <v>-0.215</v>
      </c>
      <c r="J24" s="291">
        <f t="shared" si="79"/>
        <v>-0.215</v>
      </c>
      <c r="K24" s="291">
        <f t="shared" si="79"/>
        <v>-0.215</v>
      </c>
      <c r="L24" s="291">
        <f t="shared" si="79"/>
        <v>-0.215</v>
      </c>
      <c r="M24" s="291">
        <f t="shared" si="79"/>
        <v>-0.215</v>
      </c>
      <c r="N24" s="291">
        <f t="shared" si="79"/>
        <v>-0.215</v>
      </c>
      <c r="O24" s="291">
        <f t="shared" si="79"/>
        <v>-0.215</v>
      </c>
      <c r="P24" s="424">
        <v>-0.215</v>
      </c>
      <c r="Q24" s="291">
        <f>AC24</f>
        <v>-0.20499999999999999</v>
      </c>
      <c r="R24" s="291">
        <f t="shared" ref="R24:AB24" si="80">Q24</f>
        <v>-0.20499999999999999</v>
      </c>
      <c r="S24" s="291">
        <f t="shared" si="80"/>
        <v>-0.20499999999999999</v>
      </c>
      <c r="T24" s="291">
        <f t="shared" si="80"/>
        <v>-0.20499999999999999</v>
      </c>
      <c r="U24" s="291">
        <f t="shared" si="80"/>
        <v>-0.20499999999999999</v>
      </c>
      <c r="V24" s="291">
        <f t="shared" si="80"/>
        <v>-0.20499999999999999</v>
      </c>
      <c r="W24" s="291">
        <f t="shared" si="80"/>
        <v>-0.20499999999999999</v>
      </c>
      <c r="X24" s="291">
        <f t="shared" si="80"/>
        <v>-0.20499999999999999</v>
      </c>
      <c r="Y24" s="291">
        <f t="shared" si="80"/>
        <v>-0.20499999999999999</v>
      </c>
      <c r="Z24" s="291">
        <f t="shared" si="80"/>
        <v>-0.20499999999999999</v>
      </c>
      <c r="AA24" s="291">
        <f t="shared" si="80"/>
        <v>-0.20499999999999999</v>
      </c>
      <c r="AB24" s="291">
        <f t="shared" si="80"/>
        <v>-0.20499999999999999</v>
      </c>
      <c r="AC24" s="424">
        <f>P24+1%</f>
        <v>-0.20499999999999999</v>
      </c>
      <c r="AD24" s="291">
        <f>AP24</f>
        <v>-0.19499999999999998</v>
      </c>
      <c r="AE24" s="291">
        <f t="shared" ref="AE24:AO24" si="81">AD24</f>
        <v>-0.19499999999999998</v>
      </c>
      <c r="AF24" s="291">
        <f t="shared" si="81"/>
        <v>-0.19499999999999998</v>
      </c>
      <c r="AG24" s="291">
        <f t="shared" si="81"/>
        <v>-0.19499999999999998</v>
      </c>
      <c r="AH24" s="291">
        <f t="shared" si="81"/>
        <v>-0.19499999999999998</v>
      </c>
      <c r="AI24" s="291">
        <f t="shared" si="81"/>
        <v>-0.19499999999999998</v>
      </c>
      <c r="AJ24" s="291">
        <f t="shared" si="81"/>
        <v>-0.19499999999999998</v>
      </c>
      <c r="AK24" s="291">
        <f t="shared" si="81"/>
        <v>-0.19499999999999998</v>
      </c>
      <c r="AL24" s="291">
        <f t="shared" si="81"/>
        <v>-0.19499999999999998</v>
      </c>
      <c r="AM24" s="291">
        <f t="shared" si="81"/>
        <v>-0.19499999999999998</v>
      </c>
      <c r="AN24" s="291">
        <f t="shared" si="81"/>
        <v>-0.19499999999999998</v>
      </c>
      <c r="AO24" s="291">
        <f t="shared" si="81"/>
        <v>-0.19499999999999998</v>
      </c>
      <c r="AP24" s="424">
        <f>AC24+1%</f>
        <v>-0.19499999999999998</v>
      </c>
      <c r="AQ24" s="291">
        <f>BC24</f>
        <v>-0.18499999999999997</v>
      </c>
      <c r="AR24" s="291">
        <f t="shared" ref="AR24:BB24" si="82">AQ24</f>
        <v>-0.18499999999999997</v>
      </c>
      <c r="AS24" s="291">
        <f t="shared" si="82"/>
        <v>-0.18499999999999997</v>
      </c>
      <c r="AT24" s="291">
        <f t="shared" si="82"/>
        <v>-0.18499999999999997</v>
      </c>
      <c r="AU24" s="291">
        <f t="shared" si="82"/>
        <v>-0.18499999999999997</v>
      </c>
      <c r="AV24" s="291">
        <f t="shared" si="82"/>
        <v>-0.18499999999999997</v>
      </c>
      <c r="AW24" s="291">
        <f t="shared" si="82"/>
        <v>-0.18499999999999997</v>
      </c>
      <c r="AX24" s="291">
        <f t="shared" si="82"/>
        <v>-0.18499999999999997</v>
      </c>
      <c r="AY24" s="291">
        <f t="shared" si="82"/>
        <v>-0.18499999999999997</v>
      </c>
      <c r="AZ24" s="291">
        <f t="shared" si="82"/>
        <v>-0.18499999999999997</v>
      </c>
      <c r="BA24" s="291">
        <f t="shared" si="82"/>
        <v>-0.18499999999999997</v>
      </c>
      <c r="BB24" s="291">
        <f t="shared" si="82"/>
        <v>-0.18499999999999997</v>
      </c>
      <c r="BC24" s="424">
        <f>AP24+1%</f>
        <v>-0.18499999999999997</v>
      </c>
      <c r="BD24" s="291">
        <f>BP24</f>
        <v>-0.17499999999999996</v>
      </c>
      <c r="BE24" s="291">
        <f t="shared" ref="BE24:BO24" si="83">BD24</f>
        <v>-0.17499999999999996</v>
      </c>
      <c r="BF24" s="291">
        <f t="shared" si="83"/>
        <v>-0.17499999999999996</v>
      </c>
      <c r="BG24" s="291">
        <f t="shared" si="83"/>
        <v>-0.17499999999999996</v>
      </c>
      <c r="BH24" s="291">
        <f t="shared" si="83"/>
        <v>-0.17499999999999996</v>
      </c>
      <c r="BI24" s="291">
        <f t="shared" si="83"/>
        <v>-0.17499999999999996</v>
      </c>
      <c r="BJ24" s="291">
        <f t="shared" si="83"/>
        <v>-0.17499999999999996</v>
      </c>
      <c r="BK24" s="291">
        <f t="shared" si="83"/>
        <v>-0.17499999999999996</v>
      </c>
      <c r="BL24" s="291">
        <f t="shared" si="83"/>
        <v>-0.17499999999999996</v>
      </c>
      <c r="BM24" s="291">
        <f t="shared" si="83"/>
        <v>-0.17499999999999996</v>
      </c>
      <c r="BN24" s="291">
        <f t="shared" si="83"/>
        <v>-0.17499999999999996</v>
      </c>
      <c r="BO24" s="291">
        <f t="shared" si="83"/>
        <v>-0.17499999999999996</v>
      </c>
      <c r="BP24" s="424">
        <f>BC24+1%</f>
        <v>-0.17499999999999996</v>
      </c>
      <c r="CF24" s="291" t="s">
        <v>1107</v>
      </c>
      <c r="CG24" s="285" t="s">
        <v>231</v>
      </c>
    </row>
    <row r="25" spans="1:85">
      <c r="P25" s="349"/>
      <c r="AC25" s="349"/>
      <c r="AP25" s="349"/>
      <c r="BC25" s="349"/>
      <c r="BP25" s="349"/>
    </row>
    <row r="26" spans="1:85" s="1" customFormat="1">
      <c r="A26" s="421"/>
      <c r="B26" s="423" t="s">
        <v>665</v>
      </c>
      <c r="C26" s="422"/>
      <c r="D26" s="421" t="s">
        <v>107</v>
      </c>
      <c r="E26" s="421" t="s">
        <v>135</v>
      </c>
      <c r="F26" s="421" t="s">
        <v>136</v>
      </c>
      <c r="G26" s="421" t="s">
        <v>137</v>
      </c>
      <c r="H26" s="421" t="s">
        <v>138</v>
      </c>
      <c r="I26" s="421" t="s">
        <v>139</v>
      </c>
      <c r="J26" s="421" t="s">
        <v>140</v>
      </c>
      <c r="K26" s="421" t="s">
        <v>141</v>
      </c>
      <c r="L26" s="421" t="s">
        <v>142</v>
      </c>
      <c r="M26" s="421" t="s">
        <v>143</v>
      </c>
      <c r="N26" s="421" t="s">
        <v>144</v>
      </c>
      <c r="O26" s="421" t="s">
        <v>145</v>
      </c>
      <c r="P26" s="420" t="s">
        <v>146</v>
      </c>
      <c r="Q26" s="421" t="s">
        <v>107</v>
      </c>
      <c r="R26" s="421" t="s">
        <v>135</v>
      </c>
      <c r="S26" s="421" t="s">
        <v>136</v>
      </c>
      <c r="T26" s="421" t="s">
        <v>137</v>
      </c>
      <c r="U26" s="421" t="s">
        <v>138</v>
      </c>
      <c r="V26" s="421" t="s">
        <v>139</v>
      </c>
      <c r="W26" s="421" t="s">
        <v>140</v>
      </c>
      <c r="X26" s="421" t="s">
        <v>141</v>
      </c>
      <c r="Y26" s="421" t="s">
        <v>142</v>
      </c>
      <c r="Z26" s="421" t="s">
        <v>143</v>
      </c>
      <c r="AA26" s="421" t="s">
        <v>144</v>
      </c>
      <c r="AB26" s="421" t="s">
        <v>145</v>
      </c>
      <c r="AC26" s="420" t="s">
        <v>151</v>
      </c>
      <c r="AD26" s="421" t="s">
        <v>107</v>
      </c>
      <c r="AE26" s="421" t="s">
        <v>135</v>
      </c>
      <c r="AF26" s="421" t="s">
        <v>136</v>
      </c>
      <c r="AG26" s="421" t="s">
        <v>137</v>
      </c>
      <c r="AH26" s="421" t="s">
        <v>138</v>
      </c>
      <c r="AI26" s="421" t="s">
        <v>139</v>
      </c>
      <c r="AJ26" s="421" t="s">
        <v>140</v>
      </c>
      <c r="AK26" s="421" t="s">
        <v>141</v>
      </c>
      <c r="AL26" s="421" t="s">
        <v>142</v>
      </c>
      <c r="AM26" s="421" t="s">
        <v>143</v>
      </c>
      <c r="AN26" s="421" t="s">
        <v>144</v>
      </c>
      <c r="AO26" s="421" t="s">
        <v>145</v>
      </c>
      <c r="AP26" s="420" t="s">
        <v>152</v>
      </c>
      <c r="AQ26" s="421" t="s">
        <v>107</v>
      </c>
      <c r="AR26" s="421" t="s">
        <v>135</v>
      </c>
      <c r="AS26" s="421" t="s">
        <v>136</v>
      </c>
      <c r="AT26" s="421" t="s">
        <v>137</v>
      </c>
      <c r="AU26" s="421" t="s">
        <v>138</v>
      </c>
      <c r="AV26" s="421" t="s">
        <v>139</v>
      </c>
      <c r="AW26" s="421" t="s">
        <v>140</v>
      </c>
      <c r="AX26" s="421" t="s">
        <v>141</v>
      </c>
      <c r="AY26" s="421" t="s">
        <v>142</v>
      </c>
      <c r="AZ26" s="421" t="s">
        <v>143</v>
      </c>
      <c r="BA26" s="421" t="s">
        <v>144</v>
      </c>
      <c r="BB26" s="421" t="s">
        <v>145</v>
      </c>
      <c r="BC26" s="420" t="s">
        <v>153</v>
      </c>
      <c r="BD26" s="421" t="s">
        <v>107</v>
      </c>
      <c r="BE26" s="421" t="s">
        <v>135</v>
      </c>
      <c r="BF26" s="421" t="s">
        <v>136</v>
      </c>
      <c r="BG26" s="421" t="s">
        <v>137</v>
      </c>
      <c r="BH26" s="421" t="s">
        <v>138</v>
      </c>
      <c r="BI26" s="421" t="s">
        <v>139</v>
      </c>
      <c r="BJ26" s="421" t="s">
        <v>140</v>
      </c>
      <c r="BK26" s="421" t="s">
        <v>141</v>
      </c>
      <c r="BL26" s="421" t="s">
        <v>142</v>
      </c>
      <c r="BM26" s="421" t="s">
        <v>143</v>
      </c>
      <c r="BN26" s="421" t="s">
        <v>144</v>
      </c>
      <c r="BO26" s="421" t="s">
        <v>145</v>
      </c>
      <c r="BP26" s="420" t="s">
        <v>154</v>
      </c>
      <c r="CF26" s="421"/>
      <c r="CG26" s="423"/>
    </row>
    <row r="27" spans="1:85" s="3" customFormat="1">
      <c r="A27" s="296" t="s">
        <v>513</v>
      </c>
      <c r="B27" s="12" t="s">
        <v>502</v>
      </c>
      <c r="C27" s="5"/>
      <c r="D27" s="3">
        <f t="shared" ref="D27:O27" si="84">D28+D29</f>
        <v>0</v>
      </c>
      <c r="E27" s="3">
        <f t="shared" si="84"/>
        <v>0</v>
      </c>
      <c r="F27" s="3">
        <f t="shared" si="84"/>
        <v>0</v>
      </c>
      <c r="G27" s="3">
        <f t="shared" si="84"/>
        <v>0</v>
      </c>
      <c r="H27" s="3">
        <f t="shared" si="84"/>
        <v>0</v>
      </c>
      <c r="I27" s="3">
        <f t="shared" si="84"/>
        <v>0</v>
      </c>
      <c r="J27" s="3">
        <f t="shared" si="84"/>
        <v>17.494793192018562</v>
      </c>
      <c r="K27" s="3">
        <f t="shared" si="84"/>
        <v>25.892293924187463</v>
      </c>
      <c r="L27" s="3">
        <f t="shared" si="84"/>
        <v>40.985221315392096</v>
      </c>
      <c r="M27" s="3">
        <f t="shared" si="84"/>
        <v>58.152132736887509</v>
      </c>
      <c r="N27" s="3">
        <f t="shared" si="84"/>
        <v>70.955652212352163</v>
      </c>
      <c r="O27" s="3">
        <f t="shared" si="84"/>
        <v>140.36717976272757</v>
      </c>
      <c r="P27" s="397">
        <f t="shared" ref="P27:P60" si="85">SUM(D27:O27)</f>
        <v>353.84727314356536</v>
      </c>
      <c r="Q27" s="3">
        <f t="shared" ref="Q27:AB27" si="86">Q28+Q29</f>
        <v>131.94056803618793</v>
      </c>
      <c r="R27" s="3">
        <f t="shared" si="86"/>
        <v>85.416112458833538</v>
      </c>
      <c r="S27" s="3">
        <f t="shared" si="86"/>
        <v>154.68231361608755</v>
      </c>
      <c r="T27" s="3">
        <f t="shared" si="86"/>
        <v>205.54084785055306</v>
      </c>
      <c r="U27" s="3">
        <f t="shared" si="86"/>
        <v>267.79370944187605</v>
      </c>
      <c r="V27" s="3">
        <f t="shared" si="86"/>
        <v>310.62498332741455</v>
      </c>
      <c r="W27" s="3">
        <f t="shared" si="86"/>
        <v>372.03717183492256</v>
      </c>
      <c r="X27" s="3">
        <f t="shared" si="86"/>
        <v>421.05287333565286</v>
      </c>
      <c r="Y27" s="3">
        <f t="shared" si="86"/>
        <v>453.00769042873014</v>
      </c>
      <c r="Z27" s="3">
        <f t="shared" si="86"/>
        <v>513.28081727942765</v>
      </c>
      <c r="AA27" s="3">
        <f t="shared" si="86"/>
        <v>538.6904254474623</v>
      </c>
      <c r="AB27" s="3">
        <f t="shared" si="86"/>
        <v>598.27809041801004</v>
      </c>
      <c r="AC27" s="397">
        <f t="shared" ref="AC27:AC60" si="87">SUM(Q27:AB27)</f>
        <v>4052.345603475158</v>
      </c>
      <c r="AD27" s="3">
        <f t="shared" ref="AD27:AO27" si="88">AD28+AD29</f>
        <v>370.24432634381719</v>
      </c>
      <c r="AE27" s="3">
        <f t="shared" si="88"/>
        <v>162.84544847500641</v>
      </c>
      <c r="AF27" s="3">
        <f t="shared" si="88"/>
        <v>294.90116099703562</v>
      </c>
      <c r="AG27" s="3">
        <f t="shared" si="88"/>
        <v>391.8627362523431</v>
      </c>
      <c r="AH27" s="3">
        <f t="shared" si="88"/>
        <v>510.54754726592478</v>
      </c>
      <c r="AI27" s="3">
        <f t="shared" si="88"/>
        <v>592.20518543118192</v>
      </c>
      <c r="AJ27" s="3">
        <f t="shared" si="88"/>
        <v>709.28725685133281</v>
      </c>
      <c r="AK27" s="3">
        <f t="shared" si="88"/>
        <v>802.7354794808798</v>
      </c>
      <c r="AL27" s="3">
        <f t="shared" si="88"/>
        <v>863.65719987604371</v>
      </c>
      <c r="AM27" s="3">
        <f t="shared" si="88"/>
        <v>978.56765518063594</v>
      </c>
      <c r="AN27" s="3">
        <f t="shared" si="88"/>
        <v>1027.0109631067844</v>
      </c>
      <c r="AO27" s="3">
        <f t="shared" si="88"/>
        <v>1140.6145883055308</v>
      </c>
      <c r="AP27" s="397">
        <f t="shared" ref="AP27:AP60" si="89">SUM(AD27:AO27)</f>
        <v>7844.479547566516</v>
      </c>
      <c r="AQ27" s="3">
        <f t="shared" ref="AQ27:BB27" si="90">AQ28+AQ29</f>
        <v>683.72151794135721</v>
      </c>
      <c r="AR27" s="3">
        <f t="shared" si="90"/>
        <v>251.25123007477123</v>
      </c>
      <c r="AS27" s="3">
        <f t="shared" si="90"/>
        <v>454.99754610799198</v>
      </c>
      <c r="AT27" s="3">
        <f t="shared" si="90"/>
        <v>604.59776693714537</v>
      </c>
      <c r="AU27" s="3">
        <f t="shared" si="90"/>
        <v>787.71436637302622</v>
      </c>
      <c r="AV27" s="3">
        <f t="shared" si="90"/>
        <v>913.70242576401574</v>
      </c>
      <c r="AW27" s="3">
        <f t="shared" si="90"/>
        <v>1094.3461879292818</v>
      </c>
      <c r="AX27" s="3">
        <f t="shared" si="90"/>
        <v>1238.5257219834889</v>
      </c>
      <c r="AY27" s="3">
        <f t="shared" si="90"/>
        <v>1332.5207174279301</v>
      </c>
      <c r="AZ27" s="3">
        <f t="shared" si="90"/>
        <v>1509.8139332598844</v>
      </c>
      <c r="BA27" s="3">
        <f t="shared" si="90"/>
        <v>1584.5562169363229</v>
      </c>
      <c r="BB27" s="3">
        <f t="shared" si="90"/>
        <v>1759.8331487722103</v>
      </c>
      <c r="BC27" s="397">
        <f t="shared" ref="BC27:BC60" si="91">SUM(AQ27:BB27)</f>
        <v>12215.580779507425</v>
      </c>
      <c r="BD27" s="3">
        <f t="shared" ref="BD27:BO27" si="92">BD28+BD29</f>
        <v>1027.9086643546109</v>
      </c>
      <c r="BE27" s="3">
        <f t="shared" si="92"/>
        <v>315.48480499675566</v>
      </c>
      <c r="BF27" s="3">
        <f t="shared" si="92"/>
        <v>571.31983817617117</v>
      </c>
      <c r="BG27" s="3">
        <f t="shared" si="92"/>
        <v>759.16606874671038</v>
      </c>
      <c r="BH27" s="3">
        <f t="shared" si="92"/>
        <v>989.09729991921313</v>
      </c>
      <c r="BI27" s="3">
        <f t="shared" si="92"/>
        <v>1147.2948073983109</v>
      </c>
      <c r="BJ27" s="3">
        <f t="shared" si="92"/>
        <v>1374.1210086616006</v>
      </c>
      <c r="BK27" s="3">
        <f t="shared" si="92"/>
        <v>1555.1607280376127</v>
      </c>
      <c r="BL27" s="3">
        <f t="shared" si="92"/>
        <v>1673.1859922308895</v>
      </c>
      <c r="BM27" s="3">
        <f t="shared" si="92"/>
        <v>1895.8050640155179</v>
      </c>
      <c r="BN27" s="3">
        <f t="shared" si="92"/>
        <v>1989.6555688813301</v>
      </c>
      <c r="BO27" s="3">
        <f t="shared" si="92"/>
        <v>2209.7428840527555</v>
      </c>
      <c r="BP27" s="397">
        <f t="shared" ref="BP27:BP60" si="93">SUM(BD27:BO27)</f>
        <v>15507.942729471479</v>
      </c>
      <c r="CF27" s="296" t="s">
        <v>871</v>
      </c>
      <c r="CG27" s="12" t="s">
        <v>965</v>
      </c>
    </row>
    <row r="28" spans="1:85" s="5" customFormat="1" outlineLevel="1">
      <c r="A28" s="297" t="s">
        <v>466</v>
      </c>
      <c r="B28" s="12" t="s">
        <v>502</v>
      </c>
      <c r="D28" s="5">
        <f t="shared" ref="D28:O28" si="94">D17*D20/365*D1</f>
        <v>0</v>
      </c>
      <c r="E28" s="5">
        <f t="shared" si="94"/>
        <v>0</v>
      </c>
      <c r="F28" s="5">
        <f t="shared" si="94"/>
        <v>0</v>
      </c>
      <c r="G28" s="5">
        <f t="shared" si="94"/>
        <v>0</v>
      </c>
      <c r="H28" s="5">
        <f t="shared" si="94"/>
        <v>0</v>
      </c>
      <c r="I28" s="5">
        <f t="shared" si="94"/>
        <v>0</v>
      </c>
      <c r="J28" s="5">
        <f t="shared" si="94"/>
        <v>45.356871238566626</v>
      </c>
      <c r="K28" s="5">
        <f t="shared" si="94"/>
        <v>67.128169433078597</v>
      </c>
      <c r="L28" s="5">
        <f t="shared" si="94"/>
        <v>106.25798118805361</v>
      </c>
      <c r="M28" s="5">
        <f t="shared" si="94"/>
        <v>150.76478857711578</v>
      </c>
      <c r="N28" s="5">
        <f t="shared" si="94"/>
        <v>183.95909832832041</v>
      </c>
      <c r="O28" s="5">
        <f t="shared" si="94"/>
        <v>363.91491049596038</v>
      </c>
      <c r="P28" s="383">
        <f t="shared" si="85"/>
        <v>917.38181926109542</v>
      </c>
      <c r="Q28" s="5">
        <f t="shared" ref="Q28:AB28" si="95">Q17*Q20/365*Q1</f>
        <v>332.29476394299178</v>
      </c>
      <c r="R28" s="5">
        <f t="shared" si="95"/>
        <v>215.12206100743262</v>
      </c>
      <c r="S28" s="5">
        <f t="shared" si="95"/>
        <v>389.57027132940578</v>
      </c>
      <c r="T28" s="5">
        <f t="shared" si="95"/>
        <v>517.65843162361512</v>
      </c>
      <c r="U28" s="5">
        <f t="shared" si="95"/>
        <v>674.44341637213222</v>
      </c>
      <c r="V28" s="5">
        <f t="shared" si="95"/>
        <v>782.31477282459969</v>
      </c>
      <c r="W28" s="5">
        <f t="shared" si="95"/>
        <v>936.98250684350876</v>
      </c>
      <c r="X28" s="5">
        <f t="shared" si="95"/>
        <v>1060.4294587712743</v>
      </c>
      <c r="Y28" s="5">
        <f t="shared" si="95"/>
        <v>1140.9082573760609</v>
      </c>
      <c r="Z28" s="5">
        <f t="shared" si="95"/>
        <v>1292.7072435185585</v>
      </c>
      <c r="AA28" s="5">
        <f t="shared" si="95"/>
        <v>1356.7018122380534</v>
      </c>
      <c r="AB28" s="5">
        <f t="shared" si="95"/>
        <v>1506.7744499416551</v>
      </c>
      <c r="AC28" s="383">
        <f t="shared" si="87"/>
        <v>10205.907445789288</v>
      </c>
      <c r="AD28" s="5">
        <f t="shared" ref="AD28:AO28" si="96">AD17*AD20/365*AD1</f>
        <v>905.04168661821973</v>
      </c>
      <c r="AE28" s="5">
        <f t="shared" si="96"/>
        <v>398.06665182779341</v>
      </c>
      <c r="AF28" s="5">
        <f t="shared" si="96"/>
        <v>720.8695046594205</v>
      </c>
      <c r="AG28" s="5">
        <f t="shared" si="96"/>
        <v>957.8866886168388</v>
      </c>
      <c r="AH28" s="5">
        <f t="shared" si="96"/>
        <v>1248.0051155389272</v>
      </c>
      <c r="AI28" s="5">
        <f t="shared" si="96"/>
        <v>1447.6126754984448</v>
      </c>
      <c r="AJ28" s="5">
        <f t="shared" si="96"/>
        <v>1733.8132945254802</v>
      </c>
      <c r="AK28" s="5">
        <f t="shared" si="96"/>
        <v>1962.2422831754841</v>
      </c>
      <c r="AL28" s="5">
        <f t="shared" si="96"/>
        <v>2111.1620441414398</v>
      </c>
      <c r="AM28" s="5">
        <f t="shared" si="96"/>
        <v>2392.0542682193318</v>
      </c>
      <c r="AN28" s="5">
        <f t="shared" si="96"/>
        <v>2510.4712431499174</v>
      </c>
      <c r="AO28" s="5">
        <f t="shared" si="96"/>
        <v>2788.1689936357416</v>
      </c>
      <c r="AP28" s="383">
        <f t="shared" si="89"/>
        <v>19175.39444960704</v>
      </c>
      <c r="AQ28" s="5">
        <f t="shared" ref="AQ28:BB28" si="97">AQ17*AQ20/365*AQ1</f>
        <v>1620.6732277128465</v>
      </c>
      <c r="AR28" s="5">
        <f t="shared" si="97"/>
        <v>595.55847128834648</v>
      </c>
      <c r="AS28" s="5">
        <f t="shared" si="97"/>
        <v>1078.5127018856106</v>
      </c>
      <c r="AT28" s="5">
        <f t="shared" si="97"/>
        <v>1433.1206327399002</v>
      </c>
      <c r="AU28" s="5">
        <f t="shared" si="97"/>
        <v>1867.1747943656917</v>
      </c>
      <c r="AV28" s="5">
        <f t="shared" si="97"/>
        <v>2165.813157366556</v>
      </c>
      <c r="AW28" s="5">
        <f t="shared" si="97"/>
        <v>2594.0057787953347</v>
      </c>
      <c r="AX28" s="5">
        <f t="shared" si="97"/>
        <v>2935.7646743312325</v>
      </c>
      <c r="AY28" s="5">
        <f t="shared" si="97"/>
        <v>3158.5676264958333</v>
      </c>
      <c r="AZ28" s="5">
        <f t="shared" si="97"/>
        <v>3578.8182121715777</v>
      </c>
      <c r="BA28" s="5">
        <f t="shared" si="97"/>
        <v>3755.9851068120247</v>
      </c>
      <c r="BB28" s="5">
        <f t="shared" si="97"/>
        <v>4171.4563526452393</v>
      </c>
      <c r="BC28" s="383">
        <f t="shared" si="91"/>
        <v>28955.450736610197</v>
      </c>
      <c r="BD28" s="5">
        <f t="shared" ref="BD28:BO28" si="98">BD17*BD20/365*BD1</f>
        <v>2360.3828588883662</v>
      </c>
      <c r="BE28" s="5">
        <f t="shared" si="98"/>
        <v>724.44658925180931</v>
      </c>
      <c r="BF28" s="5">
        <f t="shared" si="98"/>
        <v>1311.9196284045411</v>
      </c>
      <c r="BG28" s="5">
        <f t="shared" si="98"/>
        <v>1743.2702319368905</v>
      </c>
      <c r="BH28" s="5">
        <f t="shared" si="98"/>
        <v>2271.2604664811561</v>
      </c>
      <c r="BI28" s="5">
        <f t="shared" si="98"/>
        <v>2634.5288169887135</v>
      </c>
      <c r="BJ28" s="5">
        <f t="shared" si="98"/>
        <v>3155.3889828525648</v>
      </c>
      <c r="BK28" s="5">
        <f t="shared" si="98"/>
        <v>3571.1098199382222</v>
      </c>
      <c r="BL28" s="5">
        <f t="shared" si="98"/>
        <v>3842.1307969746344</v>
      </c>
      <c r="BM28" s="5">
        <f t="shared" si="98"/>
        <v>4353.3301469985972</v>
      </c>
      <c r="BN28" s="5">
        <f t="shared" si="98"/>
        <v>4568.8387137274985</v>
      </c>
      <c r="BO28" s="5">
        <f t="shared" si="98"/>
        <v>5074.2244004174381</v>
      </c>
      <c r="BP28" s="383">
        <f t="shared" si="93"/>
        <v>35610.831452860431</v>
      </c>
      <c r="CF28" s="297" t="s">
        <v>861</v>
      </c>
      <c r="CG28" s="12" t="s">
        <v>965</v>
      </c>
    </row>
    <row r="29" spans="1:85" s="5" customFormat="1" outlineLevel="1">
      <c r="A29" s="297" t="s">
        <v>158</v>
      </c>
      <c r="B29" s="12" t="s">
        <v>502</v>
      </c>
      <c r="D29" s="5">
        <f t="shared" ref="D29:O29" si="99">D17*D24/365*D1</f>
        <v>0</v>
      </c>
      <c r="E29" s="5">
        <f t="shared" si="99"/>
        <v>0</v>
      </c>
      <c r="F29" s="5">
        <f t="shared" si="99"/>
        <v>0</v>
      </c>
      <c r="G29" s="5">
        <f t="shared" si="99"/>
        <v>0</v>
      </c>
      <c r="H29" s="5">
        <f t="shared" si="99"/>
        <v>0</v>
      </c>
      <c r="I29" s="5">
        <f t="shared" si="99"/>
        <v>0</v>
      </c>
      <c r="J29" s="5">
        <f t="shared" si="99"/>
        <v>-27.862078046548064</v>
      </c>
      <c r="K29" s="5">
        <f t="shared" si="99"/>
        <v>-41.235875508891134</v>
      </c>
      <c r="L29" s="5">
        <f t="shared" si="99"/>
        <v>-65.27275987266151</v>
      </c>
      <c r="M29" s="5">
        <f t="shared" si="99"/>
        <v>-92.612655840228271</v>
      </c>
      <c r="N29" s="5">
        <f t="shared" si="99"/>
        <v>-113.00344611596825</v>
      </c>
      <c r="O29" s="5">
        <f t="shared" si="99"/>
        <v>-223.54773073323281</v>
      </c>
      <c r="P29" s="383">
        <f t="shared" si="85"/>
        <v>-563.53454611753</v>
      </c>
      <c r="Q29" s="5">
        <f t="shared" ref="Q29:AB29" si="100">Q17*Q24/365*Q1</f>
        <v>-200.35419590680385</v>
      </c>
      <c r="R29" s="5">
        <f t="shared" si="100"/>
        <v>-129.70594854859908</v>
      </c>
      <c r="S29" s="5">
        <f t="shared" si="100"/>
        <v>-234.88795771331823</v>
      </c>
      <c r="T29" s="5">
        <f t="shared" si="100"/>
        <v>-312.11758377306205</v>
      </c>
      <c r="U29" s="5">
        <f t="shared" si="100"/>
        <v>-406.64970693025617</v>
      </c>
      <c r="V29" s="5">
        <f t="shared" si="100"/>
        <v>-471.68978949718513</v>
      </c>
      <c r="W29" s="5">
        <f t="shared" si="100"/>
        <v>-564.9453350085862</v>
      </c>
      <c r="X29" s="5">
        <f t="shared" si="100"/>
        <v>-639.37658543562145</v>
      </c>
      <c r="Y29" s="5">
        <f t="shared" si="100"/>
        <v>-687.90056694733073</v>
      </c>
      <c r="Z29" s="5">
        <f t="shared" si="100"/>
        <v>-779.42642623913082</v>
      </c>
      <c r="AA29" s="5">
        <f t="shared" si="100"/>
        <v>-818.01138679059113</v>
      </c>
      <c r="AB29" s="5">
        <f t="shared" si="100"/>
        <v>-908.49635952364508</v>
      </c>
      <c r="AC29" s="383">
        <f t="shared" si="87"/>
        <v>-6153.5618423141295</v>
      </c>
      <c r="AD29" s="5">
        <f t="shared" ref="AD29:AO29" si="101">AD17*AD24/365*AD1</f>
        <v>-534.79736027440254</v>
      </c>
      <c r="AE29" s="5">
        <f t="shared" si="101"/>
        <v>-235.221203352787</v>
      </c>
      <c r="AF29" s="5">
        <f t="shared" si="101"/>
        <v>-425.96834366238488</v>
      </c>
      <c r="AG29" s="5">
        <f t="shared" si="101"/>
        <v>-566.0239523644957</v>
      </c>
      <c r="AH29" s="5">
        <f t="shared" si="101"/>
        <v>-737.45756827300238</v>
      </c>
      <c r="AI29" s="5">
        <f t="shared" si="101"/>
        <v>-855.40749006726287</v>
      </c>
      <c r="AJ29" s="5">
        <f t="shared" si="101"/>
        <v>-1024.5260376741473</v>
      </c>
      <c r="AK29" s="5">
        <f t="shared" si="101"/>
        <v>-1159.5068036946043</v>
      </c>
      <c r="AL29" s="5">
        <f t="shared" si="101"/>
        <v>-1247.5048442653961</v>
      </c>
      <c r="AM29" s="5">
        <f t="shared" si="101"/>
        <v>-1413.4866130386959</v>
      </c>
      <c r="AN29" s="5">
        <f t="shared" si="101"/>
        <v>-1483.460280043133</v>
      </c>
      <c r="AO29" s="5">
        <f t="shared" si="101"/>
        <v>-1647.5544053302108</v>
      </c>
      <c r="AP29" s="383">
        <f t="shared" si="89"/>
        <v>-11330.914902040522</v>
      </c>
      <c r="AQ29" s="5">
        <f t="shared" ref="AQ29:BB29" si="102">AQ17*AQ24/365*AQ1</f>
        <v>-936.95170977148928</v>
      </c>
      <c r="AR29" s="5">
        <f t="shared" si="102"/>
        <v>-344.30724121357525</v>
      </c>
      <c r="AS29" s="5">
        <f t="shared" si="102"/>
        <v>-623.51515577761859</v>
      </c>
      <c r="AT29" s="5">
        <f t="shared" si="102"/>
        <v>-828.52286580275484</v>
      </c>
      <c r="AU29" s="5">
        <f t="shared" si="102"/>
        <v>-1079.4604279926655</v>
      </c>
      <c r="AV29" s="5">
        <f t="shared" si="102"/>
        <v>-1252.1107316025402</v>
      </c>
      <c r="AW29" s="5">
        <f t="shared" si="102"/>
        <v>-1499.6595908660529</v>
      </c>
      <c r="AX29" s="5">
        <f t="shared" si="102"/>
        <v>-1697.2389523477436</v>
      </c>
      <c r="AY29" s="5">
        <f t="shared" si="102"/>
        <v>-1826.0469090679032</v>
      </c>
      <c r="AZ29" s="5">
        <f t="shared" si="102"/>
        <v>-2069.0042789116933</v>
      </c>
      <c r="BA29" s="5">
        <f t="shared" si="102"/>
        <v>-2171.4288898757018</v>
      </c>
      <c r="BB29" s="5">
        <f t="shared" si="102"/>
        <v>-2411.6232038730291</v>
      </c>
      <c r="BC29" s="383">
        <f t="shared" si="91"/>
        <v>-16739.869957102768</v>
      </c>
      <c r="BD29" s="5">
        <f t="shared" ref="BD29:BO29" si="103">BD17*BD24/365*BD1</f>
        <v>-1332.4741945337553</v>
      </c>
      <c r="BE29" s="5">
        <f t="shared" si="103"/>
        <v>-408.96178425505366</v>
      </c>
      <c r="BF29" s="5">
        <f t="shared" si="103"/>
        <v>-740.5997902283699</v>
      </c>
      <c r="BG29" s="5">
        <f t="shared" si="103"/>
        <v>-984.10416319018009</v>
      </c>
      <c r="BH29" s="5">
        <f t="shared" si="103"/>
        <v>-1282.1631665619429</v>
      </c>
      <c r="BI29" s="5">
        <f t="shared" si="103"/>
        <v>-1487.2340095904026</v>
      </c>
      <c r="BJ29" s="5">
        <f t="shared" si="103"/>
        <v>-1781.2679741909642</v>
      </c>
      <c r="BK29" s="5">
        <f t="shared" si="103"/>
        <v>-2015.9490919006096</v>
      </c>
      <c r="BL29" s="5">
        <f t="shared" si="103"/>
        <v>-2168.944804743745</v>
      </c>
      <c r="BM29" s="5">
        <f t="shared" si="103"/>
        <v>-2457.5250829830793</v>
      </c>
      <c r="BN29" s="5">
        <f t="shared" si="103"/>
        <v>-2579.1831448461685</v>
      </c>
      <c r="BO29" s="5">
        <f t="shared" si="103"/>
        <v>-2864.4815163646826</v>
      </c>
      <c r="BP29" s="383">
        <f t="shared" si="93"/>
        <v>-20102.888723388951</v>
      </c>
      <c r="CF29" s="297" t="s">
        <v>867</v>
      </c>
      <c r="CG29" s="12" t="s">
        <v>965</v>
      </c>
    </row>
    <row r="30" spans="1:85" s="3" customFormat="1">
      <c r="A30" s="296" t="s">
        <v>514</v>
      </c>
      <c r="B30" s="12" t="s">
        <v>502</v>
      </c>
      <c r="C30" s="5"/>
      <c r="D30" s="3">
        <f t="shared" ref="D30:O30" si="104">D31+D32+D33</f>
        <v>0</v>
      </c>
      <c r="E30" s="3">
        <f t="shared" si="104"/>
        <v>0</v>
      </c>
      <c r="F30" s="3">
        <f t="shared" si="104"/>
        <v>0</v>
      </c>
      <c r="G30" s="3">
        <f t="shared" si="104"/>
        <v>0</v>
      </c>
      <c r="H30" s="3">
        <f t="shared" si="104"/>
        <v>0</v>
      </c>
      <c r="I30" s="3">
        <f t="shared" si="104"/>
        <v>0</v>
      </c>
      <c r="J30" s="3">
        <f t="shared" si="104"/>
        <v>0</v>
      </c>
      <c r="K30" s="3">
        <f t="shared" si="104"/>
        <v>0</v>
      </c>
      <c r="L30" s="3">
        <f t="shared" si="104"/>
        <v>0</v>
      </c>
      <c r="M30" s="3">
        <f t="shared" si="104"/>
        <v>0</v>
      </c>
      <c r="N30" s="3">
        <f t="shared" si="104"/>
        <v>0</v>
      </c>
      <c r="O30" s="3">
        <f t="shared" si="104"/>
        <v>0</v>
      </c>
      <c r="P30" s="397">
        <f t="shared" si="85"/>
        <v>0</v>
      </c>
      <c r="Q30" s="3">
        <f t="shared" ref="Q30:AB30" si="105">Q31+Q32+Q33</f>
        <v>0</v>
      </c>
      <c r="R30" s="3">
        <f t="shared" si="105"/>
        <v>0</v>
      </c>
      <c r="S30" s="3">
        <f t="shared" si="105"/>
        <v>0</v>
      </c>
      <c r="T30" s="3">
        <f t="shared" si="105"/>
        <v>0</v>
      </c>
      <c r="U30" s="3">
        <f t="shared" si="105"/>
        <v>0</v>
      </c>
      <c r="V30" s="3">
        <f t="shared" si="105"/>
        <v>0</v>
      </c>
      <c r="W30" s="3">
        <f t="shared" si="105"/>
        <v>0</v>
      </c>
      <c r="X30" s="3">
        <f t="shared" si="105"/>
        <v>0</v>
      </c>
      <c r="Y30" s="3">
        <f t="shared" si="105"/>
        <v>0</v>
      </c>
      <c r="Z30" s="3">
        <f t="shared" si="105"/>
        <v>0</v>
      </c>
      <c r="AA30" s="3">
        <f t="shared" si="105"/>
        <v>0</v>
      </c>
      <c r="AB30" s="3">
        <f t="shared" si="105"/>
        <v>0</v>
      </c>
      <c r="AC30" s="397">
        <f t="shared" si="87"/>
        <v>0</v>
      </c>
      <c r="AD30" s="3">
        <f t="shared" ref="AD30:AO30" si="106">AD31+AD32+AD33</f>
        <v>0</v>
      </c>
      <c r="AE30" s="3">
        <f t="shared" si="106"/>
        <v>0</v>
      </c>
      <c r="AF30" s="3">
        <f t="shared" si="106"/>
        <v>0</v>
      </c>
      <c r="AG30" s="3">
        <f t="shared" si="106"/>
        <v>0</v>
      </c>
      <c r="AH30" s="3">
        <f t="shared" si="106"/>
        <v>0</v>
      </c>
      <c r="AI30" s="3">
        <f t="shared" si="106"/>
        <v>0</v>
      </c>
      <c r="AJ30" s="3">
        <f t="shared" si="106"/>
        <v>0</v>
      </c>
      <c r="AK30" s="3">
        <f t="shared" si="106"/>
        <v>0</v>
      </c>
      <c r="AL30" s="3">
        <f t="shared" si="106"/>
        <v>0</v>
      </c>
      <c r="AM30" s="3">
        <f t="shared" si="106"/>
        <v>0</v>
      </c>
      <c r="AN30" s="3">
        <f t="shared" si="106"/>
        <v>0</v>
      </c>
      <c r="AO30" s="3">
        <f t="shared" si="106"/>
        <v>0</v>
      </c>
      <c r="AP30" s="397">
        <f t="shared" si="89"/>
        <v>0</v>
      </c>
      <c r="AQ30" s="3">
        <f t="shared" ref="AQ30:BB30" si="107">AQ31+AQ32+AQ33</f>
        <v>0</v>
      </c>
      <c r="AR30" s="3">
        <f t="shared" si="107"/>
        <v>0</v>
      </c>
      <c r="AS30" s="3">
        <f t="shared" si="107"/>
        <v>0</v>
      </c>
      <c r="AT30" s="3">
        <f t="shared" si="107"/>
        <v>0</v>
      </c>
      <c r="AU30" s="3">
        <f t="shared" si="107"/>
        <v>0</v>
      </c>
      <c r="AV30" s="3">
        <f t="shared" si="107"/>
        <v>0</v>
      </c>
      <c r="AW30" s="3">
        <f t="shared" si="107"/>
        <v>0</v>
      </c>
      <c r="AX30" s="3">
        <f t="shared" si="107"/>
        <v>0</v>
      </c>
      <c r="AY30" s="3">
        <f t="shared" si="107"/>
        <v>0</v>
      </c>
      <c r="AZ30" s="3">
        <f t="shared" si="107"/>
        <v>0</v>
      </c>
      <c r="BA30" s="3">
        <f t="shared" si="107"/>
        <v>0</v>
      </c>
      <c r="BB30" s="3">
        <f t="shared" si="107"/>
        <v>0</v>
      </c>
      <c r="BC30" s="397">
        <f t="shared" si="91"/>
        <v>0</v>
      </c>
      <c r="BD30" s="3">
        <f t="shared" ref="BD30:BO30" si="108">BD31+BD32+BD33</f>
        <v>0</v>
      </c>
      <c r="BE30" s="3">
        <f t="shared" si="108"/>
        <v>0</v>
      </c>
      <c r="BF30" s="3">
        <f t="shared" si="108"/>
        <v>0</v>
      </c>
      <c r="BG30" s="3">
        <f t="shared" si="108"/>
        <v>0</v>
      </c>
      <c r="BH30" s="3">
        <f t="shared" si="108"/>
        <v>0</v>
      </c>
      <c r="BI30" s="3">
        <f t="shared" si="108"/>
        <v>0</v>
      </c>
      <c r="BJ30" s="3">
        <f t="shared" si="108"/>
        <v>0</v>
      </c>
      <c r="BK30" s="3">
        <f t="shared" si="108"/>
        <v>0</v>
      </c>
      <c r="BL30" s="3">
        <f t="shared" si="108"/>
        <v>0</v>
      </c>
      <c r="BM30" s="3">
        <f t="shared" si="108"/>
        <v>0</v>
      </c>
      <c r="BN30" s="3">
        <f t="shared" si="108"/>
        <v>0</v>
      </c>
      <c r="BO30" s="3">
        <f t="shared" si="108"/>
        <v>0</v>
      </c>
      <c r="BP30" s="397">
        <f t="shared" si="93"/>
        <v>0</v>
      </c>
      <c r="CF30" s="296" t="s">
        <v>870</v>
      </c>
      <c r="CG30" s="12" t="s">
        <v>965</v>
      </c>
    </row>
    <row r="31" spans="1:85" s="5" customFormat="1" outlineLevel="1">
      <c r="A31" s="297" t="s">
        <v>275</v>
      </c>
      <c r="B31" s="12" t="s">
        <v>502</v>
      </c>
      <c r="P31" s="383">
        <f t="shared" si="85"/>
        <v>0</v>
      </c>
      <c r="AC31" s="383">
        <f t="shared" si="87"/>
        <v>0</v>
      </c>
      <c r="AP31" s="383">
        <f t="shared" si="89"/>
        <v>0</v>
      </c>
      <c r="BC31" s="383">
        <f t="shared" si="91"/>
        <v>0</v>
      </c>
      <c r="BP31" s="383">
        <f t="shared" si="93"/>
        <v>0</v>
      </c>
      <c r="CF31" s="297" t="s">
        <v>862</v>
      </c>
      <c r="CG31" s="12" t="s">
        <v>965</v>
      </c>
    </row>
    <row r="32" spans="1:85" s="5" customFormat="1" outlineLevel="1">
      <c r="A32" s="297" t="s">
        <v>274</v>
      </c>
      <c r="B32" s="12" t="s">
        <v>502</v>
      </c>
      <c r="P32" s="383">
        <f t="shared" si="85"/>
        <v>0</v>
      </c>
      <c r="AC32" s="383">
        <f t="shared" si="87"/>
        <v>0</v>
      </c>
      <c r="AP32" s="383">
        <f t="shared" si="89"/>
        <v>0</v>
      </c>
      <c r="BC32" s="383">
        <f t="shared" si="91"/>
        <v>0</v>
      </c>
      <c r="BP32" s="383">
        <f t="shared" si="93"/>
        <v>0</v>
      </c>
      <c r="CF32" s="297" t="s">
        <v>874</v>
      </c>
      <c r="CG32" s="12" t="s">
        <v>965</v>
      </c>
    </row>
    <row r="33" spans="1:85" s="5" customFormat="1" outlineLevel="1">
      <c r="A33" s="297" t="s">
        <v>515</v>
      </c>
      <c r="B33" s="12" t="s">
        <v>502</v>
      </c>
      <c r="P33" s="383">
        <f t="shared" si="85"/>
        <v>0</v>
      </c>
      <c r="AC33" s="383">
        <f t="shared" si="87"/>
        <v>0</v>
      </c>
      <c r="AP33" s="383">
        <f t="shared" si="89"/>
        <v>0</v>
      </c>
      <c r="BC33" s="383">
        <f t="shared" si="91"/>
        <v>0</v>
      </c>
      <c r="BP33" s="383">
        <f t="shared" si="93"/>
        <v>0</v>
      </c>
      <c r="CF33" s="297" t="s">
        <v>869</v>
      </c>
      <c r="CG33" s="12" t="s">
        <v>965</v>
      </c>
    </row>
    <row r="34" spans="1:85" s="63" customFormat="1">
      <c r="A34" s="298" t="s">
        <v>516</v>
      </c>
      <c r="B34" s="12" t="s">
        <v>502</v>
      </c>
      <c r="C34" s="299"/>
      <c r="D34" s="63">
        <f t="shared" ref="D34:O34" si="109">D27+D30</f>
        <v>0</v>
      </c>
      <c r="E34" s="63">
        <f t="shared" si="109"/>
        <v>0</v>
      </c>
      <c r="F34" s="63">
        <f t="shared" si="109"/>
        <v>0</v>
      </c>
      <c r="G34" s="63">
        <f t="shared" si="109"/>
        <v>0</v>
      </c>
      <c r="H34" s="63">
        <f t="shared" si="109"/>
        <v>0</v>
      </c>
      <c r="I34" s="63">
        <f t="shared" si="109"/>
        <v>0</v>
      </c>
      <c r="J34" s="63">
        <f t="shared" si="109"/>
        <v>17.494793192018562</v>
      </c>
      <c r="K34" s="63">
        <f t="shared" si="109"/>
        <v>25.892293924187463</v>
      </c>
      <c r="L34" s="63">
        <f t="shared" si="109"/>
        <v>40.985221315392096</v>
      </c>
      <c r="M34" s="63">
        <f t="shared" si="109"/>
        <v>58.152132736887509</v>
      </c>
      <c r="N34" s="63">
        <f t="shared" si="109"/>
        <v>70.955652212352163</v>
      </c>
      <c r="O34" s="63">
        <f t="shared" si="109"/>
        <v>140.36717976272757</v>
      </c>
      <c r="P34" s="419">
        <f t="shared" si="85"/>
        <v>353.84727314356536</v>
      </c>
      <c r="Q34" s="63">
        <f t="shared" ref="Q34:AB34" si="110">Q27+Q30</f>
        <v>131.94056803618793</v>
      </c>
      <c r="R34" s="63">
        <f t="shared" si="110"/>
        <v>85.416112458833538</v>
      </c>
      <c r="S34" s="63">
        <f t="shared" si="110"/>
        <v>154.68231361608755</v>
      </c>
      <c r="T34" s="63">
        <f t="shared" si="110"/>
        <v>205.54084785055306</v>
      </c>
      <c r="U34" s="63">
        <f t="shared" si="110"/>
        <v>267.79370944187605</v>
      </c>
      <c r="V34" s="63">
        <f t="shared" si="110"/>
        <v>310.62498332741455</v>
      </c>
      <c r="W34" s="63">
        <f t="shared" si="110"/>
        <v>372.03717183492256</v>
      </c>
      <c r="X34" s="63">
        <f t="shared" si="110"/>
        <v>421.05287333565286</v>
      </c>
      <c r="Y34" s="63">
        <f t="shared" si="110"/>
        <v>453.00769042873014</v>
      </c>
      <c r="Z34" s="63">
        <f t="shared" si="110"/>
        <v>513.28081727942765</v>
      </c>
      <c r="AA34" s="63">
        <f t="shared" si="110"/>
        <v>538.6904254474623</v>
      </c>
      <c r="AB34" s="63">
        <f t="shared" si="110"/>
        <v>598.27809041801004</v>
      </c>
      <c r="AC34" s="419">
        <f t="shared" si="87"/>
        <v>4052.345603475158</v>
      </c>
      <c r="AD34" s="63">
        <f t="shared" ref="AD34:AO34" si="111">AD27+AD30</f>
        <v>370.24432634381719</v>
      </c>
      <c r="AE34" s="63">
        <f t="shared" si="111"/>
        <v>162.84544847500641</v>
      </c>
      <c r="AF34" s="63">
        <f t="shared" si="111"/>
        <v>294.90116099703562</v>
      </c>
      <c r="AG34" s="63">
        <f t="shared" si="111"/>
        <v>391.8627362523431</v>
      </c>
      <c r="AH34" s="63">
        <f t="shared" si="111"/>
        <v>510.54754726592478</v>
      </c>
      <c r="AI34" s="63">
        <f t="shared" si="111"/>
        <v>592.20518543118192</v>
      </c>
      <c r="AJ34" s="63">
        <f t="shared" si="111"/>
        <v>709.28725685133281</v>
      </c>
      <c r="AK34" s="63">
        <f t="shared" si="111"/>
        <v>802.7354794808798</v>
      </c>
      <c r="AL34" s="63">
        <f t="shared" si="111"/>
        <v>863.65719987604371</v>
      </c>
      <c r="AM34" s="63">
        <f t="shared" si="111"/>
        <v>978.56765518063594</v>
      </c>
      <c r="AN34" s="63">
        <f t="shared" si="111"/>
        <v>1027.0109631067844</v>
      </c>
      <c r="AO34" s="63">
        <f t="shared" si="111"/>
        <v>1140.6145883055308</v>
      </c>
      <c r="AP34" s="419">
        <f t="shared" si="89"/>
        <v>7844.479547566516</v>
      </c>
      <c r="AQ34" s="63">
        <f t="shared" ref="AQ34:BB34" si="112">AQ27+AQ30</f>
        <v>683.72151794135721</v>
      </c>
      <c r="AR34" s="63">
        <f t="shared" si="112"/>
        <v>251.25123007477123</v>
      </c>
      <c r="AS34" s="63">
        <f t="shared" si="112"/>
        <v>454.99754610799198</v>
      </c>
      <c r="AT34" s="63">
        <f t="shared" si="112"/>
        <v>604.59776693714537</v>
      </c>
      <c r="AU34" s="63">
        <f t="shared" si="112"/>
        <v>787.71436637302622</v>
      </c>
      <c r="AV34" s="63">
        <f t="shared" si="112"/>
        <v>913.70242576401574</v>
      </c>
      <c r="AW34" s="63">
        <f t="shared" si="112"/>
        <v>1094.3461879292818</v>
      </c>
      <c r="AX34" s="63">
        <f t="shared" si="112"/>
        <v>1238.5257219834889</v>
      </c>
      <c r="AY34" s="63">
        <f t="shared" si="112"/>
        <v>1332.5207174279301</v>
      </c>
      <c r="AZ34" s="63">
        <f t="shared" si="112"/>
        <v>1509.8139332598844</v>
      </c>
      <c r="BA34" s="63">
        <f t="shared" si="112"/>
        <v>1584.5562169363229</v>
      </c>
      <c r="BB34" s="63">
        <f t="shared" si="112"/>
        <v>1759.8331487722103</v>
      </c>
      <c r="BC34" s="419">
        <f t="shared" si="91"/>
        <v>12215.580779507425</v>
      </c>
      <c r="BD34" s="63">
        <f t="shared" ref="BD34:BO34" si="113">BD27+BD30</f>
        <v>1027.9086643546109</v>
      </c>
      <c r="BE34" s="63">
        <f t="shared" si="113"/>
        <v>315.48480499675566</v>
      </c>
      <c r="BF34" s="63">
        <f t="shared" si="113"/>
        <v>571.31983817617117</v>
      </c>
      <c r="BG34" s="63">
        <f t="shared" si="113"/>
        <v>759.16606874671038</v>
      </c>
      <c r="BH34" s="63">
        <f t="shared" si="113"/>
        <v>989.09729991921313</v>
      </c>
      <c r="BI34" s="63">
        <f t="shared" si="113"/>
        <v>1147.2948073983109</v>
      </c>
      <c r="BJ34" s="63">
        <f t="shared" si="113"/>
        <v>1374.1210086616006</v>
      </c>
      <c r="BK34" s="63">
        <f t="shared" si="113"/>
        <v>1555.1607280376127</v>
      </c>
      <c r="BL34" s="63">
        <f t="shared" si="113"/>
        <v>1673.1859922308895</v>
      </c>
      <c r="BM34" s="63">
        <f t="shared" si="113"/>
        <v>1895.8050640155179</v>
      </c>
      <c r="BN34" s="63">
        <f t="shared" si="113"/>
        <v>1989.6555688813301</v>
      </c>
      <c r="BO34" s="63">
        <f t="shared" si="113"/>
        <v>2209.7428840527555</v>
      </c>
      <c r="BP34" s="419">
        <f t="shared" si="93"/>
        <v>15507.942729471479</v>
      </c>
      <c r="CF34" s="298" t="s">
        <v>868</v>
      </c>
      <c r="CG34" s="12" t="s">
        <v>965</v>
      </c>
    </row>
    <row r="35" spans="1:85" s="3" customFormat="1">
      <c r="A35" s="296" t="s">
        <v>517</v>
      </c>
      <c r="B35" s="12" t="s">
        <v>502</v>
      </c>
      <c r="C35" s="5"/>
      <c r="D35" s="3">
        <f t="shared" ref="D35:O35" si="114">D17*D23/365*D1</f>
        <v>0</v>
      </c>
      <c r="E35" s="3">
        <f t="shared" si="114"/>
        <v>0</v>
      </c>
      <c r="F35" s="3">
        <f t="shared" si="114"/>
        <v>0</v>
      </c>
      <c r="G35" s="3">
        <f t="shared" si="114"/>
        <v>0</v>
      </c>
      <c r="H35" s="3">
        <f t="shared" si="114"/>
        <v>0</v>
      </c>
      <c r="I35" s="3">
        <f t="shared" si="114"/>
        <v>0</v>
      </c>
      <c r="J35" s="3">
        <f>J17*J23/365*J1</f>
        <v>-9.989310927541462</v>
      </c>
      <c r="K35" s="3">
        <f t="shared" si="114"/>
        <v>-14.704265685341035</v>
      </c>
      <c r="L35" s="3">
        <f t="shared" si="114"/>
        <v>-23.149060187397406</v>
      </c>
      <c r="M35" s="3">
        <f t="shared" si="114"/>
        <v>-32.665704191708443</v>
      </c>
      <c r="N35" s="3">
        <f t="shared" si="114"/>
        <v>-39.638805711221451</v>
      </c>
      <c r="O35" s="3">
        <f t="shared" si="114"/>
        <v>-77.981766534848703</v>
      </c>
      <c r="P35" s="397">
        <f t="shared" si="85"/>
        <v>-198.12891323805849</v>
      </c>
      <c r="Q35" s="3">
        <f t="shared" ref="Q35:AB35" si="115">Q17*Q23/365*Q1</f>
        <v>-72.893091600239629</v>
      </c>
      <c r="R35" s="3">
        <f t="shared" si="115"/>
        <v>-46.926135857013492</v>
      </c>
      <c r="S35" s="3">
        <f t="shared" si="115"/>
        <v>-84.502375031010843</v>
      </c>
      <c r="T35" s="3">
        <f t="shared" si="115"/>
        <v>-111.65181858548564</v>
      </c>
      <c r="U35" s="3">
        <f t="shared" si="115"/>
        <v>-144.64166405039603</v>
      </c>
      <c r="V35" s="3">
        <f t="shared" si="115"/>
        <v>-166.81712067583379</v>
      </c>
      <c r="W35" s="3">
        <f t="shared" si="115"/>
        <v>-198.64947755383221</v>
      </c>
      <c r="X35" s="3">
        <f t="shared" si="115"/>
        <v>-223.52189572139622</v>
      </c>
      <c r="Y35" s="3">
        <f t="shared" si="115"/>
        <v>-239.08739217071874</v>
      </c>
      <c r="Z35" s="3">
        <f t="shared" si="115"/>
        <v>-269.31400906636651</v>
      </c>
      <c r="AA35" s="3">
        <f t="shared" si="115"/>
        <v>-280.98358611302842</v>
      </c>
      <c r="AB35" s="3">
        <f t="shared" si="115"/>
        <v>-310.2182691056351</v>
      </c>
      <c r="AC35" s="397">
        <f t="shared" si="87"/>
        <v>-2149.2068355309566</v>
      </c>
      <c r="AD35" s="3">
        <f t="shared" ref="AD35:AO35" si="116">AD17*AD23/365*AD1</f>
        <v>-190.83581018338725</v>
      </c>
      <c r="AE35" s="3">
        <f t="shared" si="116"/>
        <v>-83.433161872997118</v>
      </c>
      <c r="AF35" s="3">
        <f t="shared" si="116"/>
        <v>-150.18114680404602</v>
      </c>
      <c r="AG35" s="3">
        <f t="shared" si="116"/>
        <v>-198.35027390550709</v>
      </c>
      <c r="AH35" s="3">
        <f t="shared" si="116"/>
        <v>-256.84953766773384</v>
      </c>
      <c r="AI35" s="3">
        <f t="shared" si="116"/>
        <v>-296.10259271559113</v>
      </c>
      <c r="AJ35" s="3">
        <f t="shared" si="116"/>
        <v>-352.45447022550809</v>
      </c>
      <c r="AK35" s="3">
        <f t="shared" si="116"/>
        <v>-396.41258245969391</v>
      </c>
      <c r="AL35" s="3">
        <f t="shared" si="116"/>
        <v>-423.83177401324383</v>
      </c>
      <c r="AM35" s="3">
        <f t="shared" si="116"/>
        <v>-477.20274542759432</v>
      </c>
      <c r="AN35" s="3">
        <f t="shared" si="116"/>
        <v>-497.65654693754709</v>
      </c>
      <c r="AO35" s="3">
        <f t="shared" si="116"/>
        <v>-549.18480177673734</v>
      </c>
      <c r="AP35" s="397">
        <f t="shared" si="89"/>
        <v>-3872.4954439895869</v>
      </c>
      <c r="AQ35" s="3">
        <f t="shared" ref="AQ35:BB35" si="117">AQ17*AQ23/365*AQ1</f>
        <v>-327.08899778058753</v>
      </c>
      <c r="AR35" s="3">
        <f t="shared" si="117"/>
        <v>-119.42188096146532</v>
      </c>
      <c r="AS35" s="3">
        <f t="shared" si="117"/>
        <v>-214.859952328774</v>
      </c>
      <c r="AT35" s="3">
        <f t="shared" si="117"/>
        <v>-283.63845856310536</v>
      </c>
      <c r="AU35" s="3">
        <f t="shared" si="117"/>
        <v>-367.11379420471292</v>
      </c>
      <c r="AV35" s="3">
        <f t="shared" si="117"/>
        <v>-423.01038229815572</v>
      </c>
      <c r="AW35" s="3">
        <f t="shared" si="117"/>
        <v>-503.26414197982433</v>
      </c>
      <c r="AX35" s="3">
        <f t="shared" si="117"/>
        <v>-565.74631744924807</v>
      </c>
      <c r="AY35" s="3">
        <f t="shared" si="117"/>
        <v>-604.56958475896806</v>
      </c>
      <c r="AZ35" s="3">
        <f t="shared" si="117"/>
        <v>-680.34825387636772</v>
      </c>
      <c r="BA35" s="3">
        <f t="shared" si="117"/>
        <v>-709.13781313508287</v>
      </c>
      <c r="BB35" s="3">
        <f t="shared" si="117"/>
        <v>-782.14806612098255</v>
      </c>
      <c r="BC35" s="397">
        <f t="shared" si="91"/>
        <v>-5580.3476434572749</v>
      </c>
      <c r="BD35" s="3">
        <f t="shared" ref="BD35:BO35" si="118">BD17*BD23/365*BD1</f>
        <v>-453.67573766268333</v>
      </c>
      <c r="BE35" s="3">
        <f t="shared" si="118"/>
        <v>-138.26803181956575</v>
      </c>
      <c r="BF35" s="3">
        <f t="shared" si="118"/>
        <v>-248.629929576667</v>
      </c>
      <c r="BG35" s="3">
        <f t="shared" si="118"/>
        <v>-328.03472106339331</v>
      </c>
      <c r="BH35" s="3">
        <f t="shared" si="118"/>
        <v>-424.33495274311912</v>
      </c>
      <c r="BI35" s="3">
        <f t="shared" si="118"/>
        <v>-488.6626031511322</v>
      </c>
      <c r="BJ35" s="3">
        <f t="shared" si="118"/>
        <v>-581.03264872419516</v>
      </c>
      <c r="BK35" s="3">
        <f t="shared" si="118"/>
        <v>-652.78351547257796</v>
      </c>
      <c r="BL35" s="3">
        <f t="shared" si="118"/>
        <v>-697.16083009620354</v>
      </c>
      <c r="BM35" s="3">
        <f t="shared" si="118"/>
        <v>-784.06752647555345</v>
      </c>
      <c r="BN35" s="3">
        <f t="shared" si="118"/>
        <v>-816.74132920128613</v>
      </c>
      <c r="BO35" s="3">
        <f t="shared" si="118"/>
        <v>-900.26561942889987</v>
      </c>
      <c r="BP35" s="397">
        <f t="shared" si="93"/>
        <v>-6513.6574454152769</v>
      </c>
      <c r="CF35" s="296" t="s">
        <v>873</v>
      </c>
      <c r="CG35" s="12" t="s">
        <v>965</v>
      </c>
    </row>
    <row r="36" spans="1:85" s="63" customFormat="1">
      <c r="A36" s="298" t="s">
        <v>518</v>
      </c>
      <c r="B36" s="12" t="s">
        <v>502</v>
      </c>
      <c r="C36" s="299"/>
      <c r="D36" s="63">
        <f t="shared" ref="D36:O36" si="119">D34+D35</f>
        <v>0</v>
      </c>
      <c r="E36" s="63">
        <f t="shared" si="119"/>
        <v>0</v>
      </c>
      <c r="F36" s="63">
        <f t="shared" si="119"/>
        <v>0</v>
      </c>
      <c r="G36" s="63">
        <f t="shared" si="119"/>
        <v>0</v>
      </c>
      <c r="H36" s="63">
        <f t="shared" si="119"/>
        <v>0</v>
      </c>
      <c r="I36" s="63">
        <f t="shared" si="119"/>
        <v>0</v>
      </c>
      <c r="J36" s="63">
        <f t="shared" si="119"/>
        <v>7.5054822644771004</v>
      </c>
      <c r="K36" s="63">
        <f t="shared" si="119"/>
        <v>11.188028238846428</v>
      </c>
      <c r="L36" s="63">
        <f t="shared" si="119"/>
        <v>17.836161127994689</v>
      </c>
      <c r="M36" s="63">
        <f t="shared" si="119"/>
        <v>25.486428545179066</v>
      </c>
      <c r="N36" s="63">
        <f t="shared" si="119"/>
        <v>31.316846501130712</v>
      </c>
      <c r="O36" s="63">
        <f t="shared" si="119"/>
        <v>62.385413227878871</v>
      </c>
      <c r="P36" s="419">
        <f t="shared" si="85"/>
        <v>155.71835990550687</v>
      </c>
      <c r="Q36" s="63">
        <f t="shared" ref="Q36:AB36" si="120">Q34+Q35</f>
        <v>59.047476435948298</v>
      </c>
      <c r="R36" s="63">
        <f t="shared" si="120"/>
        <v>38.489976601820047</v>
      </c>
      <c r="S36" s="63">
        <f t="shared" si="120"/>
        <v>70.179938585076712</v>
      </c>
      <c r="T36" s="63">
        <f t="shared" si="120"/>
        <v>93.889029265067421</v>
      </c>
      <c r="U36" s="63">
        <f t="shared" si="120"/>
        <v>123.15204539148002</v>
      </c>
      <c r="V36" s="63">
        <f t="shared" si="120"/>
        <v>143.80786265158076</v>
      </c>
      <c r="W36" s="63">
        <f t="shared" si="120"/>
        <v>173.38769428109035</v>
      </c>
      <c r="X36" s="63">
        <f t="shared" si="120"/>
        <v>197.53097761425664</v>
      </c>
      <c r="Y36" s="63">
        <f t="shared" si="120"/>
        <v>213.9202982580114</v>
      </c>
      <c r="Z36" s="63">
        <f t="shared" si="120"/>
        <v>243.96680821306114</v>
      </c>
      <c r="AA36" s="63">
        <f t="shared" si="120"/>
        <v>257.70683933443388</v>
      </c>
      <c r="AB36" s="63">
        <f t="shared" si="120"/>
        <v>288.05982131237494</v>
      </c>
      <c r="AC36" s="419">
        <f t="shared" si="87"/>
        <v>1903.1387679442014</v>
      </c>
      <c r="AD36" s="63">
        <f t="shared" ref="AD36:AO36" si="121">AD34+AD35</f>
        <v>179.40851616042994</v>
      </c>
      <c r="AE36" s="63">
        <f t="shared" si="121"/>
        <v>79.412286602009289</v>
      </c>
      <c r="AF36" s="63">
        <f t="shared" si="121"/>
        <v>144.72001419298959</v>
      </c>
      <c r="AG36" s="63">
        <f t="shared" si="121"/>
        <v>193.512462346836</v>
      </c>
      <c r="AH36" s="63">
        <f t="shared" si="121"/>
        <v>253.69800959819094</v>
      </c>
      <c r="AI36" s="63">
        <f t="shared" si="121"/>
        <v>296.10259271559079</v>
      </c>
      <c r="AJ36" s="63">
        <f t="shared" si="121"/>
        <v>356.83278662582472</v>
      </c>
      <c r="AK36" s="63">
        <f t="shared" si="121"/>
        <v>406.3228970211859</v>
      </c>
      <c r="AL36" s="63">
        <f t="shared" si="121"/>
        <v>439.82542586279988</v>
      </c>
      <c r="AM36" s="63">
        <f t="shared" si="121"/>
        <v>501.36490975304162</v>
      </c>
      <c r="AN36" s="63">
        <f t="shared" si="121"/>
        <v>529.35441616923731</v>
      </c>
      <c r="AO36" s="63">
        <f t="shared" si="121"/>
        <v>591.42978652879344</v>
      </c>
      <c r="AP36" s="419">
        <f t="shared" si="89"/>
        <v>3971.9841035769296</v>
      </c>
      <c r="AQ36" s="63">
        <f t="shared" ref="AQ36:BB36" si="122">AQ34+AQ35</f>
        <v>356.63252016076967</v>
      </c>
      <c r="AR36" s="63">
        <f t="shared" si="122"/>
        <v>131.82934911330591</v>
      </c>
      <c r="AS36" s="63">
        <f t="shared" si="122"/>
        <v>240.13759377921798</v>
      </c>
      <c r="AT36" s="63">
        <f t="shared" si="122"/>
        <v>320.95930837404001</v>
      </c>
      <c r="AU36" s="63">
        <f t="shared" si="122"/>
        <v>420.60057216831331</v>
      </c>
      <c r="AV36" s="63">
        <f t="shared" si="122"/>
        <v>490.69204346586002</v>
      </c>
      <c r="AW36" s="63">
        <f t="shared" si="122"/>
        <v>591.08204594945744</v>
      </c>
      <c r="AX36" s="63">
        <f t="shared" si="122"/>
        <v>672.77940453424083</v>
      </c>
      <c r="AY36" s="63">
        <f t="shared" si="122"/>
        <v>727.95113266896203</v>
      </c>
      <c r="AZ36" s="63">
        <f t="shared" si="122"/>
        <v>829.46567938351666</v>
      </c>
      <c r="BA36" s="63">
        <f t="shared" si="122"/>
        <v>875.41840380124006</v>
      </c>
      <c r="BB36" s="63">
        <f t="shared" si="122"/>
        <v>977.68508265122773</v>
      </c>
      <c r="BC36" s="419">
        <f t="shared" si="91"/>
        <v>6635.2331360501521</v>
      </c>
      <c r="BD36" s="63">
        <f t="shared" ref="BD36:BO36" si="123">BD34+BD35</f>
        <v>574.23292669192756</v>
      </c>
      <c r="BE36" s="63">
        <f t="shared" si="123"/>
        <v>177.21677317718991</v>
      </c>
      <c r="BF36" s="63">
        <f t="shared" si="123"/>
        <v>322.68990859950418</v>
      </c>
      <c r="BG36" s="63">
        <f t="shared" si="123"/>
        <v>431.13134768331707</v>
      </c>
      <c r="BH36" s="63">
        <f t="shared" si="123"/>
        <v>564.76234717609395</v>
      </c>
      <c r="BI36" s="63">
        <f t="shared" si="123"/>
        <v>658.63220424717872</v>
      </c>
      <c r="BJ36" s="63">
        <f t="shared" si="123"/>
        <v>793.08835993740547</v>
      </c>
      <c r="BK36" s="63">
        <f t="shared" si="123"/>
        <v>902.37721256503471</v>
      </c>
      <c r="BL36" s="63">
        <f t="shared" si="123"/>
        <v>976.02516213468596</v>
      </c>
      <c r="BM36" s="63">
        <f t="shared" si="123"/>
        <v>1111.7375375399645</v>
      </c>
      <c r="BN36" s="63">
        <f t="shared" si="123"/>
        <v>1172.9142396800439</v>
      </c>
      <c r="BO36" s="63">
        <f t="shared" si="123"/>
        <v>1309.4772646238557</v>
      </c>
      <c r="BP36" s="419">
        <f t="shared" si="93"/>
        <v>8994.2852840562027</v>
      </c>
      <c r="CF36" s="298" t="s">
        <v>872</v>
      </c>
      <c r="CG36" s="12" t="s">
        <v>965</v>
      </c>
    </row>
    <row r="37" spans="1:85" s="3" customFormat="1">
      <c r="A37" s="296" t="s">
        <v>471</v>
      </c>
      <c r="B37" s="12" t="s">
        <v>502</v>
      </c>
      <c r="C37" s="5"/>
      <c r="D37" s="3">
        <f t="shared" ref="D37:O37" si="124">D38+D39+D40</f>
        <v>0</v>
      </c>
      <c r="E37" s="3">
        <f t="shared" si="124"/>
        <v>0</v>
      </c>
      <c r="F37" s="3">
        <f t="shared" si="124"/>
        <v>0</v>
      </c>
      <c r="G37" s="3">
        <f t="shared" si="124"/>
        <v>0</v>
      </c>
      <c r="H37" s="3">
        <f t="shared" si="124"/>
        <v>0</v>
      </c>
      <c r="I37" s="3">
        <f t="shared" si="124"/>
        <v>0</v>
      </c>
      <c r="J37" s="3">
        <f t="shared" si="124"/>
        <v>0</v>
      </c>
      <c r="K37" s="3">
        <f t="shared" si="124"/>
        <v>0</v>
      </c>
      <c r="L37" s="3">
        <f t="shared" si="124"/>
        <v>0</v>
      </c>
      <c r="M37" s="3">
        <f t="shared" si="124"/>
        <v>0</v>
      </c>
      <c r="N37" s="3">
        <f t="shared" si="124"/>
        <v>0</v>
      </c>
      <c r="O37" s="3">
        <f t="shared" si="124"/>
        <v>0</v>
      </c>
      <c r="P37" s="397">
        <f t="shared" si="85"/>
        <v>0</v>
      </c>
      <c r="Q37" s="3">
        <f t="shared" ref="Q37:AB37" si="125">Q38+Q39+Q40</f>
        <v>0</v>
      </c>
      <c r="R37" s="3">
        <f t="shared" si="125"/>
        <v>0</v>
      </c>
      <c r="S37" s="3">
        <f t="shared" si="125"/>
        <v>0</v>
      </c>
      <c r="T37" s="3">
        <f t="shared" si="125"/>
        <v>0</v>
      </c>
      <c r="U37" s="3">
        <f t="shared" si="125"/>
        <v>0</v>
      </c>
      <c r="V37" s="3">
        <f t="shared" si="125"/>
        <v>0</v>
      </c>
      <c r="W37" s="3">
        <f t="shared" si="125"/>
        <v>0</v>
      </c>
      <c r="X37" s="3">
        <f t="shared" si="125"/>
        <v>0</v>
      </c>
      <c r="Y37" s="3">
        <f t="shared" si="125"/>
        <v>0</v>
      </c>
      <c r="Z37" s="3">
        <f t="shared" si="125"/>
        <v>0</v>
      </c>
      <c r="AA37" s="3">
        <f t="shared" si="125"/>
        <v>0</v>
      </c>
      <c r="AB37" s="3">
        <f t="shared" si="125"/>
        <v>0</v>
      </c>
      <c r="AC37" s="397">
        <f t="shared" si="87"/>
        <v>0</v>
      </c>
      <c r="AD37" s="3">
        <f t="shared" ref="AD37:AO37" si="126">AD38+AD39+AD40</f>
        <v>0</v>
      </c>
      <c r="AE37" s="3">
        <f t="shared" si="126"/>
        <v>0</v>
      </c>
      <c r="AF37" s="3">
        <f t="shared" si="126"/>
        <v>0</v>
      </c>
      <c r="AG37" s="3">
        <f t="shared" si="126"/>
        <v>0</v>
      </c>
      <c r="AH37" s="3">
        <f t="shared" si="126"/>
        <v>0</v>
      </c>
      <c r="AI37" s="3">
        <f t="shared" si="126"/>
        <v>0</v>
      </c>
      <c r="AJ37" s="3">
        <f t="shared" si="126"/>
        <v>0</v>
      </c>
      <c r="AK37" s="3">
        <f t="shared" si="126"/>
        <v>0</v>
      </c>
      <c r="AL37" s="3">
        <f t="shared" si="126"/>
        <v>0</v>
      </c>
      <c r="AM37" s="3">
        <f t="shared" si="126"/>
        <v>0</v>
      </c>
      <c r="AN37" s="3">
        <f t="shared" si="126"/>
        <v>0</v>
      </c>
      <c r="AO37" s="3">
        <f t="shared" si="126"/>
        <v>0</v>
      </c>
      <c r="AP37" s="397">
        <f t="shared" si="89"/>
        <v>0</v>
      </c>
      <c r="AQ37" s="3">
        <f t="shared" ref="AQ37:BB37" si="127">AQ38+AQ39+AQ40</f>
        <v>0</v>
      </c>
      <c r="AR37" s="3">
        <f t="shared" si="127"/>
        <v>0</v>
      </c>
      <c r="AS37" s="3">
        <f t="shared" si="127"/>
        <v>0</v>
      </c>
      <c r="AT37" s="3">
        <f t="shared" si="127"/>
        <v>0</v>
      </c>
      <c r="AU37" s="3">
        <f t="shared" si="127"/>
        <v>0</v>
      </c>
      <c r="AV37" s="3">
        <f t="shared" si="127"/>
        <v>0</v>
      </c>
      <c r="AW37" s="3">
        <f t="shared" si="127"/>
        <v>0</v>
      </c>
      <c r="AX37" s="3">
        <f t="shared" si="127"/>
        <v>0</v>
      </c>
      <c r="AY37" s="3">
        <f t="shared" si="127"/>
        <v>0</v>
      </c>
      <c r="AZ37" s="3">
        <f t="shared" si="127"/>
        <v>0</v>
      </c>
      <c r="BA37" s="3">
        <f t="shared" si="127"/>
        <v>0</v>
      </c>
      <c r="BB37" s="3">
        <f t="shared" si="127"/>
        <v>0</v>
      </c>
      <c r="BC37" s="397">
        <f t="shared" si="91"/>
        <v>0</v>
      </c>
      <c r="BD37" s="3">
        <f t="shared" ref="BD37:BO37" si="128">BD38+BD39+BD40</f>
        <v>0</v>
      </c>
      <c r="BE37" s="3">
        <f t="shared" si="128"/>
        <v>0</v>
      </c>
      <c r="BF37" s="3">
        <f t="shared" si="128"/>
        <v>0</v>
      </c>
      <c r="BG37" s="3">
        <f t="shared" si="128"/>
        <v>0</v>
      </c>
      <c r="BH37" s="3">
        <f t="shared" si="128"/>
        <v>0</v>
      </c>
      <c r="BI37" s="3">
        <f t="shared" si="128"/>
        <v>0</v>
      </c>
      <c r="BJ37" s="3">
        <f t="shared" si="128"/>
        <v>0</v>
      </c>
      <c r="BK37" s="3">
        <f t="shared" si="128"/>
        <v>0</v>
      </c>
      <c r="BL37" s="3">
        <f t="shared" si="128"/>
        <v>0</v>
      </c>
      <c r="BM37" s="3">
        <f t="shared" si="128"/>
        <v>0</v>
      </c>
      <c r="BN37" s="3">
        <f t="shared" si="128"/>
        <v>0</v>
      </c>
      <c r="BO37" s="3">
        <f t="shared" si="128"/>
        <v>0</v>
      </c>
      <c r="BP37" s="397">
        <f t="shared" si="93"/>
        <v>0</v>
      </c>
      <c r="CF37" s="296" t="s">
        <v>863</v>
      </c>
      <c r="CG37" s="12" t="s">
        <v>965</v>
      </c>
    </row>
    <row r="38" spans="1:85" s="5" customFormat="1" outlineLevel="1">
      <c r="A38" s="297" t="s">
        <v>519</v>
      </c>
      <c r="B38" s="12" t="s">
        <v>502</v>
      </c>
      <c r="D38" s="5">
        <f t="shared" ref="D38:O38" si="129">D11*D21</f>
        <v>0</v>
      </c>
      <c r="E38" s="5">
        <f t="shared" si="129"/>
        <v>0</v>
      </c>
      <c r="F38" s="5">
        <f t="shared" si="129"/>
        <v>0</v>
      </c>
      <c r="G38" s="5">
        <f t="shared" si="129"/>
        <v>0</v>
      </c>
      <c r="H38" s="5">
        <f t="shared" si="129"/>
        <v>0</v>
      </c>
      <c r="I38" s="5">
        <f t="shared" si="129"/>
        <v>0</v>
      </c>
      <c r="J38" s="5">
        <f t="shared" si="129"/>
        <v>0</v>
      </c>
      <c r="K38" s="5">
        <f t="shared" si="129"/>
        <v>0</v>
      </c>
      <c r="L38" s="5">
        <f t="shared" si="129"/>
        <v>0</v>
      </c>
      <c r="M38" s="5">
        <f t="shared" si="129"/>
        <v>0</v>
      </c>
      <c r="N38" s="5">
        <f t="shared" si="129"/>
        <v>0</v>
      </c>
      <c r="O38" s="5">
        <f t="shared" si="129"/>
        <v>0</v>
      </c>
      <c r="P38" s="383">
        <f t="shared" si="85"/>
        <v>0</v>
      </c>
      <c r="Q38" s="5">
        <f t="shared" ref="Q38:AB38" si="130">Q11*Q21</f>
        <v>0</v>
      </c>
      <c r="R38" s="5">
        <f t="shared" si="130"/>
        <v>0</v>
      </c>
      <c r="S38" s="5">
        <f t="shared" si="130"/>
        <v>0</v>
      </c>
      <c r="T38" s="5">
        <f t="shared" si="130"/>
        <v>0</v>
      </c>
      <c r="U38" s="5">
        <f t="shared" si="130"/>
        <v>0</v>
      </c>
      <c r="V38" s="5">
        <f t="shared" si="130"/>
        <v>0</v>
      </c>
      <c r="W38" s="5">
        <f t="shared" si="130"/>
        <v>0</v>
      </c>
      <c r="X38" s="5">
        <f t="shared" si="130"/>
        <v>0</v>
      </c>
      <c r="Y38" s="5">
        <f t="shared" si="130"/>
        <v>0</v>
      </c>
      <c r="Z38" s="5">
        <f t="shared" si="130"/>
        <v>0</v>
      </c>
      <c r="AA38" s="5">
        <f t="shared" si="130"/>
        <v>0</v>
      </c>
      <c r="AB38" s="5">
        <f t="shared" si="130"/>
        <v>0</v>
      </c>
      <c r="AC38" s="383">
        <f t="shared" si="87"/>
        <v>0</v>
      </c>
      <c r="AD38" s="5">
        <f t="shared" ref="AD38:AO38" si="131">AD11*AD21</f>
        <v>0</v>
      </c>
      <c r="AE38" s="5">
        <f t="shared" si="131"/>
        <v>0</v>
      </c>
      <c r="AF38" s="5">
        <f t="shared" si="131"/>
        <v>0</v>
      </c>
      <c r="AG38" s="5">
        <f t="shared" si="131"/>
        <v>0</v>
      </c>
      <c r="AH38" s="5">
        <f t="shared" si="131"/>
        <v>0</v>
      </c>
      <c r="AI38" s="5">
        <f t="shared" si="131"/>
        <v>0</v>
      </c>
      <c r="AJ38" s="5">
        <f t="shared" si="131"/>
        <v>0</v>
      </c>
      <c r="AK38" s="5">
        <f t="shared" si="131"/>
        <v>0</v>
      </c>
      <c r="AL38" s="5">
        <f t="shared" si="131"/>
        <v>0</v>
      </c>
      <c r="AM38" s="5">
        <f t="shared" si="131"/>
        <v>0</v>
      </c>
      <c r="AN38" s="5">
        <f t="shared" si="131"/>
        <v>0</v>
      </c>
      <c r="AO38" s="5">
        <f t="shared" si="131"/>
        <v>0</v>
      </c>
      <c r="AP38" s="383">
        <f t="shared" si="89"/>
        <v>0</v>
      </c>
      <c r="AQ38" s="5">
        <f t="shared" ref="AQ38:BB38" si="132">AQ11*AQ21</f>
        <v>0</v>
      </c>
      <c r="AR38" s="5">
        <f t="shared" si="132"/>
        <v>0</v>
      </c>
      <c r="AS38" s="5">
        <f t="shared" si="132"/>
        <v>0</v>
      </c>
      <c r="AT38" s="5">
        <f t="shared" si="132"/>
        <v>0</v>
      </c>
      <c r="AU38" s="5">
        <f t="shared" si="132"/>
        <v>0</v>
      </c>
      <c r="AV38" s="5">
        <f t="shared" si="132"/>
        <v>0</v>
      </c>
      <c r="AW38" s="5">
        <f t="shared" si="132"/>
        <v>0</v>
      </c>
      <c r="AX38" s="5">
        <f t="shared" si="132"/>
        <v>0</v>
      </c>
      <c r="AY38" s="5">
        <f t="shared" si="132"/>
        <v>0</v>
      </c>
      <c r="AZ38" s="5">
        <f t="shared" si="132"/>
        <v>0</v>
      </c>
      <c r="BA38" s="5">
        <f t="shared" si="132"/>
        <v>0</v>
      </c>
      <c r="BB38" s="5">
        <f t="shared" si="132"/>
        <v>0</v>
      </c>
      <c r="BC38" s="383">
        <f t="shared" si="91"/>
        <v>0</v>
      </c>
      <c r="BD38" s="5">
        <f t="shared" ref="BD38:BO38" si="133">BD11*BD21</f>
        <v>0</v>
      </c>
      <c r="BE38" s="5">
        <f t="shared" si="133"/>
        <v>0</v>
      </c>
      <c r="BF38" s="5">
        <f t="shared" si="133"/>
        <v>0</v>
      </c>
      <c r="BG38" s="5">
        <f t="shared" si="133"/>
        <v>0</v>
      </c>
      <c r="BH38" s="5">
        <f t="shared" si="133"/>
        <v>0</v>
      </c>
      <c r="BI38" s="5">
        <f t="shared" si="133"/>
        <v>0</v>
      </c>
      <c r="BJ38" s="5">
        <f t="shared" si="133"/>
        <v>0</v>
      </c>
      <c r="BK38" s="5">
        <f t="shared" si="133"/>
        <v>0</v>
      </c>
      <c r="BL38" s="5">
        <f t="shared" si="133"/>
        <v>0</v>
      </c>
      <c r="BM38" s="5">
        <f t="shared" si="133"/>
        <v>0</v>
      </c>
      <c r="BN38" s="5">
        <f t="shared" si="133"/>
        <v>0</v>
      </c>
      <c r="BO38" s="5">
        <f t="shared" si="133"/>
        <v>0</v>
      </c>
      <c r="BP38" s="383">
        <f t="shared" si="93"/>
        <v>0</v>
      </c>
      <c r="CF38" s="297" t="s">
        <v>1031</v>
      </c>
      <c r="CG38" s="12" t="s">
        <v>965</v>
      </c>
    </row>
    <row r="39" spans="1:85" s="5" customFormat="1" outlineLevel="1">
      <c r="A39" s="297" t="s">
        <v>679</v>
      </c>
      <c r="B39" s="12" t="s">
        <v>502</v>
      </c>
      <c r="P39" s="383">
        <f t="shared" si="85"/>
        <v>0</v>
      </c>
      <c r="AC39" s="383">
        <f t="shared" si="87"/>
        <v>0</v>
      </c>
      <c r="AP39" s="383">
        <f t="shared" si="89"/>
        <v>0</v>
      </c>
      <c r="BC39" s="383">
        <f t="shared" si="91"/>
        <v>0</v>
      </c>
      <c r="BP39" s="383">
        <f t="shared" si="93"/>
        <v>0</v>
      </c>
      <c r="CF39" s="297" t="s">
        <v>1109</v>
      </c>
      <c r="CG39" s="12" t="s">
        <v>965</v>
      </c>
    </row>
    <row r="40" spans="1:85" s="5" customFormat="1" outlineLevel="1">
      <c r="A40" s="297" t="s">
        <v>678</v>
      </c>
      <c r="B40" s="12" t="s">
        <v>502</v>
      </c>
      <c r="P40" s="383">
        <f t="shared" si="85"/>
        <v>0</v>
      </c>
      <c r="AC40" s="383">
        <f t="shared" si="87"/>
        <v>0</v>
      </c>
      <c r="AP40" s="383">
        <f t="shared" si="89"/>
        <v>0</v>
      </c>
      <c r="BC40" s="383">
        <f t="shared" si="91"/>
        <v>0</v>
      </c>
      <c r="BP40" s="383">
        <f t="shared" si="93"/>
        <v>0</v>
      </c>
      <c r="CF40" s="297" t="s">
        <v>1110</v>
      </c>
      <c r="CG40" s="12" t="s">
        <v>965</v>
      </c>
    </row>
    <row r="41" spans="1:85" s="3" customFormat="1">
      <c r="A41" s="296" t="s">
        <v>472</v>
      </c>
      <c r="B41" s="12" t="s">
        <v>502</v>
      </c>
      <c r="C41" s="5"/>
      <c r="D41" s="3">
        <f t="shared" ref="D41:O41" si="134">-D11*D74</f>
        <v>0</v>
      </c>
      <c r="E41" s="3">
        <f t="shared" si="134"/>
        <v>0</v>
      </c>
      <c r="F41" s="3">
        <f t="shared" si="134"/>
        <v>0</v>
      </c>
      <c r="G41" s="3">
        <f t="shared" si="134"/>
        <v>0</v>
      </c>
      <c r="H41" s="3">
        <f t="shared" si="134"/>
        <v>0</v>
      </c>
      <c r="I41" s="3">
        <f t="shared" si="134"/>
        <v>0</v>
      </c>
      <c r="J41" s="3">
        <f t="shared" si="134"/>
        <v>-3.0516604612123164</v>
      </c>
      <c r="K41" s="3">
        <f t="shared" si="134"/>
        <v>-3.0516604612123164</v>
      </c>
      <c r="L41" s="3">
        <f t="shared" si="134"/>
        <v>-3.0516604612123164</v>
      </c>
      <c r="M41" s="3">
        <f t="shared" si="134"/>
        <v>-3.0516604612123164</v>
      </c>
      <c r="N41" s="3">
        <f t="shared" si="134"/>
        <v>-3.0516604612123164</v>
      </c>
      <c r="O41" s="3">
        <f t="shared" si="134"/>
        <v>-21.36162322848622</v>
      </c>
      <c r="P41" s="397">
        <f t="shared" si="85"/>
        <v>-36.619925534547804</v>
      </c>
      <c r="Q41" s="3">
        <f t="shared" ref="Q41:AB41" si="135">-Q11*Q74</f>
        <v>-11.145746120218162</v>
      </c>
      <c r="R41" s="3">
        <f t="shared" si="135"/>
        <v>-11.145746120218162</v>
      </c>
      <c r="S41" s="3">
        <f t="shared" si="135"/>
        <v>-11.145746120218162</v>
      </c>
      <c r="T41" s="3">
        <f t="shared" si="135"/>
        <v>-11.145746120218162</v>
      </c>
      <c r="U41" s="3">
        <f t="shared" si="135"/>
        <v>-11.145746120218162</v>
      </c>
      <c r="V41" s="3">
        <f t="shared" si="135"/>
        <v>-11.145746120218162</v>
      </c>
      <c r="W41" s="3">
        <f t="shared" si="135"/>
        <v>-11.145746120218162</v>
      </c>
      <c r="X41" s="3">
        <f t="shared" si="135"/>
        <v>-11.145746120218162</v>
      </c>
      <c r="Y41" s="3">
        <f t="shared" si="135"/>
        <v>-11.145746120218162</v>
      </c>
      <c r="Z41" s="3">
        <f t="shared" si="135"/>
        <v>-11.145746120218162</v>
      </c>
      <c r="AA41" s="3">
        <f t="shared" si="135"/>
        <v>-11.145746120218162</v>
      </c>
      <c r="AB41" s="3">
        <f t="shared" si="135"/>
        <v>-11.145746120218154</v>
      </c>
      <c r="AC41" s="397">
        <f t="shared" si="87"/>
        <v>-133.74895344261793</v>
      </c>
      <c r="AD41" s="3">
        <f t="shared" ref="AD41:AO41" si="136">-AD11*AD74</f>
        <v>-21.249316707199107</v>
      </c>
      <c r="AE41" s="3">
        <f t="shared" si="136"/>
        <v>-21.249316707199107</v>
      </c>
      <c r="AF41" s="3">
        <f t="shared" si="136"/>
        <v>-21.249316707199107</v>
      </c>
      <c r="AG41" s="3">
        <f t="shared" si="136"/>
        <v>-21.249316707199107</v>
      </c>
      <c r="AH41" s="3">
        <f t="shared" si="136"/>
        <v>-21.249316707199107</v>
      </c>
      <c r="AI41" s="3">
        <f t="shared" si="136"/>
        <v>-21.249316707199107</v>
      </c>
      <c r="AJ41" s="3">
        <f t="shared" si="136"/>
        <v>-21.249316707199107</v>
      </c>
      <c r="AK41" s="3">
        <f t="shared" si="136"/>
        <v>-21.249316707199107</v>
      </c>
      <c r="AL41" s="3">
        <f t="shared" si="136"/>
        <v>-21.249316707199107</v>
      </c>
      <c r="AM41" s="3">
        <f t="shared" si="136"/>
        <v>-21.249316707199107</v>
      </c>
      <c r="AN41" s="3">
        <f t="shared" si="136"/>
        <v>-21.249316707199107</v>
      </c>
      <c r="AO41" s="3">
        <f t="shared" si="136"/>
        <v>-21.249316707199085</v>
      </c>
      <c r="AP41" s="397">
        <f t="shared" si="89"/>
        <v>-254.99180048638931</v>
      </c>
      <c r="AQ41" s="3">
        <f t="shared" ref="AQ41:BB41" si="137">-AQ11*AQ74</f>
        <v>-32.785177669559374</v>
      </c>
      <c r="AR41" s="3">
        <f t="shared" si="137"/>
        <v>-32.785177669559374</v>
      </c>
      <c r="AS41" s="3">
        <f t="shared" si="137"/>
        <v>-32.785177669559374</v>
      </c>
      <c r="AT41" s="3">
        <f t="shared" si="137"/>
        <v>-32.785177669559374</v>
      </c>
      <c r="AU41" s="3">
        <f t="shared" si="137"/>
        <v>-32.785177669559374</v>
      </c>
      <c r="AV41" s="3">
        <f t="shared" si="137"/>
        <v>-32.785177669559374</v>
      </c>
      <c r="AW41" s="3">
        <f t="shared" si="137"/>
        <v>-32.785177669559374</v>
      </c>
      <c r="AX41" s="3">
        <f t="shared" si="137"/>
        <v>-32.785177669559374</v>
      </c>
      <c r="AY41" s="3">
        <f t="shared" si="137"/>
        <v>-32.785177669559374</v>
      </c>
      <c r="AZ41" s="3">
        <f t="shared" si="137"/>
        <v>-32.785177669559374</v>
      </c>
      <c r="BA41" s="3">
        <f t="shared" si="137"/>
        <v>-32.785177669559374</v>
      </c>
      <c r="BB41" s="3">
        <f t="shared" si="137"/>
        <v>-32.785177669559346</v>
      </c>
      <c r="BC41" s="397">
        <f t="shared" si="91"/>
        <v>-393.42213203471255</v>
      </c>
      <c r="BD41" s="3">
        <f t="shared" ref="BD41:BO41" si="138">-BD11*BD74</f>
        <v>-41.166864658878822</v>
      </c>
      <c r="BE41" s="3">
        <f t="shared" si="138"/>
        <v>-41.166864658878822</v>
      </c>
      <c r="BF41" s="3">
        <f t="shared" si="138"/>
        <v>-41.166864658878822</v>
      </c>
      <c r="BG41" s="3">
        <f t="shared" si="138"/>
        <v>-41.166864658878822</v>
      </c>
      <c r="BH41" s="3">
        <f t="shared" si="138"/>
        <v>-41.166864658878822</v>
      </c>
      <c r="BI41" s="3">
        <f t="shared" si="138"/>
        <v>-41.166864658878822</v>
      </c>
      <c r="BJ41" s="3">
        <f t="shared" si="138"/>
        <v>-41.166864658878822</v>
      </c>
      <c r="BK41" s="3">
        <f t="shared" si="138"/>
        <v>-41.166864658878822</v>
      </c>
      <c r="BL41" s="3">
        <f t="shared" si="138"/>
        <v>-41.166864658878822</v>
      </c>
      <c r="BM41" s="3">
        <f t="shared" si="138"/>
        <v>-41.166864658878822</v>
      </c>
      <c r="BN41" s="3">
        <f t="shared" si="138"/>
        <v>-41.166864658878822</v>
      </c>
      <c r="BO41" s="3">
        <f t="shared" si="138"/>
        <v>-41.166864658878779</v>
      </c>
      <c r="BP41" s="397">
        <f t="shared" si="93"/>
        <v>-494.00237590654569</v>
      </c>
      <c r="CF41" s="296" t="s">
        <v>864</v>
      </c>
      <c r="CG41" s="12" t="s">
        <v>965</v>
      </c>
    </row>
    <row r="42" spans="1:85" s="3" customFormat="1">
      <c r="A42" s="296" t="s">
        <v>525</v>
      </c>
      <c r="B42" s="12" t="s">
        <v>502</v>
      </c>
      <c r="C42" s="5"/>
      <c r="P42" s="397">
        <f t="shared" si="85"/>
        <v>0</v>
      </c>
      <c r="AC42" s="397">
        <f t="shared" si="87"/>
        <v>0</v>
      </c>
      <c r="AP42" s="397">
        <f t="shared" si="89"/>
        <v>0</v>
      </c>
      <c r="BC42" s="397">
        <f t="shared" si="91"/>
        <v>0</v>
      </c>
      <c r="BP42" s="397">
        <f t="shared" si="93"/>
        <v>0</v>
      </c>
      <c r="CF42" s="296" t="s">
        <v>865</v>
      </c>
      <c r="CG42" s="12" t="s">
        <v>965</v>
      </c>
    </row>
    <row r="43" spans="1:85" s="3" customFormat="1">
      <c r="A43" s="300" t="s">
        <v>526</v>
      </c>
      <c r="B43" s="12" t="s">
        <v>502</v>
      </c>
      <c r="C43" s="5"/>
      <c r="P43" s="397">
        <f t="shared" si="85"/>
        <v>0</v>
      </c>
      <c r="AC43" s="397">
        <f t="shared" si="87"/>
        <v>0</v>
      </c>
      <c r="AP43" s="397">
        <f t="shared" si="89"/>
        <v>0</v>
      </c>
      <c r="BC43" s="397">
        <f t="shared" si="91"/>
        <v>0</v>
      </c>
      <c r="BP43" s="397">
        <f t="shared" si="93"/>
        <v>0</v>
      </c>
      <c r="CF43" s="300" t="s">
        <v>866</v>
      </c>
      <c r="CG43" s="12" t="s">
        <v>965</v>
      </c>
    </row>
    <row r="44" spans="1:85" s="63" customFormat="1">
      <c r="A44" s="298" t="s">
        <v>527</v>
      </c>
      <c r="B44" s="12" t="s">
        <v>502</v>
      </c>
      <c r="C44" s="299"/>
      <c r="D44" s="63">
        <f t="shared" ref="D44:O44" si="139">D36+D37+D41+D42+D43</f>
        <v>0</v>
      </c>
      <c r="E44" s="63">
        <f t="shared" si="139"/>
        <v>0</v>
      </c>
      <c r="F44" s="63">
        <f t="shared" si="139"/>
        <v>0</v>
      </c>
      <c r="G44" s="63">
        <f t="shared" si="139"/>
        <v>0</v>
      </c>
      <c r="H44" s="63">
        <f t="shared" si="139"/>
        <v>0</v>
      </c>
      <c r="I44" s="63">
        <f t="shared" si="139"/>
        <v>0</v>
      </c>
      <c r="J44" s="63">
        <f t="shared" si="139"/>
        <v>4.4538218032647841</v>
      </c>
      <c r="K44" s="63">
        <f t="shared" si="139"/>
        <v>8.1363677776341117</v>
      </c>
      <c r="L44" s="63">
        <f t="shared" si="139"/>
        <v>14.784500666782373</v>
      </c>
      <c r="M44" s="63">
        <f t="shared" si="139"/>
        <v>22.434768083966752</v>
      </c>
      <c r="N44" s="63">
        <f t="shared" si="139"/>
        <v>28.265186039918397</v>
      </c>
      <c r="O44" s="63">
        <f t="shared" si="139"/>
        <v>41.023789999392648</v>
      </c>
      <c r="P44" s="419">
        <f t="shared" si="85"/>
        <v>119.09843437095907</v>
      </c>
      <c r="Q44" s="63">
        <f t="shared" ref="Q44:AB44" si="140">Q36+Q37+Q41+Q42+Q43</f>
        <v>47.901730315730134</v>
      </c>
      <c r="R44" s="63">
        <f t="shared" si="140"/>
        <v>27.344230481601883</v>
      </c>
      <c r="S44" s="63">
        <f t="shared" si="140"/>
        <v>59.034192464858549</v>
      </c>
      <c r="T44" s="63">
        <f t="shared" si="140"/>
        <v>82.743283144849258</v>
      </c>
      <c r="U44" s="63">
        <f t="shared" si="140"/>
        <v>112.00629927126185</v>
      </c>
      <c r="V44" s="63">
        <f t="shared" si="140"/>
        <v>132.66211653136261</v>
      </c>
      <c r="W44" s="63">
        <f t="shared" si="140"/>
        <v>162.2419481608722</v>
      </c>
      <c r="X44" s="63">
        <f t="shared" si="140"/>
        <v>186.38523149403849</v>
      </c>
      <c r="Y44" s="63">
        <f t="shared" si="140"/>
        <v>202.77455213779325</v>
      </c>
      <c r="Z44" s="63">
        <f t="shared" si="140"/>
        <v>232.82106209284299</v>
      </c>
      <c r="AA44" s="63">
        <f t="shared" si="140"/>
        <v>246.56109321421573</v>
      </c>
      <c r="AB44" s="63">
        <f t="shared" si="140"/>
        <v>276.91407519215676</v>
      </c>
      <c r="AC44" s="419">
        <f t="shared" si="87"/>
        <v>1769.3898145015839</v>
      </c>
      <c r="AD44" s="63">
        <f t="shared" ref="AD44:AO44" si="141">AD36+AD37+AD41+AD42+AD43</f>
        <v>158.15919945323083</v>
      </c>
      <c r="AE44" s="63">
        <f t="shared" si="141"/>
        <v>58.162969894810182</v>
      </c>
      <c r="AF44" s="63">
        <f t="shared" si="141"/>
        <v>123.47069748579048</v>
      </c>
      <c r="AG44" s="63">
        <f t="shared" si="141"/>
        <v>172.26314563963689</v>
      </c>
      <c r="AH44" s="63">
        <f t="shared" si="141"/>
        <v>232.44869289099182</v>
      </c>
      <c r="AI44" s="63">
        <f t="shared" si="141"/>
        <v>274.85327600839167</v>
      </c>
      <c r="AJ44" s="63">
        <f t="shared" si="141"/>
        <v>335.58346991862561</v>
      </c>
      <c r="AK44" s="63">
        <f t="shared" si="141"/>
        <v>385.07358031398678</v>
      </c>
      <c r="AL44" s="63">
        <f t="shared" si="141"/>
        <v>418.57610915560076</v>
      </c>
      <c r="AM44" s="63">
        <f t="shared" si="141"/>
        <v>480.1155930458425</v>
      </c>
      <c r="AN44" s="63">
        <f t="shared" si="141"/>
        <v>508.1050994620382</v>
      </c>
      <c r="AO44" s="63">
        <f t="shared" si="141"/>
        <v>570.18046982159433</v>
      </c>
      <c r="AP44" s="419">
        <f t="shared" si="89"/>
        <v>3716.9923030905406</v>
      </c>
      <c r="AQ44" s="63">
        <f t="shared" ref="AQ44:BB44" si="142">AQ36+AQ37+AQ41+AQ42+AQ43</f>
        <v>323.84734249121027</v>
      </c>
      <c r="AR44" s="63">
        <f t="shared" si="142"/>
        <v>99.044171443746535</v>
      </c>
      <c r="AS44" s="63">
        <f t="shared" si="142"/>
        <v>207.35241610965861</v>
      </c>
      <c r="AT44" s="63">
        <f t="shared" si="142"/>
        <v>288.1741307044806</v>
      </c>
      <c r="AU44" s="63">
        <f t="shared" si="142"/>
        <v>387.8153944987539</v>
      </c>
      <c r="AV44" s="63">
        <f t="shared" si="142"/>
        <v>457.90686579630062</v>
      </c>
      <c r="AW44" s="63">
        <f t="shared" si="142"/>
        <v>558.29686827989804</v>
      </c>
      <c r="AX44" s="63">
        <f t="shared" si="142"/>
        <v>639.99422686468142</v>
      </c>
      <c r="AY44" s="63">
        <f t="shared" si="142"/>
        <v>695.16595499940263</v>
      </c>
      <c r="AZ44" s="63">
        <f t="shared" si="142"/>
        <v>796.68050171395726</v>
      </c>
      <c r="BA44" s="63">
        <f t="shared" si="142"/>
        <v>842.63322613168066</v>
      </c>
      <c r="BB44" s="63">
        <f t="shared" si="142"/>
        <v>944.89990498166844</v>
      </c>
      <c r="BC44" s="419">
        <f t="shared" si="91"/>
        <v>6241.8110040154388</v>
      </c>
      <c r="BD44" s="63">
        <f t="shared" ref="BD44:BO44" si="143">BD36+BD37+BD41+BD42+BD43</f>
        <v>533.06606203304875</v>
      </c>
      <c r="BE44" s="63">
        <f t="shared" si="143"/>
        <v>136.0499085183111</v>
      </c>
      <c r="BF44" s="63">
        <f t="shared" si="143"/>
        <v>281.52304394062537</v>
      </c>
      <c r="BG44" s="63">
        <f t="shared" si="143"/>
        <v>389.96448302443827</v>
      </c>
      <c r="BH44" s="63">
        <f t="shared" si="143"/>
        <v>523.59548251721515</v>
      </c>
      <c r="BI44" s="63">
        <f t="shared" si="143"/>
        <v>617.46533958829991</v>
      </c>
      <c r="BJ44" s="63">
        <f t="shared" si="143"/>
        <v>751.92149527852666</v>
      </c>
      <c r="BK44" s="63">
        <f t="shared" si="143"/>
        <v>861.2103479061559</v>
      </c>
      <c r="BL44" s="63">
        <f t="shared" si="143"/>
        <v>934.85829747580715</v>
      </c>
      <c r="BM44" s="63">
        <f t="shared" si="143"/>
        <v>1070.5706728810856</v>
      </c>
      <c r="BN44" s="63">
        <f t="shared" si="143"/>
        <v>1131.747375021165</v>
      </c>
      <c r="BO44" s="63">
        <f t="shared" si="143"/>
        <v>1268.310399964977</v>
      </c>
      <c r="BP44" s="419">
        <f t="shared" si="93"/>
        <v>8500.2829081496566</v>
      </c>
      <c r="CF44" s="298" t="s">
        <v>860</v>
      </c>
      <c r="CG44" s="12" t="s">
        <v>965</v>
      </c>
    </row>
    <row r="45" spans="1:85" s="3" customFormat="1">
      <c r="A45" s="296" t="s">
        <v>528</v>
      </c>
      <c r="B45" s="12" t="s">
        <v>502</v>
      </c>
      <c r="C45" s="5"/>
      <c r="P45" s="397">
        <f t="shared" si="85"/>
        <v>0</v>
      </c>
      <c r="AC45" s="397">
        <f t="shared" si="87"/>
        <v>0</v>
      </c>
      <c r="AP45" s="397">
        <f t="shared" si="89"/>
        <v>0</v>
      </c>
      <c r="BC45" s="397">
        <f t="shared" si="91"/>
        <v>0</v>
      </c>
      <c r="BP45" s="397">
        <f t="shared" si="93"/>
        <v>0</v>
      </c>
      <c r="CF45" s="296" t="s">
        <v>1037</v>
      </c>
      <c r="CG45" s="12" t="s">
        <v>965</v>
      </c>
    </row>
    <row r="46" spans="1:85" s="3" customFormat="1">
      <c r="A46" s="296" t="s">
        <v>529</v>
      </c>
      <c r="B46" s="12" t="s">
        <v>502</v>
      </c>
      <c r="C46" s="5"/>
      <c r="D46" s="3">
        <f t="shared" ref="D46:O46" si="144">SUM(D47:D54)</f>
        <v>0</v>
      </c>
      <c r="E46" s="3">
        <f t="shared" si="144"/>
        <v>0</v>
      </c>
      <c r="F46" s="3">
        <f t="shared" si="144"/>
        <v>0</v>
      </c>
      <c r="G46" s="3">
        <f t="shared" si="144"/>
        <v>0</v>
      </c>
      <c r="H46" s="3">
        <f t="shared" si="144"/>
        <v>0</v>
      </c>
      <c r="I46" s="3">
        <f t="shared" si="144"/>
        <v>0</v>
      </c>
      <c r="J46" s="3">
        <f t="shared" si="144"/>
        <v>-12.831469324282487</v>
      </c>
      <c r="K46" s="3">
        <f t="shared" si="144"/>
        <v>-14.239627527504298</v>
      </c>
      <c r="L46" s="3">
        <f t="shared" si="144"/>
        <v>-15.591459402597236</v>
      </c>
      <c r="M46" s="3">
        <f t="shared" si="144"/>
        <v>-16.889218002686459</v>
      </c>
      <c r="N46" s="3">
        <f t="shared" si="144"/>
        <v>-18.13506625877211</v>
      </c>
      <c r="O46" s="3">
        <f t="shared" si="144"/>
        <v>-96.319896530309279</v>
      </c>
      <c r="P46" s="397">
        <f t="shared" si="85"/>
        <v>-174.00673704615187</v>
      </c>
      <c r="Q46" s="3">
        <f t="shared" ref="Q46:AB46" si="145">SUM(Q47:Q54)</f>
        <v>-28.997516156100925</v>
      </c>
      <c r="R46" s="3">
        <f t="shared" si="145"/>
        <v>-34.126991170554774</v>
      </c>
      <c r="S46" s="3">
        <f t="shared" si="145"/>
        <v>-39.051287184430485</v>
      </c>
      <c r="T46" s="3">
        <f t="shared" si="145"/>
        <v>-43.77861135775116</v>
      </c>
      <c r="U46" s="3">
        <f t="shared" si="145"/>
        <v>-48.316842564139002</v>
      </c>
      <c r="V46" s="3">
        <f t="shared" si="145"/>
        <v>-52.673544522271335</v>
      </c>
      <c r="W46" s="3">
        <f t="shared" si="145"/>
        <v>-56.855978402078371</v>
      </c>
      <c r="X46" s="3">
        <f t="shared" si="145"/>
        <v>-60.871114926693139</v>
      </c>
      <c r="Y46" s="3">
        <f t="shared" si="145"/>
        <v>-64.725645990323301</v>
      </c>
      <c r="Z46" s="3">
        <f t="shared" si="145"/>
        <v>-68.425995811408256</v>
      </c>
      <c r="AA46" s="3">
        <f t="shared" si="145"/>
        <v>-71.978331639649809</v>
      </c>
      <c r="AB46" s="3">
        <f t="shared" si="145"/>
        <v>-75.388574034761689</v>
      </c>
      <c r="AC46" s="397">
        <f t="shared" si="87"/>
        <v>-645.19043376016225</v>
      </c>
      <c r="AD46" s="3">
        <f t="shared" ref="AD46:AO46" si="146">SUM(AD47:AD54)</f>
        <v>-43.591204539071782</v>
      </c>
      <c r="AE46" s="3">
        <f t="shared" si="146"/>
        <v>-53.346923892115782</v>
      </c>
      <c r="AF46" s="3">
        <f t="shared" si="146"/>
        <v>-62.712414471038031</v>
      </c>
      <c r="AG46" s="3">
        <f t="shared" si="146"/>
        <v>-71.70328542680339</v>
      </c>
      <c r="AH46" s="3">
        <f t="shared" si="146"/>
        <v>-80.334521544338131</v>
      </c>
      <c r="AI46" s="3">
        <f t="shared" si="146"/>
        <v>-88.620508217171491</v>
      </c>
      <c r="AJ46" s="3">
        <f t="shared" si="146"/>
        <v>-96.575055423091484</v>
      </c>
      <c r="AK46" s="3">
        <f t="shared" si="146"/>
        <v>-104.2114207407747</v>
      </c>
      <c r="AL46" s="3">
        <f t="shared" si="146"/>
        <v>-111.54233144575061</v>
      </c>
      <c r="AM46" s="3">
        <f t="shared" si="146"/>
        <v>-118.58000572252747</v>
      </c>
      <c r="AN46" s="3">
        <f t="shared" si="146"/>
        <v>-125.33617302823326</v>
      </c>
      <c r="AO46" s="3">
        <f t="shared" si="146"/>
        <v>-131.82209364171075</v>
      </c>
      <c r="AP46" s="397">
        <f t="shared" si="89"/>
        <v>-1088.3759380926269</v>
      </c>
      <c r="AQ46" s="3">
        <f t="shared" ref="AQ46:BB46" si="147">SUM(AQ47:AQ54)</f>
        <v>-61.290899095388511</v>
      </c>
      <c r="AR46" s="3">
        <f t="shared" si="147"/>
        <v>-76.309712626647027</v>
      </c>
      <c r="AS46" s="3">
        <f t="shared" si="147"/>
        <v>-90.727773616655227</v>
      </c>
      <c r="AT46" s="3">
        <f t="shared" si="147"/>
        <v>-104.56911216706307</v>
      </c>
      <c r="AU46" s="3">
        <f t="shared" si="147"/>
        <v>-117.8567971754546</v>
      </c>
      <c r="AV46" s="3">
        <f t="shared" si="147"/>
        <v>-130.61297478351048</v>
      </c>
      <c r="AW46" s="3">
        <f t="shared" si="147"/>
        <v>-142.85890528724414</v>
      </c>
      <c r="AX46" s="3">
        <f t="shared" si="147"/>
        <v>-154.61499857082842</v>
      </c>
      <c r="AY46" s="3">
        <f t="shared" si="147"/>
        <v>-165.90084812306935</v>
      </c>
      <c r="AZ46" s="3">
        <f t="shared" si="147"/>
        <v>-176.73526369322065</v>
      </c>
      <c r="BA46" s="3">
        <f t="shared" si="147"/>
        <v>-187.1363026405659</v>
      </c>
      <c r="BB46" s="3">
        <f t="shared" si="147"/>
        <v>-197.1213000300173</v>
      </c>
      <c r="BC46" s="397">
        <f t="shared" si="91"/>
        <v>-1605.7348878096648</v>
      </c>
      <c r="BD46" s="3">
        <f t="shared" ref="BD46:BO46" si="148">SUM(BD47:BD54)</f>
        <v>-70.150949094888716</v>
      </c>
      <c r="BE46" s="3">
        <f t="shared" si="148"/>
        <v>-88.971603964160096</v>
      </c>
      <c r="BF46" s="3">
        <f t="shared" si="148"/>
        <v>-107.03943263866063</v>
      </c>
      <c r="BG46" s="3">
        <f t="shared" si="148"/>
        <v>-124.38454816618113</v>
      </c>
      <c r="BH46" s="3">
        <f t="shared" si="148"/>
        <v>-141.0358590726008</v>
      </c>
      <c r="BI46" s="3">
        <f t="shared" si="148"/>
        <v>-157.0211175427637</v>
      </c>
      <c r="BJ46" s="3">
        <f t="shared" si="148"/>
        <v>-172.36696567412008</v>
      </c>
      <c r="BK46" s="3">
        <f t="shared" si="148"/>
        <v>-187.09897988022217</v>
      </c>
      <c r="BL46" s="3">
        <f t="shared" si="148"/>
        <v>-201.24171351808022</v>
      </c>
      <c r="BM46" s="3">
        <f t="shared" si="148"/>
        <v>-214.81873781042398</v>
      </c>
      <c r="BN46" s="3">
        <f t="shared" si="148"/>
        <v>-227.85268113107392</v>
      </c>
      <c r="BO46" s="3">
        <f t="shared" si="148"/>
        <v>-240.36526671889783</v>
      </c>
      <c r="BP46" s="397">
        <f t="shared" si="93"/>
        <v>-1932.3478552120732</v>
      </c>
      <c r="CF46" s="296" t="s">
        <v>1038</v>
      </c>
      <c r="CG46" s="12" t="s">
        <v>965</v>
      </c>
    </row>
    <row r="47" spans="1:85" s="5" customFormat="1" outlineLevel="1">
      <c r="A47" s="297" t="s">
        <v>530</v>
      </c>
      <c r="B47" s="12" t="s">
        <v>502</v>
      </c>
      <c r="D47" s="5">
        <f t="shared" ref="D47:O47" si="149">-D65*D4/1000000</f>
        <v>0</v>
      </c>
      <c r="E47" s="5">
        <f t="shared" si="149"/>
        <v>0</v>
      </c>
      <c r="F47" s="5">
        <f t="shared" si="149"/>
        <v>0</v>
      </c>
      <c r="G47" s="5">
        <f t="shared" si="149"/>
        <v>0</v>
      </c>
      <c r="H47" s="5">
        <f t="shared" si="149"/>
        <v>0</v>
      </c>
      <c r="I47" s="5">
        <f t="shared" si="149"/>
        <v>0</v>
      </c>
      <c r="J47" s="5">
        <f t="shared" si="149"/>
        <v>-5.7218633647730925</v>
      </c>
      <c r="K47" s="5">
        <f t="shared" si="149"/>
        <v>-5.7218633647730925</v>
      </c>
      <c r="L47" s="5">
        <f t="shared" si="149"/>
        <v>-5.7218633647730925</v>
      </c>
      <c r="M47" s="5">
        <f t="shared" si="149"/>
        <v>-5.7218633647730925</v>
      </c>
      <c r="N47" s="5">
        <f t="shared" si="149"/>
        <v>-5.7218633647730925</v>
      </c>
      <c r="O47" s="5">
        <f t="shared" si="149"/>
        <v>-40.053043553411655</v>
      </c>
      <c r="P47" s="383">
        <f t="shared" si="85"/>
        <v>-68.662360377277111</v>
      </c>
      <c r="Q47" s="5">
        <f t="shared" ref="Q47:AB47" si="150">-Q65*Q4/1000000</f>
        <v>-12.665620591157005</v>
      </c>
      <c r="R47" s="5">
        <f t="shared" si="150"/>
        <v>-12.665620591157005</v>
      </c>
      <c r="S47" s="5">
        <f t="shared" si="150"/>
        <v>-12.665620591157005</v>
      </c>
      <c r="T47" s="5">
        <f t="shared" si="150"/>
        <v>-12.665620591157005</v>
      </c>
      <c r="U47" s="5">
        <f t="shared" si="150"/>
        <v>-12.665620591157005</v>
      </c>
      <c r="V47" s="5">
        <f t="shared" si="150"/>
        <v>-12.665620591157005</v>
      </c>
      <c r="W47" s="5">
        <f t="shared" si="150"/>
        <v>-12.665620591157005</v>
      </c>
      <c r="X47" s="5">
        <f t="shared" si="150"/>
        <v>-12.665620591157005</v>
      </c>
      <c r="Y47" s="5">
        <f t="shared" si="150"/>
        <v>-12.665620591157005</v>
      </c>
      <c r="Z47" s="5">
        <f t="shared" si="150"/>
        <v>-12.665620591157005</v>
      </c>
      <c r="AA47" s="5">
        <f t="shared" si="150"/>
        <v>-12.665620591157005</v>
      </c>
      <c r="AB47" s="5">
        <f t="shared" si="150"/>
        <v>-12.665620591156994</v>
      </c>
      <c r="AC47" s="383">
        <f t="shared" si="87"/>
        <v>-151.98744709388407</v>
      </c>
      <c r="AD47" s="5">
        <f t="shared" ref="AD47:AO47" si="151">-AD65*AD4/1000000</f>
        <v>-18.815805821014553</v>
      </c>
      <c r="AE47" s="5">
        <f t="shared" si="151"/>
        <v>-18.815805821014553</v>
      </c>
      <c r="AF47" s="5">
        <f t="shared" si="151"/>
        <v>-18.815805821014553</v>
      </c>
      <c r="AG47" s="5">
        <f t="shared" si="151"/>
        <v>-18.815805821014553</v>
      </c>
      <c r="AH47" s="5">
        <f t="shared" si="151"/>
        <v>-18.815805821014553</v>
      </c>
      <c r="AI47" s="5">
        <f t="shared" si="151"/>
        <v>-18.815805821014553</v>
      </c>
      <c r="AJ47" s="5">
        <f t="shared" si="151"/>
        <v>-18.815805821014553</v>
      </c>
      <c r="AK47" s="5">
        <f t="shared" si="151"/>
        <v>-18.815805821014553</v>
      </c>
      <c r="AL47" s="5">
        <f t="shared" si="151"/>
        <v>-18.815805821014553</v>
      </c>
      <c r="AM47" s="5">
        <f t="shared" si="151"/>
        <v>-18.815805821014553</v>
      </c>
      <c r="AN47" s="5">
        <f t="shared" si="151"/>
        <v>-18.815805821014553</v>
      </c>
      <c r="AO47" s="5">
        <f t="shared" si="151"/>
        <v>-18.815805821014539</v>
      </c>
      <c r="AP47" s="383">
        <f t="shared" si="89"/>
        <v>-225.78966985217463</v>
      </c>
      <c r="AQ47" s="5">
        <f t="shared" ref="AQ47:BB47" si="152">-AQ65*AQ4/1000000</f>
        <v>-26.391417035708411</v>
      </c>
      <c r="AR47" s="5">
        <f t="shared" si="152"/>
        <v>-26.391417035708411</v>
      </c>
      <c r="AS47" s="5">
        <f t="shared" si="152"/>
        <v>-26.391417035708411</v>
      </c>
      <c r="AT47" s="5">
        <f t="shared" si="152"/>
        <v>-26.391417035708411</v>
      </c>
      <c r="AU47" s="5">
        <f t="shared" si="152"/>
        <v>-26.391417035708411</v>
      </c>
      <c r="AV47" s="5">
        <f t="shared" si="152"/>
        <v>-26.391417035708411</v>
      </c>
      <c r="AW47" s="5">
        <f t="shared" si="152"/>
        <v>-26.391417035708411</v>
      </c>
      <c r="AX47" s="5">
        <f t="shared" si="152"/>
        <v>-26.391417035708411</v>
      </c>
      <c r="AY47" s="5">
        <f t="shared" si="152"/>
        <v>-26.391417035708411</v>
      </c>
      <c r="AZ47" s="5">
        <f t="shared" si="152"/>
        <v>-26.391417035708411</v>
      </c>
      <c r="BA47" s="5">
        <f t="shared" si="152"/>
        <v>-26.391417035708411</v>
      </c>
      <c r="BB47" s="5">
        <f t="shared" si="152"/>
        <v>-26.39141703570839</v>
      </c>
      <c r="BC47" s="383">
        <f t="shared" si="91"/>
        <v>-316.69700442850086</v>
      </c>
      <c r="BD47" s="5">
        <f t="shared" ref="BD47:BO47" si="153">-BD65*BD4/1000000</f>
        <v>-30.125916939864673</v>
      </c>
      <c r="BE47" s="5">
        <f t="shared" si="153"/>
        <v>-30.125916939864673</v>
      </c>
      <c r="BF47" s="5">
        <f t="shared" si="153"/>
        <v>-30.125916939864673</v>
      </c>
      <c r="BG47" s="5">
        <f t="shared" si="153"/>
        <v>-30.125916939864673</v>
      </c>
      <c r="BH47" s="5">
        <f t="shared" si="153"/>
        <v>-30.125916939864673</v>
      </c>
      <c r="BI47" s="5">
        <f t="shared" si="153"/>
        <v>-30.125916939864673</v>
      </c>
      <c r="BJ47" s="5">
        <f t="shared" si="153"/>
        <v>-30.125916939864673</v>
      </c>
      <c r="BK47" s="5">
        <f t="shared" si="153"/>
        <v>-30.125916939864673</v>
      </c>
      <c r="BL47" s="5">
        <f t="shared" si="153"/>
        <v>-30.125916939864673</v>
      </c>
      <c r="BM47" s="5">
        <f t="shared" si="153"/>
        <v>-30.125916939864673</v>
      </c>
      <c r="BN47" s="5">
        <f t="shared" si="153"/>
        <v>-30.125916939864673</v>
      </c>
      <c r="BO47" s="5">
        <f t="shared" si="153"/>
        <v>-30.125916939864652</v>
      </c>
      <c r="BP47" s="383">
        <f t="shared" si="93"/>
        <v>-361.51100327837605</v>
      </c>
      <c r="CF47" s="297" t="s">
        <v>989</v>
      </c>
      <c r="CG47" s="12" t="s">
        <v>965</v>
      </c>
    </row>
    <row r="48" spans="1:85" s="5" customFormat="1" outlineLevel="1">
      <c r="A48" s="297" t="s">
        <v>531</v>
      </c>
      <c r="B48" s="12" t="s">
        <v>502</v>
      </c>
      <c r="D48" s="5">
        <f t="shared" ref="D48:O48" si="154">-(D4*D68*D67+D9*D67*D69)/1000000</f>
        <v>0</v>
      </c>
      <c r="E48" s="5">
        <f t="shared" si="154"/>
        <v>0</v>
      </c>
      <c r="F48" s="5">
        <f t="shared" si="154"/>
        <v>0</v>
      </c>
      <c r="G48" s="5">
        <f t="shared" si="154"/>
        <v>0</v>
      </c>
      <c r="H48" s="5">
        <f t="shared" si="154"/>
        <v>0</v>
      </c>
      <c r="I48" s="5">
        <f t="shared" si="154"/>
        <v>0</v>
      </c>
      <c r="J48" s="5">
        <f t="shared" si="154"/>
        <v>-0.15487176840652506</v>
      </c>
      <c r="K48" s="5">
        <f t="shared" si="154"/>
        <v>-0.15487176840652506</v>
      </c>
      <c r="L48" s="5">
        <f t="shared" si="154"/>
        <v>-0.15487176840652506</v>
      </c>
      <c r="M48" s="5">
        <f t="shared" si="154"/>
        <v>-0.15487176840652506</v>
      </c>
      <c r="N48" s="5">
        <f t="shared" si="154"/>
        <v>-0.15487176840652506</v>
      </c>
      <c r="O48" s="5">
        <f t="shared" si="154"/>
        <v>-1.0841023788456756</v>
      </c>
      <c r="P48" s="383">
        <f t="shared" si="85"/>
        <v>-1.8584612208783009</v>
      </c>
      <c r="Q48" s="5">
        <f t="shared" ref="Q48:AB48" si="155">-(Q4*Q68*Q67+Q9*Q67*Q69)/1000000</f>
        <v>-0.36645862243747601</v>
      </c>
      <c r="R48" s="5">
        <f t="shared" si="155"/>
        <v>-0.36645862243747601</v>
      </c>
      <c r="S48" s="5">
        <f t="shared" si="155"/>
        <v>-0.36645862243747601</v>
      </c>
      <c r="T48" s="5">
        <f t="shared" si="155"/>
        <v>-0.36645862243747601</v>
      </c>
      <c r="U48" s="5">
        <f t="shared" si="155"/>
        <v>-0.36645862243747601</v>
      </c>
      <c r="V48" s="5">
        <f t="shared" si="155"/>
        <v>-0.36645862243747601</v>
      </c>
      <c r="W48" s="5">
        <f t="shared" si="155"/>
        <v>-0.36645862243747601</v>
      </c>
      <c r="X48" s="5">
        <f t="shared" si="155"/>
        <v>-0.36645862243747601</v>
      </c>
      <c r="Y48" s="5">
        <f t="shared" si="155"/>
        <v>-0.36645862243747601</v>
      </c>
      <c r="Z48" s="5">
        <f t="shared" si="155"/>
        <v>-0.36645862243747601</v>
      </c>
      <c r="AA48" s="5">
        <f t="shared" si="155"/>
        <v>-0.36645862243747601</v>
      </c>
      <c r="AB48" s="5">
        <f t="shared" si="155"/>
        <v>-0.36645862243747573</v>
      </c>
      <c r="AC48" s="383">
        <f t="shared" si="87"/>
        <v>-4.3975034692497115</v>
      </c>
      <c r="AD48" s="5">
        <f t="shared" ref="AD48:AO48" si="156">-(AD4*AD68*AD67+AD9*AD67*AD69)/1000000</f>
        <v>-0.56196540052096799</v>
      </c>
      <c r="AE48" s="5">
        <f t="shared" si="156"/>
        <v>-0.56196540052096799</v>
      </c>
      <c r="AF48" s="5">
        <f t="shared" si="156"/>
        <v>-0.56196540052096799</v>
      </c>
      <c r="AG48" s="5">
        <f t="shared" si="156"/>
        <v>-0.56196540052096799</v>
      </c>
      <c r="AH48" s="5">
        <f t="shared" si="156"/>
        <v>-0.56196540052096799</v>
      </c>
      <c r="AI48" s="5">
        <f t="shared" si="156"/>
        <v>-0.56196540052096799</v>
      </c>
      <c r="AJ48" s="5">
        <f t="shared" si="156"/>
        <v>-0.56196540052096799</v>
      </c>
      <c r="AK48" s="5">
        <f t="shared" si="156"/>
        <v>-0.56196540052096799</v>
      </c>
      <c r="AL48" s="5">
        <f t="shared" si="156"/>
        <v>-0.56196540052096799</v>
      </c>
      <c r="AM48" s="5">
        <f t="shared" si="156"/>
        <v>-0.56196540052096799</v>
      </c>
      <c r="AN48" s="5">
        <f t="shared" si="156"/>
        <v>-0.56196540052096799</v>
      </c>
      <c r="AO48" s="5">
        <f t="shared" si="156"/>
        <v>-0.56196540052096755</v>
      </c>
      <c r="AP48" s="383">
        <f t="shared" si="89"/>
        <v>-6.7435848062516168</v>
      </c>
      <c r="AQ48" s="5">
        <f t="shared" ref="AQ48:BB48" si="157">-(AQ4*AQ68*AQ67+AQ9*AQ67*AQ69)/1000000</f>
        <v>-0.78822365546649131</v>
      </c>
      <c r="AR48" s="5">
        <f t="shared" si="157"/>
        <v>-0.78822365546649131</v>
      </c>
      <c r="AS48" s="5">
        <f t="shared" si="157"/>
        <v>-0.78822365546649131</v>
      </c>
      <c r="AT48" s="5">
        <f t="shared" si="157"/>
        <v>-0.78822365546649131</v>
      </c>
      <c r="AU48" s="5">
        <f t="shared" si="157"/>
        <v>-0.78822365546649131</v>
      </c>
      <c r="AV48" s="5">
        <f t="shared" si="157"/>
        <v>-0.78822365546649131</v>
      </c>
      <c r="AW48" s="5">
        <f t="shared" si="157"/>
        <v>-0.78822365546649131</v>
      </c>
      <c r="AX48" s="5">
        <f t="shared" si="157"/>
        <v>-0.78822365546649131</v>
      </c>
      <c r="AY48" s="5">
        <f t="shared" si="157"/>
        <v>-0.78822365546649131</v>
      </c>
      <c r="AZ48" s="5">
        <f t="shared" si="157"/>
        <v>-0.78822365546649131</v>
      </c>
      <c r="BA48" s="5">
        <f t="shared" si="157"/>
        <v>-0.78822365546649131</v>
      </c>
      <c r="BB48" s="5">
        <f t="shared" si="157"/>
        <v>-0.78822365546649065</v>
      </c>
      <c r="BC48" s="383">
        <f t="shared" si="91"/>
        <v>-9.4586838655978944</v>
      </c>
      <c r="BD48" s="5">
        <f t="shared" ref="BD48:BO48" si="158">-(BD4*BD68*BD67+BD9*BD67*BD69)/1000000</f>
        <v>-0.89976071927062484</v>
      </c>
      <c r="BE48" s="5">
        <f t="shared" si="158"/>
        <v>-0.89976071927062484</v>
      </c>
      <c r="BF48" s="5">
        <f t="shared" si="158"/>
        <v>-0.89976071927062484</v>
      </c>
      <c r="BG48" s="5">
        <f t="shared" si="158"/>
        <v>-0.89976071927062484</v>
      </c>
      <c r="BH48" s="5">
        <f t="shared" si="158"/>
        <v>-0.89976071927062484</v>
      </c>
      <c r="BI48" s="5">
        <f t="shared" si="158"/>
        <v>-0.89976071927062484</v>
      </c>
      <c r="BJ48" s="5">
        <f t="shared" si="158"/>
        <v>-0.89976071927062484</v>
      </c>
      <c r="BK48" s="5">
        <f t="shared" si="158"/>
        <v>-0.89976071927062484</v>
      </c>
      <c r="BL48" s="5">
        <f t="shared" si="158"/>
        <v>-0.89976071927062484</v>
      </c>
      <c r="BM48" s="5">
        <f t="shared" si="158"/>
        <v>-0.89976071927062484</v>
      </c>
      <c r="BN48" s="5">
        <f t="shared" si="158"/>
        <v>-0.89976071927062484</v>
      </c>
      <c r="BO48" s="5">
        <f t="shared" si="158"/>
        <v>-0.89976071927062418</v>
      </c>
      <c r="BP48" s="383">
        <f t="shared" si="93"/>
        <v>-10.797128631247496</v>
      </c>
      <c r="CF48" s="297" t="s">
        <v>990</v>
      </c>
      <c r="CG48" s="12" t="s">
        <v>965</v>
      </c>
    </row>
    <row r="49" spans="1:85" s="5" customFormat="1" outlineLevel="1">
      <c r="A49" s="297" t="s">
        <v>533</v>
      </c>
      <c r="B49" s="12" t="s">
        <v>502</v>
      </c>
      <c r="D49" s="5">
        <f t="shared" ref="D49:O49" si="159">-(D71*D4+D72*D9)/1000000</f>
        <v>0</v>
      </c>
      <c r="E49" s="5">
        <f t="shared" si="159"/>
        <v>0</v>
      </c>
      <c r="F49" s="5">
        <f t="shared" si="159"/>
        <v>0</v>
      </c>
      <c r="G49" s="5">
        <f t="shared" si="159"/>
        <v>0</v>
      </c>
      <c r="H49" s="5">
        <f t="shared" si="159"/>
        <v>0</v>
      </c>
      <c r="I49" s="5">
        <f t="shared" si="159"/>
        <v>0</v>
      </c>
      <c r="J49" s="5">
        <f t="shared" si="159"/>
        <v>-1.9912084509410364</v>
      </c>
      <c r="K49" s="5">
        <f t="shared" si="159"/>
        <v>-1.9912084509410364</v>
      </c>
      <c r="L49" s="5">
        <f t="shared" si="159"/>
        <v>-1.9912084509410364</v>
      </c>
      <c r="M49" s="5">
        <f t="shared" si="159"/>
        <v>-1.9912084509410364</v>
      </c>
      <c r="N49" s="5">
        <f t="shared" si="159"/>
        <v>-1.9912084509410364</v>
      </c>
      <c r="O49" s="5">
        <f t="shared" si="159"/>
        <v>-13.938459156587257</v>
      </c>
      <c r="P49" s="383">
        <f t="shared" si="85"/>
        <v>-23.894501411292438</v>
      </c>
      <c r="Q49" s="5">
        <f t="shared" ref="Q49:AB49" si="160">-(Q71*Q4+Q72*Q9)/1000000</f>
        <v>-4.7116108599104054</v>
      </c>
      <c r="R49" s="5">
        <f t="shared" si="160"/>
        <v>-4.7116108599104054</v>
      </c>
      <c r="S49" s="5">
        <f t="shared" si="160"/>
        <v>-4.7116108599104054</v>
      </c>
      <c r="T49" s="5">
        <f t="shared" si="160"/>
        <v>-4.7116108599104054</v>
      </c>
      <c r="U49" s="5">
        <f t="shared" si="160"/>
        <v>-4.7116108599104054</v>
      </c>
      <c r="V49" s="5">
        <f t="shared" si="160"/>
        <v>-4.7116108599104054</v>
      </c>
      <c r="W49" s="5">
        <f t="shared" si="160"/>
        <v>-4.7116108599104054</v>
      </c>
      <c r="X49" s="5">
        <f t="shared" si="160"/>
        <v>-4.7116108599104054</v>
      </c>
      <c r="Y49" s="5">
        <f t="shared" si="160"/>
        <v>-4.7116108599104054</v>
      </c>
      <c r="Z49" s="5">
        <f t="shared" si="160"/>
        <v>-4.7116108599104054</v>
      </c>
      <c r="AA49" s="5">
        <f t="shared" si="160"/>
        <v>-4.7116108599104054</v>
      </c>
      <c r="AB49" s="5">
        <f t="shared" si="160"/>
        <v>-4.7116108599104027</v>
      </c>
      <c r="AC49" s="383">
        <f t="shared" si="87"/>
        <v>-56.539330318924868</v>
      </c>
      <c r="AD49" s="5">
        <f t="shared" ref="AD49:AO49" si="161">-(AD71*AD4+AD72*AD9)/1000000</f>
        <v>-7.2252694352695883</v>
      </c>
      <c r="AE49" s="5">
        <f t="shared" si="161"/>
        <v>-7.2252694352695883</v>
      </c>
      <c r="AF49" s="5">
        <f t="shared" si="161"/>
        <v>-7.2252694352695883</v>
      </c>
      <c r="AG49" s="5">
        <f t="shared" si="161"/>
        <v>-7.2252694352695883</v>
      </c>
      <c r="AH49" s="5">
        <f t="shared" si="161"/>
        <v>-7.2252694352695883</v>
      </c>
      <c r="AI49" s="5">
        <f t="shared" si="161"/>
        <v>-7.2252694352695883</v>
      </c>
      <c r="AJ49" s="5">
        <f t="shared" si="161"/>
        <v>-7.2252694352695883</v>
      </c>
      <c r="AK49" s="5">
        <f t="shared" si="161"/>
        <v>-7.2252694352695883</v>
      </c>
      <c r="AL49" s="5">
        <f t="shared" si="161"/>
        <v>-7.2252694352695883</v>
      </c>
      <c r="AM49" s="5">
        <f t="shared" si="161"/>
        <v>-7.2252694352695883</v>
      </c>
      <c r="AN49" s="5">
        <f t="shared" si="161"/>
        <v>-7.2252694352695883</v>
      </c>
      <c r="AO49" s="5">
        <f t="shared" si="161"/>
        <v>-7.2252694352695821</v>
      </c>
      <c r="AP49" s="383">
        <f t="shared" si="89"/>
        <v>-86.703233223235031</v>
      </c>
      <c r="AQ49" s="5">
        <f t="shared" ref="AQ49:BB49" si="162">-(AQ71*AQ4+AQ72*AQ9)/1000000</f>
        <v>-10.134304141712033</v>
      </c>
      <c r="AR49" s="5">
        <f t="shared" si="162"/>
        <v>-10.134304141712033</v>
      </c>
      <c r="AS49" s="5">
        <f t="shared" si="162"/>
        <v>-10.134304141712033</v>
      </c>
      <c r="AT49" s="5">
        <f t="shared" si="162"/>
        <v>-10.134304141712033</v>
      </c>
      <c r="AU49" s="5">
        <f t="shared" si="162"/>
        <v>-10.134304141712033</v>
      </c>
      <c r="AV49" s="5">
        <f t="shared" si="162"/>
        <v>-10.134304141712033</v>
      </c>
      <c r="AW49" s="5">
        <f t="shared" si="162"/>
        <v>-10.134304141712033</v>
      </c>
      <c r="AX49" s="5">
        <f t="shared" si="162"/>
        <v>-10.134304141712033</v>
      </c>
      <c r="AY49" s="5">
        <f t="shared" si="162"/>
        <v>-10.134304141712033</v>
      </c>
      <c r="AZ49" s="5">
        <f t="shared" si="162"/>
        <v>-10.134304141712033</v>
      </c>
      <c r="BA49" s="5">
        <f t="shared" si="162"/>
        <v>-10.134304141712033</v>
      </c>
      <c r="BB49" s="5">
        <f t="shared" si="162"/>
        <v>-10.134304141712022</v>
      </c>
      <c r="BC49" s="383">
        <f t="shared" si="91"/>
        <v>-121.6116497005444</v>
      </c>
      <c r="BD49" s="5">
        <f t="shared" ref="BD49:BO49" si="163">-(BD71*BD4+BD72*BD9)/1000000</f>
        <v>-11.568352104908033</v>
      </c>
      <c r="BE49" s="5">
        <f t="shared" si="163"/>
        <v>-11.568352104908033</v>
      </c>
      <c r="BF49" s="5">
        <f t="shared" si="163"/>
        <v>-11.568352104908033</v>
      </c>
      <c r="BG49" s="5">
        <f t="shared" si="163"/>
        <v>-11.568352104908033</v>
      </c>
      <c r="BH49" s="5">
        <f t="shared" si="163"/>
        <v>-11.568352104908033</v>
      </c>
      <c r="BI49" s="5">
        <f t="shared" si="163"/>
        <v>-11.568352104908033</v>
      </c>
      <c r="BJ49" s="5">
        <f t="shared" si="163"/>
        <v>-11.568352104908033</v>
      </c>
      <c r="BK49" s="5">
        <f t="shared" si="163"/>
        <v>-11.568352104908033</v>
      </c>
      <c r="BL49" s="5">
        <f t="shared" si="163"/>
        <v>-11.568352104908033</v>
      </c>
      <c r="BM49" s="5">
        <f t="shared" si="163"/>
        <v>-11.568352104908033</v>
      </c>
      <c r="BN49" s="5">
        <f t="shared" si="163"/>
        <v>-11.568352104908033</v>
      </c>
      <c r="BO49" s="5">
        <f t="shared" si="163"/>
        <v>-11.568352104908024</v>
      </c>
      <c r="BP49" s="383">
        <f t="shared" si="93"/>
        <v>-138.82022525889636</v>
      </c>
      <c r="CF49" s="297" t="s">
        <v>992</v>
      </c>
      <c r="CG49" s="12" t="s">
        <v>965</v>
      </c>
    </row>
    <row r="50" spans="1:85" s="5" customFormat="1" outlineLevel="1">
      <c r="A50" s="297" t="s">
        <v>532</v>
      </c>
      <c r="B50" s="12" t="s">
        <v>502</v>
      </c>
      <c r="D50" s="5">
        <f t="shared" ref="D50:O50" si="164">-(D76*D77*D18)/1000000</f>
        <v>0</v>
      </c>
      <c r="E50" s="5">
        <f t="shared" si="164"/>
        <v>0</v>
      </c>
      <c r="F50" s="5">
        <f t="shared" si="164"/>
        <v>0</v>
      </c>
      <c r="G50" s="5">
        <f t="shared" si="164"/>
        <v>0</v>
      </c>
      <c r="H50" s="5">
        <f t="shared" si="164"/>
        <v>0</v>
      </c>
      <c r="I50" s="5">
        <f t="shared" si="164"/>
        <v>0</v>
      </c>
      <c r="J50" s="5">
        <f t="shared" si="164"/>
        <v>-4.2723246456972432E-2</v>
      </c>
      <c r="K50" s="5">
        <f t="shared" si="164"/>
        <v>-8.3737563055665959E-2</v>
      </c>
      <c r="L50" s="5">
        <f t="shared" si="164"/>
        <v>-0.12311130699041174</v>
      </c>
      <c r="M50" s="5">
        <f t="shared" si="164"/>
        <v>-0.16091010116776772</v>
      </c>
      <c r="N50" s="5">
        <f t="shared" si="164"/>
        <v>-0.19719694357802939</v>
      </c>
      <c r="O50" s="5">
        <f t="shared" si="164"/>
        <v>-0.48837179103371531</v>
      </c>
      <c r="P50" s="383">
        <f t="shared" si="85"/>
        <v>-1.0960509522825626</v>
      </c>
      <c r="Q50" s="5">
        <f t="shared" ref="Q50:AB50" si="165">-(Q76*Q77*Q18)/1000000</f>
        <v>-0.14185495062095843</v>
      </c>
      <c r="R50" s="5">
        <f t="shared" si="165"/>
        <v>-0.27803570321707854</v>
      </c>
      <c r="S50" s="5">
        <f t="shared" si="165"/>
        <v>-0.40876922570935376</v>
      </c>
      <c r="T50" s="5">
        <f t="shared" si="165"/>
        <v>-0.53427340730193806</v>
      </c>
      <c r="U50" s="5">
        <f t="shared" si="165"/>
        <v>-0.65475742163081885</v>
      </c>
      <c r="V50" s="5">
        <f t="shared" si="165"/>
        <v>-0.7704220753865445</v>
      </c>
      <c r="W50" s="5">
        <f t="shared" si="165"/>
        <v>-0.88146014299204112</v>
      </c>
      <c r="X50" s="5">
        <f t="shared" si="165"/>
        <v>-0.98805668789331791</v>
      </c>
      <c r="Y50" s="5">
        <f t="shared" si="165"/>
        <v>-1.0903893709985435</v>
      </c>
      <c r="Z50" s="5">
        <f t="shared" si="165"/>
        <v>-1.1886287467795602</v>
      </c>
      <c r="AA50" s="5">
        <f t="shared" si="165"/>
        <v>-1.282938547529336</v>
      </c>
      <c r="AB50" s="5">
        <f t="shared" si="165"/>
        <v>-1.3734759562491212</v>
      </c>
      <c r="AC50" s="383">
        <f t="shared" si="87"/>
        <v>-9.5930622363086115</v>
      </c>
      <c r="AD50" s="5">
        <f t="shared" ref="AD50:AO50" si="166">-(AD76*AD77*AD18)/1000000</f>
        <v>-0.24585986272792348</v>
      </c>
      <c r="AE50" s="5">
        <f t="shared" si="166"/>
        <v>-0.48188533094673008</v>
      </c>
      <c r="AF50" s="5">
        <f t="shared" si="166"/>
        <v>-0.70846978043678455</v>
      </c>
      <c r="AG50" s="5">
        <f t="shared" si="166"/>
        <v>-0.92599085194723663</v>
      </c>
      <c r="AH50" s="5">
        <f t="shared" si="166"/>
        <v>-1.1348110805972704</v>
      </c>
      <c r="AI50" s="5">
        <f t="shared" si="166"/>
        <v>-1.3352785001013032</v>
      </c>
      <c r="AJ50" s="5">
        <f t="shared" si="166"/>
        <v>-1.5277272228251744</v>
      </c>
      <c r="AK50" s="5">
        <f t="shared" si="166"/>
        <v>-1.7124779966400914</v>
      </c>
      <c r="AL50" s="5">
        <f t="shared" si="166"/>
        <v>-1.8898387395024114</v>
      </c>
      <c r="AM50" s="5">
        <f t="shared" si="166"/>
        <v>-2.060105052650238</v>
      </c>
      <c r="AN50" s="5">
        <f t="shared" si="166"/>
        <v>-2.2235607132721524</v>
      </c>
      <c r="AO50" s="5">
        <f t="shared" si="166"/>
        <v>-2.3804781474691898</v>
      </c>
      <c r="AP50" s="383">
        <f t="shared" si="89"/>
        <v>-16.626483279116506</v>
      </c>
      <c r="AQ50" s="5">
        <f t="shared" ref="AQ50:BB50" si="167">-(AQ76*AQ77*AQ18)/1000000</f>
        <v>-0.3448478492665899</v>
      </c>
      <c r="AR50" s="5">
        <f t="shared" si="167"/>
        <v>-0.67590178456251637</v>
      </c>
      <c r="AS50" s="5">
        <f t="shared" si="167"/>
        <v>-0.9937135624466058</v>
      </c>
      <c r="AT50" s="5">
        <f t="shared" si="167"/>
        <v>-1.2988128692153313</v>
      </c>
      <c r="AU50" s="5">
        <f t="shared" si="167"/>
        <v>-1.5917082037133079</v>
      </c>
      <c r="AV50" s="5">
        <f t="shared" si="167"/>
        <v>-1.8728877248313658</v>
      </c>
      <c r="AW50" s="5">
        <f t="shared" si="167"/>
        <v>-2.1428200651047011</v>
      </c>
      <c r="AX50" s="5">
        <f t="shared" si="167"/>
        <v>-2.4019551117671023</v>
      </c>
      <c r="AY50" s="5">
        <f t="shared" si="167"/>
        <v>-2.6507247565630085</v>
      </c>
      <c r="AZ50" s="5">
        <f t="shared" si="167"/>
        <v>-2.8895436155670784</v>
      </c>
      <c r="BA50" s="5">
        <f t="shared" si="167"/>
        <v>-3.1188097202109852</v>
      </c>
      <c r="BB50" s="5">
        <f t="shared" si="167"/>
        <v>-3.3389051806691366</v>
      </c>
      <c r="BC50" s="383">
        <f t="shared" si="91"/>
        <v>-23.320630443917732</v>
      </c>
      <c r="BD50" s="5">
        <f t="shared" ref="BD50:BO50" si="168">-(BD76*BD77*BD18)/1000000</f>
        <v>-0.39364531468089836</v>
      </c>
      <c r="BE50" s="5">
        <f t="shared" si="168"/>
        <v>-0.77154481677456088</v>
      </c>
      <c r="BF50" s="5">
        <f t="shared" si="168"/>
        <v>-1.1343283387844769</v>
      </c>
      <c r="BG50" s="5">
        <f t="shared" si="168"/>
        <v>-1.4826005199139967</v>
      </c>
      <c r="BH50" s="5">
        <f t="shared" si="168"/>
        <v>-1.8169418137983346</v>
      </c>
      <c r="BI50" s="5">
        <f t="shared" si="168"/>
        <v>-2.1379094559273004</v>
      </c>
      <c r="BJ50" s="5">
        <f t="shared" si="168"/>
        <v>-2.446038392371106</v>
      </c>
      <c r="BK50" s="5">
        <f t="shared" si="168"/>
        <v>-2.7418421713571606</v>
      </c>
      <c r="BL50" s="5">
        <f t="shared" si="168"/>
        <v>-3.0258137991837724</v>
      </c>
      <c r="BM50" s="5">
        <f t="shared" si="168"/>
        <v>-3.2984265618973203</v>
      </c>
      <c r="BN50" s="5">
        <f t="shared" si="168"/>
        <v>-3.5601348141023261</v>
      </c>
      <c r="BO50" s="5">
        <f t="shared" si="168"/>
        <v>-3.8113747362191304</v>
      </c>
      <c r="BP50" s="383">
        <f t="shared" si="93"/>
        <v>-26.620600735010381</v>
      </c>
      <c r="CF50" s="297" t="s">
        <v>991</v>
      </c>
      <c r="CG50" s="12" t="s">
        <v>965</v>
      </c>
    </row>
    <row r="51" spans="1:85" s="5" customFormat="1" outlineLevel="1">
      <c r="A51" s="297" t="s">
        <v>631</v>
      </c>
      <c r="B51" s="12" t="s">
        <v>502</v>
      </c>
      <c r="D51" s="5">
        <f t="shared" ref="D51:O51" si="169">D78*D13</f>
        <v>0</v>
      </c>
      <c r="E51" s="5">
        <f t="shared" si="169"/>
        <v>0</v>
      </c>
      <c r="F51" s="5">
        <f t="shared" si="169"/>
        <v>0</v>
      </c>
      <c r="G51" s="5">
        <f t="shared" si="169"/>
        <v>0</v>
      </c>
      <c r="H51" s="5">
        <f t="shared" si="169"/>
        <v>0</v>
      </c>
      <c r="I51" s="5">
        <f t="shared" si="169"/>
        <v>0</v>
      </c>
      <c r="J51" s="5">
        <f t="shared" si="169"/>
        <v>0</v>
      </c>
      <c r="K51" s="5">
        <f t="shared" si="169"/>
        <v>-0.61033209224246332</v>
      </c>
      <c r="L51" s="5">
        <f t="shared" si="169"/>
        <v>-1.196250900795228</v>
      </c>
      <c r="M51" s="5">
        <f t="shared" si="169"/>
        <v>-1.7587329570058823</v>
      </c>
      <c r="N51" s="5">
        <f t="shared" si="169"/>
        <v>-2.2987157309681097</v>
      </c>
      <c r="O51" s="5">
        <f t="shared" si="169"/>
        <v>-2.8170991939718486</v>
      </c>
      <c r="P51" s="383">
        <f t="shared" si="85"/>
        <v>-8.6811308749835323</v>
      </c>
      <c r="Q51" s="5">
        <f t="shared" ref="Q51:AB51" si="170">Q78*Q13</f>
        <v>0</v>
      </c>
      <c r="R51" s="5">
        <f t="shared" si="170"/>
        <v>-2.2291492240436326</v>
      </c>
      <c r="S51" s="5">
        <f t="shared" si="170"/>
        <v>-4.3691324791255202</v>
      </c>
      <c r="T51" s="5">
        <f t="shared" si="170"/>
        <v>-6.4235164040041308</v>
      </c>
      <c r="U51" s="5">
        <f t="shared" si="170"/>
        <v>-8.3957249718875975</v>
      </c>
      <c r="V51" s="5">
        <f t="shared" si="170"/>
        <v>-10.289045197055726</v>
      </c>
      <c r="W51" s="5">
        <f t="shared" si="170"/>
        <v>-12.106632613217128</v>
      </c>
      <c r="X51" s="5">
        <f t="shared" si="170"/>
        <v>-13.851516532732076</v>
      </c>
      <c r="Y51" s="5">
        <f t="shared" si="170"/>
        <v>-15.526605095466426</v>
      </c>
      <c r="Z51" s="5">
        <f t="shared" si="170"/>
        <v>-17.134690115691399</v>
      </c>
      <c r="AA51" s="5">
        <f t="shared" si="170"/>
        <v>-18.678451735107373</v>
      </c>
      <c r="AB51" s="5">
        <f t="shared" si="170"/>
        <v>-20.160462889746711</v>
      </c>
      <c r="AC51" s="383">
        <f t="shared" si="87"/>
        <v>-129.16492725807774</v>
      </c>
      <c r="AD51" s="5">
        <f t="shared" ref="AD51:AO51" si="171">AD78*AD13</f>
        <v>0</v>
      </c>
      <c r="AE51" s="5">
        <f t="shared" si="171"/>
        <v>-4.2498633414398208</v>
      </c>
      <c r="AF51" s="5">
        <f t="shared" si="171"/>
        <v>-8.3297321492220497</v>
      </c>
      <c r="AG51" s="5">
        <f t="shared" si="171"/>
        <v>-12.24640620469299</v>
      </c>
      <c r="AH51" s="5">
        <f t="shared" si="171"/>
        <v>-16.006413297945091</v>
      </c>
      <c r="AI51" s="5">
        <f t="shared" si="171"/>
        <v>-19.616020107467108</v>
      </c>
      <c r="AJ51" s="5">
        <f t="shared" si="171"/>
        <v>-23.081242644608242</v>
      </c>
      <c r="AK51" s="5">
        <f t="shared" si="171"/>
        <v>-26.407856280263729</v>
      </c>
      <c r="AL51" s="5">
        <f t="shared" si="171"/>
        <v>-29.601405370493008</v>
      </c>
      <c r="AM51" s="5">
        <f t="shared" si="171"/>
        <v>-32.667212497113113</v>
      </c>
      <c r="AN51" s="5">
        <f t="shared" si="171"/>
        <v>-35.61038733866841</v>
      </c>
      <c r="AO51" s="5">
        <f t="shared" si="171"/>
        <v>-38.435835186561498</v>
      </c>
      <c r="AP51" s="383">
        <f t="shared" si="89"/>
        <v>-246.25237441847503</v>
      </c>
      <c r="AQ51" s="5">
        <f t="shared" ref="AQ51:BB51" si="172">AQ78*AQ13</f>
        <v>0</v>
      </c>
      <c r="AR51" s="5">
        <f t="shared" si="172"/>
        <v>-6.5570355339118747</v>
      </c>
      <c r="AS51" s="5">
        <f t="shared" si="172"/>
        <v>-12.851789646467276</v>
      </c>
      <c r="AT51" s="5">
        <f t="shared" si="172"/>
        <v>-18.894753594520459</v>
      </c>
      <c r="AU51" s="5">
        <f t="shared" si="172"/>
        <v>-24.695998984651514</v>
      </c>
      <c r="AV51" s="5">
        <f t="shared" si="172"/>
        <v>-30.265194559177328</v>
      </c>
      <c r="AW51" s="5">
        <f t="shared" si="172"/>
        <v>-35.611622310722112</v>
      </c>
      <c r="AX51" s="5">
        <f t="shared" si="172"/>
        <v>-40.744192952205097</v>
      </c>
      <c r="AY51" s="5">
        <f t="shared" si="172"/>
        <v>-45.671460768028766</v>
      </c>
      <c r="AZ51" s="5">
        <f t="shared" si="172"/>
        <v>-50.401637871219492</v>
      </c>
      <c r="BA51" s="5">
        <f t="shared" si="172"/>
        <v>-54.942607890282602</v>
      </c>
      <c r="BB51" s="5">
        <f t="shared" si="172"/>
        <v>-59.301939108583163</v>
      </c>
      <c r="BC51" s="383">
        <f t="shared" si="91"/>
        <v>-379.93823321976964</v>
      </c>
      <c r="BD51" s="5">
        <f t="shared" ref="BD51:BO51" si="173">BD78*BD13</f>
        <v>0</v>
      </c>
      <c r="BE51" s="5">
        <f t="shared" si="173"/>
        <v>-8.2333729317757633</v>
      </c>
      <c r="BF51" s="5">
        <f t="shared" si="173"/>
        <v>-16.137410946280497</v>
      </c>
      <c r="BG51" s="5">
        <f t="shared" si="173"/>
        <v>-23.725287440205044</v>
      </c>
      <c r="BH51" s="5">
        <f t="shared" si="173"/>
        <v>-31.009648874372605</v>
      </c>
      <c r="BI51" s="5">
        <f t="shared" si="173"/>
        <v>-38.002635851173466</v>
      </c>
      <c r="BJ51" s="5">
        <f t="shared" si="173"/>
        <v>-44.715903348902295</v>
      </c>
      <c r="BK51" s="5">
        <f t="shared" si="173"/>
        <v>-51.16064014672196</v>
      </c>
      <c r="BL51" s="5">
        <f t="shared" si="173"/>
        <v>-57.347587472628845</v>
      </c>
      <c r="BM51" s="5">
        <f t="shared" si="173"/>
        <v>-63.287056905499469</v>
      </c>
      <c r="BN51" s="5">
        <f t="shared" si="173"/>
        <v>-68.988947561055255</v>
      </c>
      <c r="BO51" s="5">
        <f t="shared" si="173"/>
        <v>-74.462762590388806</v>
      </c>
      <c r="BP51" s="383">
        <f t="shared" si="93"/>
        <v>-477.071254069004</v>
      </c>
      <c r="CF51" s="297" t="s">
        <v>997</v>
      </c>
      <c r="CG51" s="12" t="s">
        <v>965</v>
      </c>
    </row>
    <row r="52" spans="1:85" s="5" customFormat="1" outlineLevel="1">
      <c r="A52" s="297" t="s">
        <v>630</v>
      </c>
      <c r="B52" s="12" t="s">
        <v>502</v>
      </c>
      <c r="D52" s="5">
        <f t="shared" ref="D52:O52" si="174">-D15*D79</f>
        <v>0</v>
      </c>
      <c r="E52" s="5">
        <f t="shared" si="174"/>
        <v>0</v>
      </c>
      <c r="F52" s="5">
        <f t="shared" si="174"/>
        <v>0</v>
      </c>
      <c r="G52" s="5">
        <f t="shared" si="174"/>
        <v>0</v>
      </c>
      <c r="H52" s="5">
        <f t="shared" si="174"/>
        <v>0</v>
      </c>
      <c r="I52" s="5">
        <f t="shared" si="174"/>
        <v>0</v>
      </c>
      <c r="J52" s="5">
        <f t="shared" si="174"/>
        <v>-0.15258302306061583</v>
      </c>
      <c r="K52" s="5">
        <f t="shared" si="174"/>
        <v>-0.299062725198807</v>
      </c>
      <c r="L52" s="5">
        <f t="shared" si="174"/>
        <v>-0.43968323925147051</v>
      </c>
      <c r="M52" s="5">
        <f t="shared" si="174"/>
        <v>-0.57467893274202742</v>
      </c>
      <c r="N52" s="5">
        <f t="shared" si="174"/>
        <v>-0.70427479849296215</v>
      </c>
      <c r="O52" s="5">
        <f t="shared" si="174"/>
        <v>-1.7441849679775547</v>
      </c>
      <c r="P52" s="383">
        <f t="shared" si="85"/>
        <v>-3.9144676867234378</v>
      </c>
      <c r="Q52" s="5">
        <f t="shared" ref="Q52:AB52" si="175">-Q15*Q79</f>
        <v>-0.55728730601090815</v>
      </c>
      <c r="R52" s="5">
        <f t="shared" si="175"/>
        <v>-1.09228311978138</v>
      </c>
      <c r="S52" s="5">
        <f t="shared" si="175"/>
        <v>-1.6058791010010327</v>
      </c>
      <c r="T52" s="5">
        <f t="shared" si="175"/>
        <v>-2.0989312429718994</v>
      </c>
      <c r="U52" s="5">
        <f t="shared" si="175"/>
        <v>-2.5722612992639311</v>
      </c>
      <c r="V52" s="5">
        <f t="shared" si="175"/>
        <v>-3.026658153304282</v>
      </c>
      <c r="W52" s="5">
        <f t="shared" si="175"/>
        <v>-3.4628791331830189</v>
      </c>
      <c r="X52" s="5">
        <f t="shared" si="175"/>
        <v>-3.8816512738666065</v>
      </c>
      <c r="Y52" s="5">
        <f t="shared" si="175"/>
        <v>-4.2836725289228497</v>
      </c>
      <c r="Z52" s="5">
        <f t="shared" si="175"/>
        <v>-4.6696129337768433</v>
      </c>
      <c r="AA52" s="5">
        <f t="shared" si="175"/>
        <v>-5.0401157224366777</v>
      </c>
      <c r="AB52" s="5">
        <f t="shared" si="175"/>
        <v>-5.3957983995501184</v>
      </c>
      <c r="AC52" s="383">
        <f t="shared" si="87"/>
        <v>-37.687030214069551</v>
      </c>
      <c r="AD52" s="5">
        <f t="shared" ref="AD52:AO52" si="176">-AD15*AD79</f>
        <v>-1.0624658353599552</v>
      </c>
      <c r="AE52" s="5">
        <f t="shared" si="176"/>
        <v>-2.0824330373055124</v>
      </c>
      <c r="AF52" s="5">
        <f t="shared" si="176"/>
        <v>-3.0616015511732475</v>
      </c>
      <c r="AG52" s="5">
        <f t="shared" si="176"/>
        <v>-4.0016033244862728</v>
      </c>
      <c r="AH52" s="5">
        <f t="shared" si="176"/>
        <v>-4.904005026866777</v>
      </c>
      <c r="AI52" s="5">
        <f t="shared" si="176"/>
        <v>-5.7703106611520605</v>
      </c>
      <c r="AJ52" s="5">
        <f t="shared" si="176"/>
        <v>-6.6019640700659323</v>
      </c>
      <c r="AK52" s="5">
        <f t="shared" si="176"/>
        <v>-7.4003513426232521</v>
      </c>
      <c r="AL52" s="5">
        <f t="shared" si="176"/>
        <v>-8.1668031242782781</v>
      </c>
      <c r="AM52" s="5">
        <f t="shared" si="176"/>
        <v>-8.9025968346671025</v>
      </c>
      <c r="AN52" s="5">
        <f t="shared" si="176"/>
        <v>-9.6089587966403744</v>
      </c>
      <c r="AO52" s="5">
        <f t="shared" si="176"/>
        <v>-10.287066280134715</v>
      </c>
      <c r="AP52" s="383">
        <f t="shared" si="89"/>
        <v>-71.850159884753467</v>
      </c>
      <c r="AQ52" s="5">
        <f t="shared" ref="AQ52:BB52" si="177">-AQ15*AQ79</f>
        <v>-1.6392588834779687</v>
      </c>
      <c r="AR52" s="5">
        <f t="shared" si="177"/>
        <v>-3.2129474116168186</v>
      </c>
      <c r="AS52" s="5">
        <f t="shared" si="177"/>
        <v>-4.7236883986301148</v>
      </c>
      <c r="AT52" s="5">
        <f t="shared" si="177"/>
        <v>-6.1739997461628793</v>
      </c>
      <c r="AU52" s="5">
        <f t="shared" si="177"/>
        <v>-7.5662986397943319</v>
      </c>
      <c r="AV52" s="5">
        <f t="shared" si="177"/>
        <v>-8.9029055776805279</v>
      </c>
      <c r="AW52" s="5">
        <f t="shared" si="177"/>
        <v>-10.186048238051274</v>
      </c>
      <c r="AX52" s="5">
        <f t="shared" si="177"/>
        <v>-11.417865192007193</v>
      </c>
      <c r="AY52" s="5">
        <f t="shared" si="177"/>
        <v>-12.600409467804873</v>
      </c>
      <c r="AZ52" s="5">
        <f t="shared" si="177"/>
        <v>-13.735651972570649</v>
      </c>
      <c r="BA52" s="5">
        <f t="shared" si="177"/>
        <v>-14.825484777145792</v>
      </c>
      <c r="BB52" s="5">
        <f t="shared" si="177"/>
        <v>-15.871724269537932</v>
      </c>
      <c r="BC52" s="383">
        <f t="shared" si="91"/>
        <v>-110.85628257448035</v>
      </c>
      <c r="BD52" s="5">
        <f t="shared" ref="BD52:BO52" si="178">-BD15*BD79</f>
        <v>-2.0583432329439408</v>
      </c>
      <c r="BE52" s="5">
        <f t="shared" si="178"/>
        <v>-4.0343527365701242</v>
      </c>
      <c r="BF52" s="5">
        <f t="shared" si="178"/>
        <v>-5.9313218600512609</v>
      </c>
      <c r="BG52" s="5">
        <f t="shared" si="178"/>
        <v>-7.7524122185931512</v>
      </c>
      <c r="BH52" s="5">
        <f t="shared" si="178"/>
        <v>-9.5006589627933664</v>
      </c>
      <c r="BI52" s="5">
        <f t="shared" si="178"/>
        <v>-11.178975837225574</v>
      </c>
      <c r="BJ52" s="5">
        <f t="shared" si="178"/>
        <v>-12.79016003668049</v>
      </c>
      <c r="BK52" s="5">
        <f t="shared" si="178"/>
        <v>-14.336896868157213</v>
      </c>
      <c r="BL52" s="5">
        <f t="shared" si="178"/>
        <v>-15.821764226374865</v>
      </c>
      <c r="BM52" s="5">
        <f t="shared" si="178"/>
        <v>-17.247236890263814</v>
      </c>
      <c r="BN52" s="5">
        <f t="shared" si="178"/>
        <v>-18.615690647597201</v>
      </c>
      <c r="BO52" s="5">
        <f t="shared" si="178"/>
        <v>-19.92940625463725</v>
      </c>
      <c r="BP52" s="383">
        <f t="shared" si="93"/>
        <v>-139.19721977188826</v>
      </c>
      <c r="CF52" s="297" t="s">
        <v>998</v>
      </c>
      <c r="CG52" s="12" t="s">
        <v>965</v>
      </c>
    </row>
    <row r="53" spans="1:85" s="5" customFormat="1" outlineLevel="1">
      <c r="A53" s="297" t="s">
        <v>629</v>
      </c>
      <c r="B53" s="12" t="s">
        <v>502</v>
      </c>
      <c r="D53" s="5">
        <f t="shared" ref="D53:O53" si="179">D13*D80</f>
        <v>0</v>
      </c>
      <c r="E53" s="5">
        <f t="shared" si="179"/>
        <v>0</v>
      </c>
      <c r="F53" s="5">
        <f t="shared" si="179"/>
        <v>0</v>
      </c>
      <c r="G53" s="5">
        <f t="shared" si="179"/>
        <v>0</v>
      </c>
      <c r="H53" s="5">
        <f t="shared" si="179"/>
        <v>0</v>
      </c>
      <c r="I53" s="5">
        <f t="shared" si="179"/>
        <v>0</v>
      </c>
      <c r="J53" s="5">
        <f t="shared" si="179"/>
        <v>0</v>
      </c>
      <c r="K53" s="5">
        <f t="shared" si="179"/>
        <v>-0.61033209224246332</v>
      </c>
      <c r="L53" s="5">
        <f t="shared" si="179"/>
        <v>-1.196250900795228</v>
      </c>
      <c r="M53" s="5">
        <f t="shared" si="179"/>
        <v>-1.7587329570058823</v>
      </c>
      <c r="N53" s="5">
        <f t="shared" si="179"/>
        <v>-2.2987157309681097</v>
      </c>
      <c r="O53" s="5">
        <f t="shared" si="179"/>
        <v>-2.8170991939718486</v>
      </c>
      <c r="P53" s="383">
        <f t="shared" si="85"/>
        <v>-8.6811308749835323</v>
      </c>
      <c r="Q53" s="5">
        <f t="shared" ref="Q53:AB53" si="180">Q13*Q80</f>
        <v>0</v>
      </c>
      <c r="R53" s="5">
        <f t="shared" si="180"/>
        <v>-2.2291492240436326</v>
      </c>
      <c r="S53" s="5">
        <f t="shared" si="180"/>
        <v>-4.3691324791255202</v>
      </c>
      <c r="T53" s="5">
        <f t="shared" si="180"/>
        <v>-6.4235164040041308</v>
      </c>
      <c r="U53" s="5">
        <f t="shared" si="180"/>
        <v>-8.3957249718875975</v>
      </c>
      <c r="V53" s="5">
        <f t="shared" si="180"/>
        <v>-10.289045197055726</v>
      </c>
      <c r="W53" s="5">
        <f t="shared" si="180"/>
        <v>-12.106632613217128</v>
      </c>
      <c r="X53" s="5">
        <f t="shared" si="180"/>
        <v>-13.851516532732076</v>
      </c>
      <c r="Y53" s="5">
        <f t="shared" si="180"/>
        <v>-15.526605095466426</v>
      </c>
      <c r="Z53" s="5">
        <f t="shared" si="180"/>
        <v>-17.134690115691399</v>
      </c>
      <c r="AA53" s="5">
        <f t="shared" si="180"/>
        <v>-18.678451735107373</v>
      </c>
      <c r="AB53" s="5">
        <f t="shared" si="180"/>
        <v>-20.160462889746711</v>
      </c>
      <c r="AC53" s="383">
        <f t="shared" si="87"/>
        <v>-129.16492725807774</v>
      </c>
      <c r="AD53" s="5">
        <f t="shared" ref="AD53:AO53" si="181">AD13*AD80</f>
        <v>0</v>
      </c>
      <c r="AE53" s="5">
        <f t="shared" si="181"/>
        <v>-4.2498633414398208</v>
      </c>
      <c r="AF53" s="5">
        <f t="shared" si="181"/>
        <v>-8.3297321492220497</v>
      </c>
      <c r="AG53" s="5">
        <f t="shared" si="181"/>
        <v>-12.24640620469299</v>
      </c>
      <c r="AH53" s="5">
        <f t="shared" si="181"/>
        <v>-16.006413297945091</v>
      </c>
      <c r="AI53" s="5">
        <f t="shared" si="181"/>
        <v>-19.616020107467108</v>
      </c>
      <c r="AJ53" s="5">
        <f t="shared" si="181"/>
        <v>-23.081242644608242</v>
      </c>
      <c r="AK53" s="5">
        <f t="shared" si="181"/>
        <v>-26.407856280263729</v>
      </c>
      <c r="AL53" s="5">
        <f t="shared" si="181"/>
        <v>-29.601405370493008</v>
      </c>
      <c r="AM53" s="5">
        <f t="shared" si="181"/>
        <v>-32.667212497113113</v>
      </c>
      <c r="AN53" s="5">
        <f t="shared" si="181"/>
        <v>-35.61038733866841</v>
      </c>
      <c r="AO53" s="5">
        <f t="shared" si="181"/>
        <v>-38.435835186561498</v>
      </c>
      <c r="AP53" s="383">
        <f t="shared" si="89"/>
        <v>-246.25237441847503</v>
      </c>
      <c r="AQ53" s="5">
        <f t="shared" ref="AQ53:BB53" si="182">AQ13*AQ80</f>
        <v>0</v>
      </c>
      <c r="AR53" s="5">
        <f t="shared" si="182"/>
        <v>-6.5570355339118747</v>
      </c>
      <c r="AS53" s="5">
        <f t="shared" si="182"/>
        <v>-12.851789646467276</v>
      </c>
      <c r="AT53" s="5">
        <f t="shared" si="182"/>
        <v>-18.894753594520459</v>
      </c>
      <c r="AU53" s="5">
        <f t="shared" si="182"/>
        <v>-24.695998984651514</v>
      </c>
      <c r="AV53" s="5">
        <f t="shared" si="182"/>
        <v>-30.265194559177328</v>
      </c>
      <c r="AW53" s="5">
        <f t="shared" si="182"/>
        <v>-35.611622310722112</v>
      </c>
      <c r="AX53" s="5">
        <f t="shared" si="182"/>
        <v>-40.744192952205097</v>
      </c>
      <c r="AY53" s="5">
        <f t="shared" si="182"/>
        <v>-45.671460768028766</v>
      </c>
      <c r="AZ53" s="5">
        <f t="shared" si="182"/>
        <v>-50.401637871219492</v>
      </c>
      <c r="BA53" s="5">
        <f t="shared" si="182"/>
        <v>-54.942607890282602</v>
      </c>
      <c r="BB53" s="5">
        <f t="shared" si="182"/>
        <v>-59.301939108583163</v>
      </c>
      <c r="BC53" s="383">
        <f t="shared" si="91"/>
        <v>-379.93823321976964</v>
      </c>
      <c r="BD53" s="5">
        <f t="shared" ref="BD53:BO53" si="183">BD13*BD80</f>
        <v>0</v>
      </c>
      <c r="BE53" s="5">
        <f t="shared" si="183"/>
        <v>-8.2333729317757633</v>
      </c>
      <c r="BF53" s="5">
        <f t="shared" si="183"/>
        <v>-16.137410946280497</v>
      </c>
      <c r="BG53" s="5">
        <f t="shared" si="183"/>
        <v>-23.725287440205044</v>
      </c>
      <c r="BH53" s="5">
        <f t="shared" si="183"/>
        <v>-31.009648874372605</v>
      </c>
      <c r="BI53" s="5">
        <f t="shared" si="183"/>
        <v>-38.002635851173466</v>
      </c>
      <c r="BJ53" s="5">
        <f t="shared" si="183"/>
        <v>-44.715903348902295</v>
      </c>
      <c r="BK53" s="5">
        <f t="shared" si="183"/>
        <v>-51.16064014672196</v>
      </c>
      <c r="BL53" s="5">
        <f t="shared" si="183"/>
        <v>-57.347587472628845</v>
      </c>
      <c r="BM53" s="5">
        <f t="shared" si="183"/>
        <v>-63.287056905499469</v>
      </c>
      <c r="BN53" s="5">
        <f t="shared" si="183"/>
        <v>-68.988947561055255</v>
      </c>
      <c r="BO53" s="5">
        <f t="shared" si="183"/>
        <v>-74.462762590388806</v>
      </c>
      <c r="BP53" s="383">
        <f t="shared" si="93"/>
        <v>-477.071254069004</v>
      </c>
      <c r="CF53" s="297" t="s">
        <v>996</v>
      </c>
      <c r="CG53" s="12" t="s">
        <v>965</v>
      </c>
    </row>
    <row r="54" spans="1:85" s="5" customFormat="1" outlineLevel="1">
      <c r="A54" s="297" t="s">
        <v>536</v>
      </c>
      <c r="B54" s="12" t="s">
        <v>502</v>
      </c>
      <c r="D54" s="5">
        <f t="shared" ref="D54:O54" si="184">-D64*D4/1000000</f>
        <v>0</v>
      </c>
      <c r="E54" s="5">
        <f t="shared" si="184"/>
        <v>0</v>
      </c>
      <c r="F54" s="5">
        <f t="shared" si="184"/>
        <v>0</v>
      </c>
      <c r="G54" s="5">
        <f t="shared" si="184"/>
        <v>0</v>
      </c>
      <c r="H54" s="5">
        <f t="shared" si="184"/>
        <v>0</v>
      </c>
      <c r="I54" s="5">
        <f t="shared" si="184"/>
        <v>0</v>
      </c>
      <c r="J54" s="5">
        <f t="shared" si="184"/>
        <v>-4.7682194706442438</v>
      </c>
      <c r="K54" s="5">
        <f t="shared" si="184"/>
        <v>-4.7682194706442438</v>
      </c>
      <c r="L54" s="5">
        <f t="shared" si="184"/>
        <v>-4.7682194706442438</v>
      </c>
      <c r="M54" s="5">
        <f t="shared" si="184"/>
        <v>-4.7682194706442438</v>
      </c>
      <c r="N54" s="5">
        <f t="shared" si="184"/>
        <v>-4.7682194706442438</v>
      </c>
      <c r="O54" s="5">
        <f t="shared" si="184"/>
        <v>-33.377536294509717</v>
      </c>
      <c r="P54" s="383">
        <f t="shared" si="85"/>
        <v>-57.21863364773094</v>
      </c>
      <c r="Q54" s="5">
        <f t="shared" ref="Q54:AB54" si="185">-Q64*Q4/1000000</f>
        <v>-10.554683825964169</v>
      </c>
      <c r="R54" s="5">
        <f t="shared" si="185"/>
        <v>-10.554683825964169</v>
      </c>
      <c r="S54" s="5">
        <f t="shared" si="185"/>
        <v>-10.554683825964169</v>
      </c>
      <c r="T54" s="5">
        <f t="shared" si="185"/>
        <v>-10.554683825964169</v>
      </c>
      <c r="U54" s="5">
        <f t="shared" si="185"/>
        <v>-10.554683825964169</v>
      </c>
      <c r="V54" s="5">
        <f t="shared" si="185"/>
        <v>-10.554683825964169</v>
      </c>
      <c r="W54" s="5">
        <f t="shared" si="185"/>
        <v>-10.554683825964169</v>
      </c>
      <c r="X54" s="5">
        <f t="shared" si="185"/>
        <v>-10.554683825964169</v>
      </c>
      <c r="Y54" s="5">
        <f t="shared" si="185"/>
        <v>-10.554683825964169</v>
      </c>
      <c r="Z54" s="5">
        <f t="shared" si="185"/>
        <v>-10.554683825964169</v>
      </c>
      <c r="AA54" s="5">
        <f t="shared" si="185"/>
        <v>-10.554683825964169</v>
      </c>
      <c r="AB54" s="5">
        <f t="shared" si="185"/>
        <v>-10.554683825964162</v>
      </c>
      <c r="AC54" s="383">
        <f t="shared" si="87"/>
        <v>-126.65620591157</v>
      </c>
      <c r="AD54" s="5">
        <f t="shared" ref="AD54:AO54" si="186">-AD64*AD4/1000000</f>
        <v>-15.679838184178793</v>
      </c>
      <c r="AE54" s="5">
        <f t="shared" si="186"/>
        <v>-15.679838184178793</v>
      </c>
      <c r="AF54" s="5">
        <f t="shared" si="186"/>
        <v>-15.679838184178793</v>
      </c>
      <c r="AG54" s="5">
        <f t="shared" si="186"/>
        <v>-15.679838184178793</v>
      </c>
      <c r="AH54" s="5">
        <f t="shared" si="186"/>
        <v>-15.679838184178793</v>
      </c>
      <c r="AI54" s="5">
        <f t="shared" si="186"/>
        <v>-15.679838184178793</v>
      </c>
      <c r="AJ54" s="5">
        <f t="shared" si="186"/>
        <v>-15.679838184178793</v>
      </c>
      <c r="AK54" s="5">
        <f t="shared" si="186"/>
        <v>-15.679838184178793</v>
      </c>
      <c r="AL54" s="5">
        <f t="shared" si="186"/>
        <v>-15.679838184178793</v>
      </c>
      <c r="AM54" s="5">
        <f t="shared" si="186"/>
        <v>-15.679838184178793</v>
      </c>
      <c r="AN54" s="5">
        <f t="shared" si="186"/>
        <v>-15.679838184178793</v>
      </c>
      <c r="AO54" s="5">
        <f t="shared" si="186"/>
        <v>-15.679838184178781</v>
      </c>
      <c r="AP54" s="383">
        <f t="shared" si="89"/>
        <v>-188.15805821014553</v>
      </c>
      <c r="AQ54" s="5">
        <f t="shared" ref="AQ54:BB54" si="187">-AQ64*AQ4/1000000</f>
        <v>-21.992847529757011</v>
      </c>
      <c r="AR54" s="5">
        <f t="shared" si="187"/>
        <v>-21.992847529757011</v>
      </c>
      <c r="AS54" s="5">
        <f t="shared" si="187"/>
        <v>-21.992847529757011</v>
      </c>
      <c r="AT54" s="5">
        <f t="shared" si="187"/>
        <v>-21.992847529757011</v>
      </c>
      <c r="AU54" s="5">
        <f t="shared" si="187"/>
        <v>-21.992847529757011</v>
      </c>
      <c r="AV54" s="5">
        <f t="shared" si="187"/>
        <v>-21.992847529757011</v>
      </c>
      <c r="AW54" s="5">
        <f t="shared" si="187"/>
        <v>-21.992847529757011</v>
      </c>
      <c r="AX54" s="5">
        <f t="shared" si="187"/>
        <v>-21.992847529757011</v>
      </c>
      <c r="AY54" s="5">
        <f t="shared" si="187"/>
        <v>-21.992847529757011</v>
      </c>
      <c r="AZ54" s="5">
        <f t="shared" si="187"/>
        <v>-21.992847529757011</v>
      </c>
      <c r="BA54" s="5">
        <f t="shared" si="187"/>
        <v>-21.992847529757011</v>
      </c>
      <c r="BB54" s="5">
        <f t="shared" si="187"/>
        <v>-21.992847529756993</v>
      </c>
      <c r="BC54" s="383">
        <f t="shared" si="91"/>
        <v>-263.91417035708406</v>
      </c>
      <c r="BD54" s="5">
        <f t="shared" ref="BD54:BO54" si="188">-BD64*BD4/1000000</f>
        <v>-25.10493078322056</v>
      </c>
      <c r="BE54" s="5">
        <f t="shared" si="188"/>
        <v>-25.10493078322056</v>
      </c>
      <c r="BF54" s="5">
        <f t="shared" si="188"/>
        <v>-25.10493078322056</v>
      </c>
      <c r="BG54" s="5">
        <f t="shared" si="188"/>
        <v>-25.10493078322056</v>
      </c>
      <c r="BH54" s="5">
        <f t="shared" si="188"/>
        <v>-25.10493078322056</v>
      </c>
      <c r="BI54" s="5">
        <f t="shared" si="188"/>
        <v>-25.10493078322056</v>
      </c>
      <c r="BJ54" s="5">
        <f t="shared" si="188"/>
        <v>-25.10493078322056</v>
      </c>
      <c r="BK54" s="5">
        <f t="shared" si="188"/>
        <v>-25.10493078322056</v>
      </c>
      <c r="BL54" s="5">
        <f t="shared" si="188"/>
        <v>-25.10493078322056</v>
      </c>
      <c r="BM54" s="5">
        <f t="shared" si="188"/>
        <v>-25.10493078322056</v>
      </c>
      <c r="BN54" s="5">
        <f t="shared" si="188"/>
        <v>-25.10493078322056</v>
      </c>
      <c r="BO54" s="5">
        <f t="shared" si="188"/>
        <v>-25.104930783220542</v>
      </c>
      <c r="BP54" s="383">
        <f t="shared" si="93"/>
        <v>-301.25916939864675</v>
      </c>
      <c r="CF54" s="297" t="s">
        <v>1040</v>
      </c>
      <c r="CG54" s="12" t="s">
        <v>965</v>
      </c>
    </row>
    <row r="55" spans="1:85" s="3" customFormat="1">
      <c r="A55" s="296" t="s">
        <v>537</v>
      </c>
      <c r="B55" s="12" t="s">
        <v>502</v>
      </c>
      <c r="C55" s="5"/>
      <c r="P55" s="397">
        <f t="shared" si="85"/>
        <v>0</v>
      </c>
      <c r="AC55" s="397">
        <f t="shared" si="87"/>
        <v>0</v>
      </c>
      <c r="AP55" s="397">
        <f t="shared" si="89"/>
        <v>0</v>
      </c>
      <c r="BC55" s="397">
        <f t="shared" si="91"/>
        <v>0</v>
      </c>
      <c r="BP55" s="397">
        <f t="shared" si="93"/>
        <v>0</v>
      </c>
      <c r="CF55" s="296" t="s">
        <v>1039</v>
      </c>
      <c r="CG55" s="12" t="s">
        <v>965</v>
      </c>
    </row>
    <row r="56" spans="1:85" s="3" customFormat="1">
      <c r="A56" s="296" t="s">
        <v>538</v>
      </c>
      <c r="B56" s="12" t="s">
        <v>502</v>
      </c>
      <c r="C56" s="5"/>
      <c r="P56" s="397">
        <f t="shared" si="85"/>
        <v>0</v>
      </c>
      <c r="AC56" s="397">
        <f t="shared" si="87"/>
        <v>0</v>
      </c>
      <c r="AP56" s="397">
        <f t="shared" si="89"/>
        <v>0</v>
      </c>
      <c r="BC56" s="397">
        <f t="shared" si="91"/>
        <v>0</v>
      </c>
      <c r="BP56" s="397">
        <f t="shared" si="93"/>
        <v>0</v>
      </c>
      <c r="CF56" s="296" t="s">
        <v>859</v>
      </c>
      <c r="CG56" s="12" t="s">
        <v>965</v>
      </c>
    </row>
    <row r="57" spans="1:85" s="63" customFormat="1">
      <c r="A57" s="298" t="s">
        <v>677</v>
      </c>
      <c r="B57" s="12" t="s">
        <v>502</v>
      </c>
      <c r="C57" s="299"/>
      <c r="D57" s="63">
        <f t="shared" ref="D57:O57" si="189">D45+D46+D55+D56</f>
        <v>0</v>
      </c>
      <c r="E57" s="63">
        <f t="shared" si="189"/>
        <v>0</v>
      </c>
      <c r="F57" s="63">
        <f t="shared" si="189"/>
        <v>0</v>
      </c>
      <c r="G57" s="63">
        <f t="shared" si="189"/>
        <v>0</v>
      </c>
      <c r="H57" s="63">
        <f t="shared" si="189"/>
        <v>0</v>
      </c>
      <c r="I57" s="63">
        <f t="shared" si="189"/>
        <v>0</v>
      </c>
      <c r="J57" s="63">
        <f>J45+J46+J55+J56</f>
        <v>-12.831469324282487</v>
      </c>
      <c r="K57" s="63">
        <f t="shared" si="189"/>
        <v>-14.239627527504298</v>
      </c>
      <c r="L57" s="63">
        <f t="shared" si="189"/>
        <v>-15.591459402597236</v>
      </c>
      <c r="M57" s="63">
        <f t="shared" si="189"/>
        <v>-16.889218002686459</v>
      </c>
      <c r="N57" s="63">
        <f t="shared" si="189"/>
        <v>-18.13506625877211</v>
      </c>
      <c r="O57" s="63">
        <f t="shared" si="189"/>
        <v>-96.319896530309279</v>
      </c>
      <c r="P57" s="419">
        <f t="shared" si="85"/>
        <v>-174.00673704615187</v>
      </c>
      <c r="Q57" s="63">
        <f t="shared" ref="Q57:AB57" si="190">Q45+Q46+Q55+Q56</f>
        <v>-28.997516156100925</v>
      </c>
      <c r="R57" s="63">
        <f t="shared" si="190"/>
        <v>-34.126991170554774</v>
      </c>
      <c r="S57" s="63">
        <f t="shared" si="190"/>
        <v>-39.051287184430485</v>
      </c>
      <c r="T57" s="63">
        <f t="shared" si="190"/>
        <v>-43.77861135775116</v>
      </c>
      <c r="U57" s="63">
        <f t="shared" si="190"/>
        <v>-48.316842564139002</v>
      </c>
      <c r="V57" s="63">
        <f t="shared" si="190"/>
        <v>-52.673544522271335</v>
      </c>
      <c r="W57" s="63">
        <f t="shared" si="190"/>
        <v>-56.855978402078371</v>
      </c>
      <c r="X57" s="63">
        <f t="shared" si="190"/>
        <v>-60.871114926693139</v>
      </c>
      <c r="Y57" s="63">
        <f t="shared" si="190"/>
        <v>-64.725645990323301</v>
      </c>
      <c r="Z57" s="63">
        <f t="shared" si="190"/>
        <v>-68.425995811408256</v>
      </c>
      <c r="AA57" s="63">
        <f t="shared" si="190"/>
        <v>-71.978331639649809</v>
      </c>
      <c r="AB57" s="63">
        <f t="shared" si="190"/>
        <v>-75.388574034761689</v>
      </c>
      <c r="AC57" s="419">
        <f t="shared" si="87"/>
        <v>-645.19043376016225</v>
      </c>
      <c r="AD57" s="63">
        <f t="shared" ref="AD57:AO57" si="191">AD45+AD46+AD55+AD56</f>
        <v>-43.591204539071782</v>
      </c>
      <c r="AE57" s="63">
        <f t="shared" si="191"/>
        <v>-53.346923892115782</v>
      </c>
      <c r="AF57" s="63">
        <f t="shared" si="191"/>
        <v>-62.712414471038031</v>
      </c>
      <c r="AG57" s="63">
        <f t="shared" si="191"/>
        <v>-71.70328542680339</v>
      </c>
      <c r="AH57" s="63">
        <f t="shared" si="191"/>
        <v>-80.334521544338131</v>
      </c>
      <c r="AI57" s="63">
        <f t="shared" si="191"/>
        <v>-88.620508217171491</v>
      </c>
      <c r="AJ57" s="63">
        <f t="shared" si="191"/>
        <v>-96.575055423091484</v>
      </c>
      <c r="AK57" s="63">
        <f t="shared" si="191"/>
        <v>-104.2114207407747</v>
      </c>
      <c r="AL57" s="63">
        <f t="shared" si="191"/>
        <v>-111.54233144575061</v>
      </c>
      <c r="AM57" s="63">
        <f t="shared" si="191"/>
        <v>-118.58000572252747</v>
      </c>
      <c r="AN57" s="63">
        <f t="shared" si="191"/>
        <v>-125.33617302823326</v>
      </c>
      <c r="AO57" s="63">
        <f t="shared" si="191"/>
        <v>-131.82209364171075</v>
      </c>
      <c r="AP57" s="419">
        <f t="shared" si="89"/>
        <v>-1088.3759380926269</v>
      </c>
      <c r="AQ57" s="63">
        <f t="shared" ref="AQ57:BB57" si="192">AQ45+AQ46+AQ55+AQ56</f>
        <v>-61.290899095388511</v>
      </c>
      <c r="AR57" s="63">
        <f t="shared" si="192"/>
        <v>-76.309712626647027</v>
      </c>
      <c r="AS57" s="63">
        <f t="shared" si="192"/>
        <v>-90.727773616655227</v>
      </c>
      <c r="AT57" s="63">
        <f t="shared" si="192"/>
        <v>-104.56911216706307</v>
      </c>
      <c r="AU57" s="63">
        <f t="shared" si="192"/>
        <v>-117.8567971754546</v>
      </c>
      <c r="AV57" s="63">
        <f t="shared" si="192"/>
        <v>-130.61297478351048</v>
      </c>
      <c r="AW57" s="63">
        <f t="shared" si="192"/>
        <v>-142.85890528724414</v>
      </c>
      <c r="AX57" s="63">
        <f t="shared" si="192"/>
        <v>-154.61499857082842</v>
      </c>
      <c r="AY57" s="63">
        <f t="shared" si="192"/>
        <v>-165.90084812306935</v>
      </c>
      <c r="AZ57" s="63">
        <f t="shared" si="192"/>
        <v>-176.73526369322065</v>
      </c>
      <c r="BA57" s="63">
        <f t="shared" si="192"/>
        <v>-187.1363026405659</v>
      </c>
      <c r="BB57" s="63">
        <f t="shared" si="192"/>
        <v>-197.1213000300173</v>
      </c>
      <c r="BC57" s="419">
        <f t="shared" si="91"/>
        <v>-1605.7348878096648</v>
      </c>
      <c r="BD57" s="63">
        <f t="shared" ref="BD57:BO57" si="193">BD45+BD46+BD55+BD56</f>
        <v>-70.150949094888716</v>
      </c>
      <c r="BE57" s="63">
        <f t="shared" si="193"/>
        <v>-88.971603964160096</v>
      </c>
      <c r="BF57" s="63">
        <f t="shared" si="193"/>
        <v>-107.03943263866063</v>
      </c>
      <c r="BG57" s="63">
        <f t="shared" si="193"/>
        <v>-124.38454816618113</v>
      </c>
      <c r="BH57" s="63">
        <f t="shared" si="193"/>
        <v>-141.0358590726008</v>
      </c>
      <c r="BI57" s="63">
        <f t="shared" si="193"/>
        <v>-157.0211175427637</v>
      </c>
      <c r="BJ57" s="63">
        <f t="shared" si="193"/>
        <v>-172.36696567412008</v>
      </c>
      <c r="BK57" s="63">
        <f t="shared" si="193"/>
        <v>-187.09897988022217</v>
      </c>
      <c r="BL57" s="63">
        <f t="shared" si="193"/>
        <v>-201.24171351808022</v>
      </c>
      <c r="BM57" s="63">
        <f t="shared" si="193"/>
        <v>-214.81873781042398</v>
      </c>
      <c r="BN57" s="63">
        <f t="shared" si="193"/>
        <v>-227.85268113107392</v>
      </c>
      <c r="BO57" s="63">
        <f t="shared" si="193"/>
        <v>-240.36526671889783</v>
      </c>
      <c r="BP57" s="419">
        <f t="shared" si="93"/>
        <v>-1932.3478552120732</v>
      </c>
      <c r="CF57" s="298" t="s">
        <v>858</v>
      </c>
      <c r="CG57" s="12" t="s">
        <v>965</v>
      </c>
    </row>
    <row r="58" spans="1:85" s="301" customFormat="1" ht="15.6">
      <c r="A58" s="301" t="s">
        <v>539</v>
      </c>
      <c r="B58" s="12" t="s">
        <v>502</v>
      </c>
      <c r="C58" s="302"/>
      <c r="D58" s="301">
        <f t="shared" ref="D58:O58" si="194">D44+D57</f>
        <v>0</v>
      </c>
      <c r="E58" s="301">
        <f t="shared" si="194"/>
        <v>0</v>
      </c>
      <c r="F58" s="301">
        <f t="shared" si="194"/>
        <v>0</v>
      </c>
      <c r="G58" s="301">
        <f t="shared" si="194"/>
        <v>0</v>
      </c>
      <c r="H58" s="301">
        <f t="shared" si="194"/>
        <v>0</v>
      </c>
      <c r="I58" s="301">
        <f t="shared" si="194"/>
        <v>0</v>
      </c>
      <c r="J58" s="301">
        <f>J44+J57</f>
        <v>-8.3776475210177033</v>
      </c>
      <c r="K58" s="301">
        <f t="shared" si="194"/>
        <v>-6.1032597498701868</v>
      </c>
      <c r="L58" s="301">
        <f t="shared" si="194"/>
        <v>-0.8069587358148631</v>
      </c>
      <c r="M58" s="301">
        <f t="shared" si="194"/>
        <v>5.5455500812802931</v>
      </c>
      <c r="N58" s="301">
        <f t="shared" si="194"/>
        <v>10.130119781146288</v>
      </c>
      <c r="O58" s="301">
        <f t="shared" si="194"/>
        <v>-55.296106530916632</v>
      </c>
      <c r="P58" s="389">
        <f t="shared" si="85"/>
        <v>-54.9083026751928</v>
      </c>
      <c r="Q58" s="301">
        <f t="shared" ref="Q58:AB58" si="195">Q44+Q57</f>
        <v>18.904214159629209</v>
      </c>
      <c r="R58" s="301">
        <f t="shared" si="195"/>
        <v>-6.7827606889528909</v>
      </c>
      <c r="S58" s="301">
        <f t="shared" si="195"/>
        <v>19.982905280428064</v>
      </c>
      <c r="T58" s="301">
        <f t="shared" si="195"/>
        <v>38.964671787098098</v>
      </c>
      <c r="U58" s="301">
        <f t="shared" si="195"/>
        <v>63.689456707122851</v>
      </c>
      <c r="V58" s="301">
        <f t="shared" si="195"/>
        <v>79.988572009091286</v>
      </c>
      <c r="W58" s="301">
        <f t="shared" si="195"/>
        <v>105.38596975879383</v>
      </c>
      <c r="X58" s="301">
        <f t="shared" si="195"/>
        <v>125.51411656734535</v>
      </c>
      <c r="Y58" s="301">
        <f t="shared" si="195"/>
        <v>138.04890614746995</v>
      </c>
      <c r="Z58" s="301">
        <f t="shared" si="195"/>
        <v>164.39506628143474</v>
      </c>
      <c r="AA58" s="301">
        <f t="shared" si="195"/>
        <v>174.58276157456592</v>
      </c>
      <c r="AB58" s="301">
        <f t="shared" si="195"/>
        <v>201.52550115739507</v>
      </c>
      <c r="AC58" s="389">
        <f t="shared" si="87"/>
        <v>1124.1993807414215</v>
      </c>
      <c r="AD58" s="301">
        <f t="shared" ref="AD58:AO58" si="196">AD44+AD57</f>
        <v>114.56799491415904</v>
      </c>
      <c r="AE58" s="301">
        <f t="shared" si="196"/>
        <v>4.8160460026943994</v>
      </c>
      <c r="AF58" s="301">
        <f t="shared" si="196"/>
        <v>60.75828301475245</v>
      </c>
      <c r="AG58" s="301">
        <f t="shared" si="196"/>
        <v>100.5598602128335</v>
      </c>
      <c r="AH58" s="301">
        <f t="shared" si="196"/>
        <v>152.11417134665368</v>
      </c>
      <c r="AI58" s="301">
        <f t="shared" si="196"/>
        <v>186.23276779122017</v>
      </c>
      <c r="AJ58" s="301">
        <f t="shared" si="196"/>
        <v>239.00841449553411</v>
      </c>
      <c r="AK58" s="301">
        <f t="shared" si="196"/>
        <v>280.86215957321207</v>
      </c>
      <c r="AL58" s="301">
        <f t="shared" si="196"/>
        <v>307.03377770985014</v>
      </c>
      <c r="AM58" s="301">
        <f t="shared" si="196"/>
        <v>361.53558732331504</v>
      </c>
      <c r="AN58" s="301">
        <f t="shared" si="196"/>
        <v>382.76892643380495</v>
      </c>
      <c r="AO58" s="301">
        <f t="shared" si="196"/>
        <v>438.35837617988358</v>
      </c>
      <c r="AP58" s="389">
        <f t="shared" si="89"/>
        <v>2628.616364997913</v>
      </c>
      <c r="AQ58" s="301">
        <f t="shared" ref="AQ58:BB58" si="197">AQ44+AQ57</f>
        <v>262.55644339582176</v>
      </c>
      <c r="AR58" s="301">
        <f t="shared" si="197"/>
        <v>22.734458817099508</v>
      </c>
      <c r="AS58" s="301">
        <f t="shared" si="197"/>
        <v>116.62464249300338</v>
      </c>
      <c r="AT58" s="301">
        <f t="shared" si="197"/>
        <v>183.60501853741755</v>
      </c>
      <c r="AU58" s="301">
        <f t="shared" si="197"/>
        <v>269.95859732329927</v>
      </c>
      <c r="AV58" s="301">
        <f t="shared" si="197"/>
        <v>327.29389101279014</v>
      </c>
      <c r="AW58" s="301">
        <f t="shared" si="197"/>
        <v>415.43796299265387</v>
      </c>
      <c r="AX58" s="301">
        <f t="shared" si="197"/>
        <v>485.37922829385298</v>
      </c>
      <c r="AY58" s="301">
        <f t="shared" si="197"/>
        <v>529.26510687633322</v>
      </c>
      <c r="AZ58" s="301">
        <f t="shared" si="197"/>
        <v>619.94523802073661</v>
      </c>
      <c r="BA58" s="301">
        <f t="shared" si="197"/>
        <v>655.49692349111479</v>
      </c>
      <c r="BB58" s="301">
        <f t="shared" si="197"/>
        <v>747.77860495165112</v>
      </c>
      <c r="BC58" s="389">
        <f t="shared" si="91"/>
        <v>4636.0761162057743</v>
      </c>
      <c r="BD58" s="301">
        <f t="shared" ref="BD58:BO58" si="198">BD44+BD57</f>
        <v>462.91511293816006</v>
      </c>
      <c r="BE58" s="301">
        <f t="shared" si="198"/>
        <v>47.078304554151003</v>
      </c>
      <c r="BF58" s="301">
        <f t="shared" si="198"/>
        <v>174.48361130196474</v>
      </c>
      <c r="BG58" s="301">
        <f t="shared" si="198"/>
        <v>265.57993485825716</v>
      </c>
      <c r="BH58" s="301">
        <f t="shared" si="198"/>
        <v>382.55962344461432</v>
      </c>
      <c r="BI58" s="301">
        <f t="shared" si="198"/>
        <v>460.44422204553621</v>
      </c>
      <c r="BJ58" s="301">
        <f t="shared" si="198"/>
        <v>579.55452960440653</v>
      </c>
      <c r="BK58" s="301">
        <f t="shared" si="198"/>
        <v>674.11136802593376</v>
      </c>
      <c r="BL58" s="301">
        <f t="shared" si="198"/>
        <v>733.6165839577269</v>
      </c>
      <c r="BM58" s="301">
        <f t="shared" si="198"/>
        <v>855.7519350706616</v>
      </c>
      <c r="BN58" s="301">
        <f t="shared" si="198"/>
        <v>903.89469389009105</v>
      </c>
      <c r="BO58" s="301">
        <f t="shared" si="198"/>
        <v>1027.9451332460792</v>
      </c>
      <c r="BP58" s="389">
        <f t="shared" si="93"/>
        <v>6567.9350529375824</v>
      </c>
      <c r="CF58" s="301" t="s">
        <v>857</v>
      </c>
      <c r="CG58" s="12" t="s">
        <v>965</v>
      </c>
    </row>
    <row r="59" spans="1:85" s="3" customFormat="1">
      <c r="A59" s="296" t="s">
        <v>540</v>
      </c>
      <c r="B59" s="12" t="s">
        <v>502</v>
      </c>
      <c r="C59" s="40"/>
      <c r="D59" s="3">
        <f>IF(D58&lt;0,0,D58*$C$59)</f>
        <v>0</v>
      </c>
      <c r="E59" s="3">
        <f>IF(SUM($D$58:E58)&lt;0,0,SUM($D$58:E58)*$C$59)-D59</f>
        <v>0</v>
      </c>
      <c r="F59" s="3">
        <f>IF(SUM($D$58:F58)&lt;0,0,SUM($D$58:F58)*$C$59)-SUM($D$59:E59)</f>
        <v>0</v>
      </c>
      <c r="G59" s="3">
        <f>IF(SUM($D$58:G58)&lt;0,0,SUM($D$58:G58)*$C$59)-SUM($D$59:F59)</f>
        <v>0</v>
      </c>
      <c r="H59" s="3">
        <f>IF(SUM($D$58:H58)&lt;0,0,SUM($D$58:H58)*$C$59)-SUM($D$59:G59)</f>
        <v>0</v>
      </c>
      <c r="I59" s="3">
        <f>IF(SUM($D$58:I58)&lt;0,0,SUM($D$58:I58)*$C$59)-SUM($D$59:H59)</f>
        <v>0</v>
      </c>
      <c r="J59" s="3">
        <f>IF(SUM($D$58:J58)&lt;0,0,SUM($D$58:J58)*$C$59)-SUM($D$59:I59)</f>
        <v>0</v>
      </c>
      <c r="K59" s="3">
        <f>IF(SUM($D$58:K58)&lt;0,0,SUM($D$58:K58)*$C$59)-SUM($D$59:J59)</f>
        <v>0</v>
      </c>
      <c r="L59" s="3">
        <f>IF(SUM($D$58:L58)&lt;0,0,SUM($D$58:L58)*$C$59)-SUM($D$59:K59)</f>
        <v>0</v>
      </c>
      <c r="M59" s="3">
        <f>IF(SUM($D$58:M58)&lt;0,0,SUM($D$58:M58)*$C$59)-SUM($D$59:L59)</f>
        <v>0</v>
      </c>
      <c r="N59" s="3">
        <f>IF(SUM($D$58:N58)&lt;0,0,SUM($D$58:N58)*$C$59)-SUM($D$59:M59)</f>
        <v>0</v>
      </c>
      <c r="O59" s="3">
        <f>IF(SUM($D$58:O58)&lt;0,0,SUM($D$58:O58)*$C$59)-SUM($D$59:N59)</f>
        <v>0</v>
      </c>
      <c r="P59" s="397">
        <f t="shared" si="85"/>
        <v>0</v>
      </c>
      <c r="Q59" s="3">
        <f>IF(Q58&lt;0,0,Q58*$C$59)</f>
        <v>0</v>
      </c>
      <c r="R59" s="3">
        <f>IF(SUM($D$58:R58)&lt;0,0,SUM($D$58:R58)*$C$59)-Q59</f>
        <v>0</v>
      </c>
      <c r="S59" s="3">
        <f>IF(SUM($D$58:S58)&lt;0,0,SUM($D$58:S58)*$C$59)-SUM($D$59:R59)</f>
        <v>0</v>
      </c>
      <c r="T59" s="3">
        <f>IF(SUM($D$58:T58)&lt;0,0,SUM($D$58:T58)*$C$59)-SUM($D$59:S59)</f>
        <v>0</v>
      </c>
      <c r="U59" s="3">
        <f>IF(SUM($D$58:U58)&lt;0,0,SUM($D$58:U58)*$C$59)-SUM($D$59:T59)</f>
        <v>0</v>
      </c>
      <c r="V59" s="3">
        <f>IF(SUM($D$58:V58)&lt;0,0,SUM($D$58:V58)*$C$59)-SUM($D$59:U59)</f>
        <v>0</v>
      </c>
      <c r="W59" s="3">
        <f>IF(SUM($D$58:W58)&lt;0,0,SUM($D$58:W58)*$C$59)-SUM($D$59:V59)</f>
        <v>0</v>
      </c>
      <c r="X59" s="3">
        <f>IF(SUM($D$58:X58)&lt;0,0,SUM($D$58:X58)*$C$59)-SUM($D$59:W59)</f>
        <v>0</v>
      </c>
      <c r="Y59" s="3">
        <f>IF(SUM($D$58:Y58)&lt;0,0,SUM($D$58:Y58)*$C$59)-SUM($D$59:X59)</f>
        <v>0</v>
      </c>
      <c r="Z59" s="3">
        <f>IF(SUM($D$58:Z58)&lt;0,0,SUM($D$58:Z58)*$C$59)-SUM($D$59:Y59)</f>
        <v>0</v>
      </c>
      <c r="AA59" s="3">
        <f>IF(SUM($D$58:AA58)&lt;0,0,SUM($D$58:AA58)*$C$59)-SUM($D$59:Z59)</f>
        <v>0</v>
      </c>
      <c r="AB59" s="3">
        <f>IF(SUM($D$58:AB58)&lt;0,0,SUM($D$58:AB58)*$C$59)-SUM($D$59:AA59)</f>
        <v>0</v>
      </c>
      <c r="AC59" s="397">
        <f t="shared" si="87"/>
        <v>0</v>
      </c>
      <c r="AD59" s="3">
        <f>IF(AD58&lt;0,0,AD58*$C$59)</f>
        <v>0</v>
      </c>
      <c r="AE59" s="3">
        <f>IF(SUM($D$58:AE58)&lt;0,0,SUM($D$58:AE58)*$C$59)-AD59</f>
        <v>0</v>
      </c>
      <c r="AF59" s="3">
        <f>IF(SUM($D$58:AF58)&lt;0,0,SUM($D$58:AF58)*$C$59)-SUM($D$59:AE59)</f>
        <v>0</v>
      </c>
      <c r="AG59" s="3">
        <f>IF(SUM($D$58:AG58)&lt;0,0,SUM($D$58:AG58)*$C$59)-SUM($D$59:AF59)</f>
        <v>0</v>
      </c>
      <c r="AH59" s="3">
        <f>IF(SUM($D$58:AH58)&lt;0,0,SUM($D$58:AH58)*$C$59)-SUM($D$59:AG59)</f>
        <v>0</v>
      </c>
      <c r="AI59" s="3">
        <f>IF(SUM($D$58:AI58)&lt;0,0,SUM($D$58:AI58)*$C$59)-SUM($D$59:AH59)</f>
        <v>0</v>
      </c>
      <c r="AJ59" s="3">
        <f>IF(SUM($D$58:AJ58)&lt;0,0,SUM($D$58:AJ58)*$C$59)-SUM($D$59:AI59)</f>
        <v>0</v>
      </c>
      <c r="AK59" s="3">
        <f>IF(SUM($D$58:AK58)&lt;0,0,SUM($D$58:AK58)*$C$59)-SUM($D$59:AJ59)</f>
        <v>0</v>
      </c>
      <c r="AL59" s="3">
        <f>IF(SUM($D$58:AL58)&lt;0,0,SUM($D$58:AL58)*$C$59)-SUM($D$59:AK59)</f>
        <v>0</v>
      </c>
      <c r="AM59" s="3">
        <f>IF(SUM($D$58:AM58)&lt;0,0,SUM($D$58:AM58)*$C$59)-SUM($D$59:AL59)</f>
        <v>0</v>
      </c>
      <c r="AN59" s="3">
        <f>IF(SUM($D$58:AN58)&lt;0,0,SUM($D$58:AN58)*$C$59)-SUM($D$59:AM59)</f>
        <v>0</v>
      </c>
      <c r="AO59" s="3">
        <f>IF(SUM($D$58:AO58)&lt;0,0,SUM($D$58:AO58)*$C$59)-SUM($D$59:AN59)</f>
        <v>0</v>
      </c>
      <c r="AP59" s="397">
        <f t="shared" si="89"/>
        <v>0</v>
      </c>
      <c r="AQ59" s="3">
        <f>IF(AQ58&lt;0,0,AQ58*$C$59)</f>
        <v>0</v>
      </c>
      <c r="AR59" s="3">
        <f>IF(SUM($D$58:AR58)&lt;0,0,SUM($D$58:AR58)*$C$59)-AQ59</f>
        <v>0</v>
      </c>
      <c r="AS59" s="3">
        <f>IF(SUM($D$58:AS58)&lt;0,0,SUM($D$58:AS58)*$C$59)-SUM($D$59:AR59)</f>
        <v>0</v>
      </c>
      <c r="AT59" s="3">
        <f>IF(SUM($D$58:AT58)&lt;0,0,SUM($D$58:AT58)*$C$59)-SUM($D$59:AS59)</f>
        <v>0</v>
      </c>
      <c r="AU59" s="3">
        <f>IF(SUM($D$58:AU58)&lt;0,0,SUM($D$58:AU58)*$C$59)-SUM($D$59:AT59)</f>
        <v>0</v>
      </c>
      <c r="AV59" s="3">
        <f>IF(SUM($D$58:AV58)&lt;0,0,SUM($D$58:AV58)*$C$59)-SUM($D$59:AU59)</f>
        <v>0</v>
      </c>
      <c r="AW59" s="3">
        <f>IF(SUM($D$58:AW58)&lt;0,0,SUM($D$58:AW58)*$C$59)-SUM($D$59:AV59)</f>
        <v>0</v>
      </c>
      <c r="AX59" s="3">
        <f>IF(SUM($D$58:AX58)&lt;0,0,SUM($D$58:AX58)*$C$59)-SUM($D$59:AW59)</f>
        <v>0</v>
      </c>
      <c r="AY59" s="3">
        <f>IF(SUM($D$58:AY58)&lt;0,0,SUM($D$58:AY58)*$C$59)-SUM($D$59:AX59)</f>
        <v>0</v>
      </c>
      <c r="AZ59" s="3">
        <f>IF(SUM($D$58:AZ58)&lt;0,0,SUM($D$58:AZ58)*$C$59)-SUM($D$59:AY59)</f>
        <v>0</v>
      </c>
      <c r="BA59" s="3">
        <f>IF(SUM($D$58:BA58)&lt;0,0,SUM($D$58:BA58)*$C$59)-SUM($D$59:AZ59)</f>
        <v>0</v>
      </c>
      <c r="BB59" s="3">
        <f>IF(SUM($D$58:BB58)&lt;0,0,SUM($D$58:BB58)*$C$59)-SUM($D$59:BA59)</f>
        <v>0</v>
      </c>
      <c r="BC59" s="397">
        <f t="shared" si="91"/>
        <v>0</v>
      </c>
      <c r="BD59" s="3">
        <f>IF(BD58&lt;0,0,BD58*$C$59)</f>
        <v>0</v>
      </c>
      <c r="BE59" s="3">
        <f>IF(SUM($D$58:BE58)&lt;0,0,SUM($D$58:BE58)*$C$59)-BD59</f>
        <v>0</v>
      </c>
      <c r="BF59" s="3">
        <f>IF(SUM($D$58:BF58)&lt;0,0,SUM($D$58:BF58)*$C$59)-SUM($D$59:BE59)</f>
        <v>0</v>
      </c>
      <c r="BG59" s="3">
        <f>IF(SUM($D$58:BG58)&lt;0,0,SUM($D$58:BG58)*$C$59)-SUM($D$59:BF59)</f>
        <v>0</v>
      </c>
      <c r="BH59" s="3">
        <f>IF(SUM($D$58:BH58)&lt;0,0,SUM($D$58:BH58)*$C$59)-SUM($D$59:BG59)</f>
        <v>0</v>
      </c>
      <c r="BI59" s="3">
        <f>IF(SUM($D$58:BI58)&lt;0,0,SUM($D$58:BI58)*$C$59)-SUM($D$59:BH59)</f>
        <v>0</v>
      </c>
      <c r="BJ59" s="3">
        <f>IF(SUM($D$58:BJ58)&lt;0,0,SUM($D$58:BJ58)*$C$59)-SUM($D$59:BI59)</f>
        <v>0</v>
      </c>
      <c r="BK59" s="3">
        <f>IF(SUM($D$58:BK58)&lt;0,0,SUM($D$58:BK58)*$C$59)-SUM($D$59:BJ59)</f>
        <v>0</v>
      </c>
      <c r="BL59" s="3">
        <f>IF(SUM($D$58:BL58)&lt;0,0,SUM($D$58:BL58)*$C$59)-SUM($D$59:BK59)</f>
        <v>0</v>
      </c>
      <c r="BM59" s="3">
        <f>IF(SUM($D$58:BM58)&lt;0,0,SUM($D$58:BM58)*$C$59)-SUM($D$59:BL59)</f>
        <v>0</v>
      </c>
      <c r="BN59" s="3">
        <f>IF(SUM($D$58:BN58)&lt;0,0,SUM($D$58:BN58)*$C$59)-SUM($D$59:BM59)</f>
        <v>0</v>
      </c>
      <c r="BO59" s="3">
        <f>IF(SUM($D$58:BO58)&lt;0,0,SUM($D$58:BO58)*$C$59)-SUM($D$59:BN59)</f>
        <v>0</v>
      </c>
      <c r="BP59" s="397">
        <f t="shared" si="93"/>
        <v>0</v>
      </c>
      <c r="CF59" s="296" t="s">
        <v>940</v>
      </c>
      <c r="CG59" s="12" t="s">
        <v>965</v>
      </c>
    </row>
    <row r="60" spans="1:85" s="301" customFormat="1" ht="15.6">
      <c r="A60" s="301" t="s">
        <v>676</v>
      </c>
      <c r="B60" s="380" t="s">
        <v>502</v>
      </c>
      <c r="C60" s="302"/>
      <c r="D60" s="301">
        <f t="shared" ref="D60:O60" si="199">D58+D59</f>
        <v>0</v>
      </c>
      <c r="E60" s="301">
        <f t="shared" si="199"/>
        <v>0</v>
      </c>
      <c r="F60" s="301">
        <f t="shared" si="199"/>
        <v>0</v>
      </c>
      <c r="G60" s="301">
        <f t="shared" si="199"/>
        <v>0</v>
      </c>
      <c r="H60" s="301">
        <f t="shared" si="199"/>
        <v>0</v>
      </c>
      <c r="I60" s="301">
        <f t="shared" si="199"/>
        <v>0</v>
      </c>
      <c r="J60" s="301">
        <f t="shared" si="199"/>
        <v>-8.3776475210177033</v>
      </c>
      <c r="K60" s="301">
        <f t="shared" si="199"/>
        <v>-6.1032597498701868</v>
      </c>
      <c r="L60" s="301">
        <f t="shared" si="199"/>
        <v>-0.8069587358148631</v>
      </c>
      <c r="M60" s="301">
        <f t="shared" si="199"/>
        <v>5.5455500812802931</v>
      </c>
      <c r="N60" s="301">
        <f t="shared" si="199"/>
        <v>10.130119781146288</v>
      </c>
      <c r="O60" s="301">
        <f t="shared" si="199"/>
        <v>-55.296106530916632</v>
      </c>
      <c r="P60" s="389">
        <f t="shared" si="85"/>
        <v>-54.9083026751928</v>
      </c>
      <c r="Q60" s="301">
        <f t="shared" ref="Q60:AB60" si="200">Q58+Q59</f>
        <v>18.904214159629209</v>
      </c>
      <c r="R60" s="301">
        <f t="shared" si="200"/>
        <v>-6.7827606889528909</v>
      </c>
      <c r="S60" s="301">
        <f t="shared" si="200"/>
        <v>19.982905280428064</v>
      </c>
      <c r="T60" s="301">
        <f t="shared" si="200"/>
        <v>38.964671787098098</v>
      </c>
      <c r="U60" s="301">
        <f t="shared" si="200"/>
        <v>63.689456707122851</v>
      </c>
      <c r="V60" s="301">
        <f t="shared" si="200"/>
        <v>79.988572009091286</v>
      </c>
      <c r="W60" s="301">
        <f t="shared" si="200"/>
        <v>105.38596975879383</v>
      </c>
      <c r="X60" s="301">
        <f t="shared" si="200"/>
        <v>125.51411656734535</v>
      </c>
      <c r="Y60" s="301">
        <f t="shared" si="200"/>
        <v>138.04890614746995</v>
      </c>
      <c r="Z60" s="301">
        <f t="shared" si="200"/>
        <v>164.39506628143474</v>
      </c>
      <c r="AA60" s="301">
        <f t="shared" si="200"/>
        <v>174.58276157456592</v>
      </c>
      <c r="AB60" s="301">
        <f t="shared" si="200"/>
        <v>201.52550115739507</v>
      </c>
      <c r="AC60" s="389">
        <f t="shared" si="87"/>
        <v>1124.1993807414215</v>
      </c>
      <c r="AD60" s="301">
        <f t="shared" ref="AD60:AO60" si="201">AD58+AD59</f>
        <v>114.56799491415904</v>
      </c>
      <c r="AE60" s="301">
        <f t="shared" si="201"/>
        <v>4.8160460026943994</v>
      </c>
      <c r="AF60" s="301">
        <f t="shared" si="201"/>
        <v>60.75828301475245</v>
      </c>
      <c r="AG60" s="301">
        <f t="shared" si="201"/>
        <v>100.5598602128335</v>
      </c>
      <c r="AH60" s="301">
        <f t="shared" si="201"/>
        <v>152.11417134665368</v>
      </c>
      <c r="AI60" s="301">
        <f t="shared" si="201"/>
        <v>186.23276779122017</v>
      </c>
      <c r="AJ60" s="301">
        <f t="shared" si="201"/>
        <v>239.00841449553411</v>
      </c>
      <c r="AK60" s="301">
        <f t="shared" si="201"/>
        <v>280.86215957321207</v>
      </c>
      <c r="AL60" s="301">
        <f t="shared" si="201"/>
        <v>307.03377770985014</v>
      </c>
      <c r="AM60" s="301">
        <f t="shared" si="201"/>
        <v>361.53558732331504</v>
      </c>
      <c r="AN60" s="301">
        <f t="shared" si="201"/>
        <v>382.76892643380495</v>
      </c>
      <c r="AO60" s="301">
        <f t="shared" si="201"/>
        <v>438.35837617988358</v>
      </c>
      <c r="AP60" s="389">
        <f t="shared" si="89"/>
        <v>2628.616364997913</v>
      </c>
      <c r="AQ60" s="301">
        <f t="shared" ref="AQ60:BB60" si="202">AQ58+AQ59</f>
        <v>262.55644339582176</v>
      </c>
      <c r="AR60" s="301">
        <f t="shared" si="202"/>
        <v>22.734458817099508</v>
      </c>
      <c r="AS60" s="301">
        <f t="shared" si="202"/>
        <v>116.62464249300338</v>
      </c>
      <c r="AT60" s="301">
        <f t="shared" si="202"/>
        <v>183.60501853741755</v>
      </c>
      <c r="AU60" s="301">
        <f t="shared" si="202"/>
        <v>269.95859732329927</v>
      </c>
      <c r="AV60" s="301">
        <f t="shared" si="202"/>
        <v>327.29389101279014</v>
      </c>
      <c r="AW60" s="301">
        <f t="shared" si="202"/>
        <v>415.43796299265387</v>
      </c>
      <c r="AX60" s="301">
        <f t="shared" si="202"/>
        <v>485.37922829385298</v>
      </c>
      <c r="AY60" s="301">
        <f t="shared" si="202"/>
        <v>529.26510687633322</v>
      </c>
      <c r="AZ60" s="301">
        <f t="shared" si="202"/>
        <v>619.94523802073661</v>
      </c>
      <c r="BA60" s="301">
        <f t="shared" si="202"/>
        <v>655.49692349111479</v>
      </c>
      <c r="BB60" s="301">
        <f t="shared" si="202"/>
        <v>747.77860495165112</v>
      </c>
      <c r="BC60" s="389">
        <f t="shared" si="91"/>
        <v>4636.0761162057743</v>
      </c>
      <c r="BD60" s="301">
        <f t="shared" ref="BD60:BO60" si="203">BD58+BD59</f>
        <v>462.91511293816006</v>
      </c>
      <c r="BE60" s="301">
        <f t="shared" si="203"/>
        <v>47.078304554151003</v>
      </c>
      <c r="BF60" s="301">
        <f t="shared" si="203"/>
        <v>174.48361130196474</v>
      </c>
      <c r="BG60" s="301">
        <f t="shared" si="203"/>
        <v>265.57993485825716</v>
      </c>
      <c r="BH60" s="301">
        <f t="shared" si="203"/>
        <v>382.55962344461432</v>
      </c>
      <c r="BI60" s="301">
        <f t="shared" si="203"/>
        <v>460.44422204553621</v>
      </c>
      <c r="BJ60" s="301">
        <f t="shared" si="203"/>
        <v>579.55452960440653</v>
      </c>
      <c r="BK60" s="301">
        <f t="shared" si="203"/>
        <v>674.11136802593376</v>
      </c>
      <c r="BL60" s="301">
        <f t="shared" si="203"/>
        <v>733.6165839577269</v>
      </c>
      <c r="BM60" s="301">
        <f t="shared" si="203"/>
        <v>855.7519350706616</v>
      </c>
      <c r="BN60" s="301">
        <f t="shared" si="203"/>
        <v>903.89469389009105</v>
      </c>
      <c r="BO60" s="301">
        <f t="shared" si="203"/>
        <v>1027.9451332460792</v>
      </c>
      <c r="BP60" s="389">
        <f t="shared" si="93"/>
        <v>6567.9350529375824</v>
      </c>
      <c r="BR60" s="60"/>
      <c r="BS60" s="60"/>
      <c r="BT60" s="60"/>
      <c r="BU60" s="60"/>
      <c r="BV60" s="60"/>
      <c r="BW60" s="60"/>
      <c r="BX60" s="60"/>
      <c r="BY60" s="60"/>
      <c r="BZ60" s="60"/>
      <c r="CA60" s="60"/>
      <c r="CB60" s="60"/>
      <c r="CC60" s="60"/>
      <c r="CF60" s="301" t="s">
        <v>940</v>
      </c>
      <c r="CG60" s="380" t="s">
        <v>965</v>
      </c>
    </row>
    <row r="61" spans="1:85" s="299" customFormat="1" ht="15.6">
      <c r="A61" s="299" t="s">
        <v>676</v>
      </c>
      <c r="B61" s="380" t="s">
        <v>628</v>
      </c>
      <c r="D61" s="299">
        <f t="shared" ref="D61:AI61" si="204">D60/500*1000</f>
        <v>0</v>
      </c>
      <c r="E61" s="299">
        <f t="shared" si="204"/>
        <v>0</v>
      </c>
      <c r="F61" s="299">
        <f t="shared" si="204"/>
        <v>0</v>
      </c>
      <c r="G61" s="299">
        <f t="shared" si="204"/>
        <v>0</v>
      </c>
      <c r="H61" s="299">
        <f t="shared" si="204"/>
        <v>0</v>
      </c>
      <c r="I61" s="299">
        <f t="shared" si="204"/>
        <v>0</v>
      </c>
      <c r="J61" s="299">
        <f t="shared" si="204"/>
        <v>-16.755295042035407</v>
      </c>
      <c r="K61" s="299">
        <f t="shared" si="204"/>
        <v>-12.206519499740374</v>
      </c>
      <c r="L61" s="299">
        <f t="shared" si="204"/>
        <v>-1.6139174716297262</v>
      </c>
      <c r="M61" s="299">
        <f t="shared" si="204"/>
        <v>11.091100162560586</v>
      </c>
      <c r="N61" s="299">
        <f t="shared" si="204"/>
        <v>20.260239562292575</v>
      </c>
      <c r="O61" s="299">
        <f t="shared" si="204"/>
        <v>-110.59221306183326</v>
      </c>
      <c r="P61" s="299">
        <f t="shared" si="204"/>
        <v>-109.8166053503856</v>
      </c>
      <c r="Q61" s="299">
        <f t="shared" si="204"/>
        <v>37.808428319258418</v>
      </c>
      <c r="R61" s="299">
        <f t="shared" si="204"/>
        <v>-13.565521377905782</v>
      </c>
      <c r="S61" s="299">
        <f t="shared" si="204"/>
        <v>39.965810560856127</v>
      </c>
      <c r="T61" s="299">
        <f t="shared" si="204"/>
        <v>77.929343574196196</v>
      </c>
      <c r="U61" s="299">
        <f t="shared" si="204"/>
        <v>127.3789134142457</v>
      </c>
      <c r="V61" s="299">
        <f t="shared" si="204"/>
        <v>159.97714401818257</v>
      </c>
      <c r="W61" s="299">
        <f t="shared" si="204"/>
        <v>210.77193951758767</v>
      </c>
      <c r="X61" s="299">
        <f t="shared" si="204"/>
        <v>251.02823313469068</v>
      </c>
      <c r="Y61" s="299">
        <f t="shared" si="204"/>
        <v>276.0978122949399</v>
      </c>
      <c r="Z61" s="299">
        <f t="shared" si="204"/>
        <v>328.79013256286947</v>
      </c>
      <c r="AA61" s="299">
        <f t="shared" si="204"/>
        <v>349.16552314913184</v>
      </c>
      <c r="AB61" s="299">
        <f t="shared" si="204"/>
        <v>403.05100231479014</v>
      </c>
      <c r="AC61" s="299">
        <f t="shared" si="204"/>
        <v>2248.3987614828429</v>
      </c>
      <c r="AD61" s="299">
        <f t="shared" si="204"/>
        <v>229.13598982831809</v>
      </c>
      <c r="AE61" s="299">
        <f t="shared" si="204"/>
        <v>9.6320920053887988</v>
      </c>
      <c r="AF61" s="299">
        <f t="shared" si="204"/>
        <v>121.5165660295049</v>
      </c>
      <c r="AG61" s="299">
        <f t="shared" si="204"/>
        <v>201.119720425667</v>
      </c>
      <c r="AH61" s="299">
        <f t="shared" si="204"/>
        <v>304.22834269330735</v>
      </c>
      <c r="AI61" s="299">
        <f t="shared" si="204"/>
        <v>372.46553558244034</v>
      </c>
      <c r="AJ61" s="299">
        <f t="shared" ref="AJ61:BO61" si="205">AJ60/500*1000</f>
        <v>478.01682899106822</v>
      </c>
      <c r="AK61" s="299">
        <f t="shared" si="205"/>
        <v>561.72431914642414</v>
      </c>
      <c r="AL61" s="299">
        <f t="shared" si="205"/>
        <v>614.06755541970028</v>
      </c>
      <c r="AM61" s="299">
        <f t="shared" si="205"/>
        <v>723.07117464663008</v>
      </c>
      <c r="AN61" s="299">
        <f t="shared" si="205"/>
        <v>765.5378528676099</v>
      </c>
      <c r="AO61" s="299">
        <f t="shared" si="205"/>
        <v>876.71675235976716</v>
      </c>
      <c r="AP61" s="299">
        <f t="shared" si="205"/>
        <v>5257.232729995826</v>
      </c>
      <c r="AQ61" s="299">
        <f t="shared" si="205"/>
        <v>525.11288679164352</v>
      </c>
      <c r="AR61" s="299">
        <f t="shared" si="205"/>
        <v>45.468917634199016</v>
      </c>
      <c r="AS61" s="299">
        <f t="shared" si="205"/>
        <v>233.24928498600676</v>
      </c>
      <c r="AT61" s="299">
        <f t="shared" si="205"/>
        <v>367.2100370748351</v>
      </c>
      <c r="AU61" s="299">
        <f t="shared" si="205"/>
        <v>539.91719464659855</v>
      </c>
      <c r="AV61" s="299">
        <f t="shared" si="205"/>
        <v>654.58778202558028</v>
      </c>
      <c r="AW61" s="299">
        <f t="shared" si="205"/>
        <v>830.87592598530773</v>
      </c>
      <c r="AX61" s="299">
        <f t="shared" si="205"/>
        <v>970.75845658770595</v>
      </c>
      <c r="AY61" s="299">
        <f t="shared" si="205"/>
        <v>1058.5302137526664</v>
      </c>
      <c r="AZ61" s="299">
        <f t="shared" si="205"/>
        <v>1239.8904760414732</v>
      </c>
      <c r="BA61" s="299">
        <f t="shared" si="205"/>
        <v>1310.9938469822296</v>
      </c>
      <c r="BB61" s="299">
        <f t="shared" si="205"/>
        <v>1495.5572099033022</v>
      </c>
      <c r="BC61" s="299">
        <f t="shared" si="205"/>
        <v>9272.1522324115485</v>
      </c>
      <c r="BD61" s="299">
        <f t="shared" si="205"/>
        <v>925.83022587632013</v>
      </c>
      <c r="BE61" s="299">
        <f t="shared" si="205"/>
        <v>94.156609108302007</v>
      </c>
      <c r="BF61" s="299">
        <f t="shared" si="205"/>
        <v>348.96722260392949</v>
      </c>
      <c r="BG61" s="299">
        <f t="shared" si="205"/>
        <v>531.15986971651432</v>
      </c>
      <c r="BH61" s="299">
        <f t="shared" si="205"/>
        <v>765.11924688922863</v>
      </c>
      <c r="BI61" s="299">
        <f t="shared" si="205"/>
        <v>920.88844409107242</v>
      </c>
      <c r="BJ61" s="299">
        <f t="shared" si="205"/>
        <v>1159.1090592088131</v>
      </c>
      <c r="BK61" s="299">
        <f t="shared" si="205"/>
        <v>1348.2227360518675</v>
      </c>
      <c r="BL61" s="299">
        <f t="shared" si="205"/>
        <v>1467.2331679154538</v>
      </c>
      <c r="BM61" s="299">
        <f t="shared" si="205"/>
        <v>1711.5038701413232</v>
      </c>
      <c r="BN61" s="299">
        <f t="shared" si="205"/>
        <v>1807.7893877801821</v>
      </c>
      <c r="BO61" s="299">
        <f t="shared" si="205"/>
        <v>2055.8902664921584</v>
      </c>
      <c r="BP61" s="299">
        <f t="shared" ref="BP61" si="206">BP60/500*1000</f>
        <v>13135.870105875165</v>
      </c>
      <c r="BR61" s="60">
        <f>D61+E61+F61</f>
        <v>0</v>
      </c>
      <c r="BS61" s="60">
        <f>G61+H61+I61</f>
        <v>0</v>
      </c>
      <c r="BT61" s="60">
        <f>J61+K61+L61</f>
        <v>-30.575732013405506</v>
      </c>
      <c r="BU61" s="60">
        <f>M61+N61+O61</f>
        <v>-79.240873336980101</v>
      </c>
      <c r="BV61" s="60">
        <f>SUM(Q61:V61)</f>
        <v>429.49411850883325</v>
      </c>
      <c r="BW61" s="60">
        <f>SUM(W61:AB61)</f>
        <v>1818.9046429740097</v>
      </c>
      <c r="BX61" s="60">
        <f>SUM(AD61:AI61)</f>
        <v>1238.0982465646266</v>
      </c>
      <c r="BY61" s="60">
        <f>SUM(AJ61:AO61)</f>
        <v>4019.1344834312004</v>
      </c>
      <c r="BZ61" s="60">
        <f>SUM(AQ61:AV61)</f>
        <v>2365.5461031588629</v>
      </c>
      <c r="CA61" s="60">
        <f>SUM(AW61:BB61)</f>
        <v>6906.6061292526856</v>
      </c>
      <c r="CB61" s="60">
        <f>SUM(BD61:BI61)</f>
        <v>3586.1216182853668</v>
      </c>
      <c r="CC61" s="60">
        <f>SUM(BJ61:BO61)</f>
        <v>9549.748487589799</v>
      </c>
      <c r="CD61" s="301"/>
      <c r="CF61" s="299" t="s">
        <v>940</v>
      </c>
      <c r="CG61" s="380" t="s">
        <v>967</v>
      </c>
    </row>
    <row r="62" spans="1:85" s="417" customFormat="1">
      <c r="A62" s="417" t="s">
        <v>675</v>
      </c>
      <c r="B62" s="418" t="s">
        <v>626</v>
      </c>
      <c r="P62" s="417">
        <f>P60/AVERAGE(C18:O18)*1000000/Funnel!E5</f>
        <v>-19.637823044495349</v>
      </c>
      <c r="AC62" s="417">
        <f>AC60/AVERAGE(P18:AB18)*1000000/Funnel!F5</f>
        <v>81.180628366965223</v>
      </c>
      <c r="AP62" s="417">
        <f>AP60/AVERAGE(AC18:AO18)*1000000/Funnel!G5</f>
        <v>106.31316930755312</v>
      </c>
      <c r="BC62" s="417">
        <f>BC60/AVERAGE(AP18:BB18)*1000000/Funnel!H5</f>
        <v>131.31976002501585</v>
      </c>
      <c r="BP62" s="417">
        <f>BP60/AVERAGE(BC18:BO18)*1000000/Funnel!I5</f>
        <v>159.59731552302239</v>
      </c>
      <c r="CF62" s="417" t="s">
        <v>1111</v>
      </c>
      <c r="CG62" s="418" t="s">
        <v>131</v>
      </c>
    </row>
    <row r="64" spans="1:85" s="627" customFormat="1">
      <c r="A64" s="627" t="s">
        <v>612</v>
      </c>
      <c r="B64" s="624" t="s">
        <v>130</v>
      </c>
      <c r="C64" s="626">
        <f>1*500</f>
        <v>500</v>
      </c>
      <c r="D64" s="627">
        <f>P64</f>
        <v>500</v>
      </c>
      <c r="E64" s="627">
        <f t="shared" ref="E64:O64" si="207">D64</f>
        <v>500</v>
      </c>
      <c r="F64" s="627">
        <f t="shared" si="207"/>
        <v>500</v>
      </c>
      <c r="G64" s="627">
        <f t="shared" si="207"/>
        <v>500</v>
      </c>
      <c r="H64" s="627">
        <f t="shared" si="207"/>
        <v>500</v>
      </c>
      <c r="I64" s="627">
        <f t="shared" si="207"/>
        <v>500</v>
      </c>
      <c r="J64" s="627">
        <f t="shared" si="207"/>
        <v>500</v>
      </c>
      <c r="K64" s="627">
        <f t="shared" si="207"/>
        <v>500</v>
      </c>
      <c r="L64" s="627">
        <f t="shared" si="207"/>
        <v>500</v>
      </c>
      <c r="M64" s="627">
        <f t="shared" si="207"/>
        <v>500</v>
      </c>
      <c r="N64" s="627">
        <f t="shared" si="207"/>
        <v>500</v>
      </c>
      <c r="O64" s="627">
        <f t="shared" si="207"/>
        <v>500</v>
      </c>
      <c r="P64" s="626">
        <f>C64</f>
        <v>500</v>
      </c>
      <c r="Q64" s="627">
        <f>AC64</f>
        <v>500</v>
      </c>
      <c r="R64" s="627">
        <f t="shared" ref="R64:AB64" si="208">Q64</f>
        <v>500</v>
      </c>
      <c r="S64" s="627">
        <f t="shared" si="208"/>
        <v>500</v>
      </c>
      <c r="T64" s="627">
        <f t="shared" si="208"/>
        <v>500</v>
      </c>
      <c r="U64" s="627">
        <f t="shared" si="208"/>
        <v>500</v>
      </c>
      <c r="V64" s="627">
        <f t="shared" si="208"/>
        <v>500</v>
      </c>
      <c r="W64" s="627">
        <f t="shared" si="208"/>
        <v>500</v>
      </c>
      <c r="X64" s="627">
        <f t="shared" si="208"/>
        <v>500</v>
      </c>
      <c r="Y64" s="627">
        <f t="shared" si="208"/>
        <v>500</v>
      </c>
      <c r="Z64" s="627">
        <f t="shared" si="208"/>
        <v>500</v>
      </c>
      <c r="AA64" s="627">
        <f t="shared" si="208"/>
        <v>500</v>
      </c>
      <c r="AB64" s="627">
        <f t="shared" si="208"/>
        <v>500</v>
      </c>
      <c r="AC64" s="626">
        <f>P64</f>
        <v>500</v>
      </c>
      <c r="AD64" s="627">
        <f>AP64</f>
        <v>500</v>
      </c>
      <c r="AE64" s="627">
        <f t="shared" ref="AE64:AO64" si="209">AD64</f>
        <v>500</v>
      </c>
      <c r="AF64" s="627">
        <f t="shared" si="209"/>
        <v>500</v>
      </c>
      <c r="AG64" s="627">
        <f t="shared" si="209"/>
        <v>500</v>
      </c>
      <c r="AH64" s="627">
        <f t="shared" si="209"/>
        <v>500</v>
      </c>
      <c r="AI64" s="627">
        <f t="shared" si="209"/>
        <v>500</v>
      </c>
      <c r="AJ64" s="627">
        <f t="shared" si="209"/>
        <v>500</v>
      </c>
      <c r="AK64" s="627">
        <f t="shared" si="209"/>
        <v>500</v>
      </c>
      <c r="AL64" s="627">
        <f t="shared" si="209"/>
        <v>500</v>
      </c>
      <c r="AM64" s="627">
        <f t="shared" si="209"/>
        <v>500</v>
      </c>
      <c r="AN64" s="627">
        <f t="shared" si="209"/>
        <v>500</v>
      </c>
      <c r="AO64" s="627">
        <f t="shared" si="209"/>
        <v>500</v>
      </c>
      <c r="AP64" s="626">
        <f>AC64</f>
        <v>500</v>
      </c>
      <c r="AQ64" s="627">
        <f>BC64</f>
        <v>500</v>
      </c>
      <c r="AR64" s="627">
        <f t="shared" ref="AR64:BB64" si="210">AQ64</f>
        <v>500</v>
      </c>
      <c r="AS64" s="627">
        <f t="shared" si="210"/>
        <v>500</v>
      </c>
      <c r="AT64" s="627">
        <f t="shared" si="210"/>
        <v>500</v>
      </c>
      <c r="AU64" s="627">
        <f t="shared" si="210"/>
        <v>500</v>
      </c>
      <c r="AV64" s="627">
        <f t="shared" si="210"/>
        <v>500</v>
      </c>
      <c r="AW64" s="627">
        <f t="shared" si="210"/>
        <v>500</v>
      </c>
      <c r="AX64" s="627">
        <f t="shared" si="210"/>
        <v>500</v>
      </c>
      <c r="AY64" s="627">
        <f t="shared" si="210"/>
        <v>500</v>
      </c>
      <c r="AZ64" s="627">
        <f t="shared" si="210"/>
        <v>500</v>
      </c>
      <c r="BA64" s="627">
        <f t="shared" si="210"/>
        <v>500</v>
      </c>
      <c r="BB64" s="627">
        <f t="shared" si="210"/>
        <v>500</v>
      </c>
      <c r="BC64" s="626">
        <f>AP64</f>
        <v>500</v>
      </c>
      <c r="BD64" s="627">
        <f>BP64</f>
        <v>500</v>
      </c>
      <c r="BE64" s="627">
        <f t="shared" ref="BE64:BO64" si="211">BD64</f>
        <v>500</v>
      </c>
      <c r="BF64" s="627">
        <f t="shared" si="211"/>
        <v>500</v>
      </c>
      <c r="BG64" s="627">
        <f t="shared" si="211"/>
        <v>500</v>
      </c>
      <c r="BH64" s="627">
        <f t="shared" si="211"/>
        <v>500</v>
      </c>
      <c r="BI64" s="627">
        <f t="shared" si="211"/>
        <v>500</v>
      </c>
      <c r="BJ64" s="627">
        <f t="shared" si="211"/>
        <v>500</v>
      </c>
      <c r="BK64" s="627">
        <f t="shared" si="211"/>
        <v>500</v>
      </c>
      <c r="BL64" s="627">
        <f t="shared" si="211"/>
        <v>500</v>
      </c>
      <c r="BM64" s="627">
        <f t="shared" si="211"/>
        <v>500</v>
      </c>
      <c r="BN64" s="627">
        <f t="shared" si="211"/>
        <v>500</v>
      </c>
      <c r="BO64" s="627">
        <f t="shared" si="211"/>
        <v>500</v>
      </c>
      <c r="BP64" s="626">
        <f>BC64</f>
        <v>500</v>
      </c>
      <c r="CF64" s="627" t="str">
        <f>'packages (indiv)'!CE118</f>
        <v>Marketing Costs Per Application</v>
      </c>
      <c r="CG64" s="624" t="s">
        <v>966</v>
      </c>
    </row>
    <row r="65" spans="1:85" s="5" customFormat="1">
      <c r="A65" s="5" t="s">
        <v>611</v>
      </c>
      <c r="B65" s="12" t="s">
        <v>130</v>
      </c>
      <c r="C65" s="99">
        <v>600</v>
      </c>
      <c r="D65" s="5">
        <f>P65</f>
        <v>600</v>
      </c>
      <c r="E65" s="5">
        <f t="shared" ref="E65:O65" si="212">D65</f>
        <v>600</v>
      </c>
      <c r="F65" s="5">
        <f t="shared" si="212"/>
        <v>600</v>
      </c>
      <c r="G65" s="5">
        <f t="shared" si="212"/>
        <v>600</v>
      </c>
      <c r="H65" s="5">
        <f t="shared" si="212"/>
        <v>600</v>
      </c>
      <c r="I65" s="5">
        <f t="shared" si="212"/>
        <v>600</v>
      </c>
      <c r="J65" s="5">
        <f t="shared" si="212"/>
        <v>600</v>
      </c>
      <c r="K65" s="5">
        <f t="shared" si="212"/>
        <v>600</v>
      </c>
      <c r="L65" s="5">
        <f t="shared" si="212"/>
        <v>600</v>
      </c>
      <c r="M65" s="5">
        <f t="shared" si="212"/>
        <v>600</v>
      </c>
      <c r="N65" s="5">
        <f t="shared" si="212"/>
        <v>600</v>
      </c>
      <c r="O65" s="5">
        <f t="shared" si="212"/>
        <v>600</v>
      </c>
      <c r="P65" s="99">
        <f>C65</f>
        <v>600</v>
      </c>
      <c r="Q65" s="5">
        <f>AC65</f>
        <v>600</v>
      </c>
      <c r="R65" s="5">
        <f t="shared" ref="R65:AB65" si="213">Q65</f>
        <v>600</v>
      </c>
      <c r="S65" s="5">
        <f t="shared" si="213"/>
        <v>600</v>
      </c>
      <c r="T65" s="5">
        <f t="shared" si="213"/>
        <v>600</v>
      </c>
      <c r="U65" s="5">
        <f t="shared" si="213"/>
        <v>600</v>
      </c>
      <c r="V65" s="5">
        <f t="shared" si="213"/>
        <v>600</v>
      </c>
      <c r="W65" s="5">
        <f t="shared" si="213"/>
        <v>600</v>
      </c>
      <c r="X65" s="5">
        <f t="shared" si="213"/>
        <v>600</v>
      </c>
      <c r="Y65" s="5">
        <f t="shared" si="213"/>
        <v>600</v>
      </c>
      <c r="Z65" s="5">
        <f t="shared" si="213"/>
        <v>600</v>
      </c>
      <c r="AA65" s="5">
        <f t="shared" si="213"/>
        <v>600</v>
      </c>
      <c r="AB65" s="5">
        <f t="shared" si="213"/>
        <v>600</v>
      </c>
      <c r="AC65" s="99">
        <f>P65</f>
        <v>600</v>
      </c>
      <c r="AD65" s="5">
        <f>AP65</f>
        <v>600</v>
      </c>
      <c r="AE65" s="5">
        <f t="shared" ref="AE65:AO65" si="214">AD65</f>
        <v>600</v>
      </c>
      <c r="AF65" s="5">
        <f t="shared" si="214"/>
        <v>600</v>
      </c>
      <c r="AG65" s="5">
        <f t="shared" si="214"/>
        <v>600</v>
      </c>
      <c r="AH65" s="5">
        <f t="shared" si="214"/>
        <v>600</v>
      </c>
      <c r="AI65" s="5">
        <f t="shared" si="214"/>
        <v>600</v>
      </c>
      <c r="AJ65" s="5">
        <f t="shared" si="214"/>
        <v>600</v>
      </c>
      <c r="AK65" s="5">
        <f t="shared" si="214"/>
        <v>600</v>
      </c>
      <c r="AL65" s="5">
        <f t="shared" si="214"/>
        <v>600</v>
      </c>
      <c r="AM65" s="5">
        <f t="shared" si="214"/>
        <v>600</v>
      </c>
      <c r="AN65" s="5">
        <f t="shared" si="214"/>
        <v>600</v>
      </c>
      <c r="AO65" s="5">
        <f t="shared" si="214"/>
        <v>600</v>
      </c>
      <c r="AP65" s="99">
        <f>AC65</f>
        <v>600</v>
      </c>
      <c r="AQ65" s="5">
        <f>BC65</f>
        <v>600</v>
      </c>
      <c r="AR65" s="5">
        <f t="shared" ref="AR65:BB65" si="215">AQ65</f>
        <v>600</v>
      </c>
      <c r="AS65" s="5">
        <f t="shared" si="215"/>
        <v>600</v>
      </c>
      <c r="AT65" s="5">
        <f t="shared" si="215"/>
        <v>600</v>
      </c>
      <c r="AU65" s="5">
        <f t="shared" si="215"/>
        <v>600</v>
      </c>
      <c r="AV65" s="5">
        <f t="shared" si="215"/>
        <v>600</v>
      </c>
      <c r="AW65" s="5">
        <f t="shared" si="215"/>
        <v>600</v>
      </c>
      <c r="AX65" s="5">
        <f t="shared" si="215"/>
        <v>600</v>
      </c>
      <c r="AY65" s="5">
        <f t="shared" si="215"/>
        <v>600</v>
      </c>
      <c r="AZ65" s="5">
        <f t="shared" si="215"/>
        <v>600</v>
      </c>
      <c r="BA65" s="5">
        <f t="shared" si="215"/>
        <v>600</v>
      </c>
      <c r="BB65" s="5">
        <f t="shared" si="215"/>
        <v>600</v>
      </c>
      <c r="BC65" s="99">
        <f>AP65</f>
        <v>600</v>
      </c>
      <c r="BD65" s="5">
        <f>BP65</f>
        <v>600</v>
      </c>
      <c r="BE65" s="5">
        <f t="shared" ref="BE65:BO65" si="216">BD65</f>
        <v>600</v>
      </c>
      <c r="BF65" s="5">
        <f t="shared" si="216"/>
        <v>600</v>
      </c>
      <c r="BG65" s="5">
        <f t="shared" si="216"/>
        <v>600</v>
      </c>
      <c r="BH65" s="5">
        <f t="shared" si="216"/>
        <v>600</v>
      </c>
      <c r="BI65" s="5">
        <f t="shared" si="216"/>
        <v>600</v>
      </c>
      <c r="BJ65" s="5">
        <f t="shared" si="216"/>
        <v>600</v>
      </c>
      <c r="BK65" s="5">
        <f t="shared" si="216"/>
        <v>600</v>
      </c>
      <c r="BL65" s="5">
        <f t="shared" si="216"/>
        <v>600</v>
      </c>
      <c r="BM65" s="5">
        <f t="shared" si="216"/>
        <v>600</v>
      </c>
      <c r="BN65" s="5">
        <f t="shared" si="216"/>
        <v>600</v>
      </c>
      <c r="BO65" s="5">
        <f t="shared" si="216"/>
        <v>600</v>
      </c>
      <c r="BP65" s="99">
        <f>BC65</f>
        <v>600</v>
      </c>
      <c r="CF65" s="5" t="str">
        <f>'packages (indiv)'!CE119</f>
        <v>Costs of checking applications</v>
      </c>
      <c r="CG65" s="12" t="s">
        <v>966</v>
      </c>
    </row>
    <row r="66" spans="1:85">
      <c r="A66" s="4" t="s">
        <v>674</v>
      </c>
      <c r="P66" s="6"/>
      <c r="AC66" s="6"/>
      <c r="AP66" s="6"/>
      <c r="BC66" s="6"/>
      <c r="BP66" s="6"/>
      <c r="CF66" s="4" t="s">
        <v>1112</v>
      </c>
    </row>
    <row r="67" spans="1:85" s="5" customFormat="1">
      <c r="A67" s="342" t="s">
        <v>597</v>
      </c>
      <c r="B67" s="12" t="s">
        <v>130</v>
      </c>
      <c r="C67" s="16">
        <v>14</v>
      </c>
      <c r="D67" s="5">
        <f>P67</f>
        <v>14</v>
      </c>
      <c r="E67" s="5">
        <f t="shared" ref="E67:O67" si="217">D67</f>
        <v>14</v>
      </c>
      <c r="F67" s="5">
        <f t="shared" si="217"/>
        <v>14</v>
      </c>
      <c r="G67" s="5">
        <f t="shared" si="217"/>
        <v>14</v>
      </c>
      <c r="H67" s="5">
        <f t="shared" si="217"/>
        <v>14</v>
      </c>
      <c r="I67" s="5">
        <f t="shared" si="217"/>
        <v>14</v>
      </c>
      <c r="J67" s="5">
        <f t="shared" si="217"/>
        <v>14</v>
      </c>
      <c r="K67" s="5">
        <f t="shared" si="217"/>
        <v>14</v>
      </c>
      <c r="L67" s="5">
        <f t="shared" si="217"/>
        <v>14</v>
      </c>
      <c r="M67" s="5">
        <f t="shared" si="217"/>
        <v>14</v>
      </c>
      <c r="N67" s="5">
        <f t="shared" si="217"/>
        <v>14</v>
      </c>
      <c r="O67" s="5">
        <f t="shared" si="217"/>
        <v>14</v>
      </c>
      <c r="P67" s="16">
        <f>C67</f>
        <v>14</v>
      </c>
      <c r="Q67" s="5">
        <f>AC67</f>
        <v>14</v>
      </c>
      <c r="R67" s="5">
        <f t="shared" ref="R67:AB67" si="218">Q67</f>
        <v>14</v>
      </c>
      <c r="S67" s="5">
        <f t="shared" si="218"/>
        <v>14</v>
      </c>
      <c r="T67" s="5">
        <f t="shared" si="218"/>
        <v>14</v>
      </c>
      <c r="U67" s="5">
        <f t="shared" si="218"/>
        <v>14</v>
      </c>
      <c r="V67" s="5">
        <f t="shared" si="218"/>
        <v>14</v>
      </c>
      <c r="W67" s="5">
        <f t="shared" si="218"/>
        <v>14</v>
      </c>
      <c r="X67" s="5">
        <f t="shared" si="218"/>
        <v>14</v>
      </c>
      <c r="Y67" s="5">
        <f t="shared" si="218"/>
        <v>14</v>
      </c>
      <c r="Z67" s="5">
        <f t="shared" si="218"/>
        <v>14</v>
      </c>
      <c r="AA67" s="5">
        <f t="shared" si="218"/>
        <v>14</v>
      </c>
      <c r="AB67" s="5">
        <f t="shared" si="218"/>
        <v>14</v>
      </c>
      <c r="AC67" s="16">
        <f>P67</f>
        <v>14</v>
      </c>
      <c r="AD67" s="5">
        <f>AP67</f>
        <v>14</v>
      </c>
      <c r="AE67" s="5">
        <f t="shared" ref="AE67:AO67" si="219">AD67</f>
        <v>14</v>
      </c>
      <c r="AF67" s="5">
        <f t="shared" si="219"/>
        <v>14</v>
      </c>
      <c r="AG67" s="5">
        <f t="shared" si="219"/>
        <v>14</v>
      </c>
      <c r="AH67" s="5">
        <f t="shared" si="219"/>
        <v>14</v>
      </c>
      <c r="AI67" s="5">
        <f t="shared" si="219"/>
        <v>14</v>
      </c>
      <c r="AJ67" s="5">
        <f t="shared" si="219"/>
        <v>14</v>
      </c>
      <c r="AK67" s="5">
        <f t="shared" si="219"/>
        <v>14</v>
      </c>
      <c r="AL67" s="5">
        <f t="shared" si="219"/>
        <v>14</v>
      </c>
      <c r="AM67" s="5">
        <f t="shared" si="219"/>
        <v>14</v>
      </c>
      <c r="AN67" s="5">
        <f t="shared" si="219"/>
        <v>14</v>
      </c>
      <c r="AO67" s="5">
        <f t="shared" si="219"/>
        <v>14</v>
      </c>
      <c r="AP67" s="16">
        <f>AC67</f>
        <v>14</v>
      </c>
      <c r="AQ67" s="5">
        <f>BC67</f>
        <v>14</v>
      </c>
      <c r="AR67" s="5">
        <f t="shared" ref="AR67:BB67" si="220">AQ67</f>
        <v>14</v>
      </c>
      <c r="AS67" s="5">
        <f t="shared" si="220"/>
        <v>14</v>
      </c>
      <c r="AT67" s="5">
        <f t="shared" si="220"/>
        <v>14</v>
      </c>
      <c r="AU67" s="5">
        <f t="shared" si="220"/>
        <v>14</v>
      </c>
      <c r="AV67" s="5">
        <f t="shared" si="220"/>
        <v>14</v>
      </c>
      <c r="AW67" s="5">
        <f t="shared" si="220"/>
        <v>14</v>
      </c>
      <c r="AX67" s="5">
        <f t="shared" si="220"/>
        <v>14</v>
      </c>
      <c r="AY67" s="5">
        <f t="shared" si="220"/>
        <v>14</v>
      </c>
      <c r="AZ67" s="5">
        <f t="shared" si="220"/>
        <v>14</v>
      </c>
      <c r="BA67" s="5">
        <f t="shared" si="220"/>
        <v>14</v>
      </c>
      <c r="BB67" s="5">
        <f t="shared" si="220"/>
        <v>14</v>
      </c>
      <c r="BC67" s="16">
        <f>AP67</f>
        <v>14</v>
      </c>
      <c r="BD67" s="5">
        <f>BP67</f>
        <v>14</v>
      </c>
      <c r="BE67" s="5">
        <f t="shared" ref="BE67:BO67" si="221">BD67</f>
        <v>14</v>
      </c>
      <c r="BF67" s="5">
        <f t="shared" si="221"/>
        <v>14</v>
      </c>
      <c r="BG67" s="5">
        <f t="shared" si="221"/>
        <v>14</v>
      </c>
      <c r="BH67" s="5">
        <f t="shared" si="221"/>
        <v>14</v>
      </c>
      <c r="BI67" s="5">
        <f t="shared" si="221"/>
        <v>14</v>
      </c>
      <c r="BJ67" s="5">
        <f t="shared" si="221"/>
        <v>14</v>
      </c>
      <c r="BK67" s="5">
        <f t="shared" si="221"/>
        <v>14</v>
      </c>
      <c r="BL67" s="5">
        <f t="shared" si="221"/>
        <v>14</v>
      </c>
      <c r="BM67" s="5">
        <f t="shared" si="221"/>
        <v>14</v>
      </c>
      <c r="BN67" s="5">
        <f t="shared" si="221"/>
        <v>14</v>
      </c>
      <c r="BO67" s="5">
        <f t="shared" si="221"/>
        <v>14</v>
      </c>
      <c r="BP67" s="16">
        <f>BC67</f>
        <v>14</v>
      </c>
      <c r="CF67" s="342" t="s">
        <v>1014</v>
      </c>
      <c r="CG67" s="12" t="s">
        <v>966</v>
      </c>
    </row>
    <row r="68" spans="1:85" s="5" customFormat="1">
      <c r="A68" s="342" t="s">
        <v>609</v>
      </c>
      <c r="B68" s="12" t="s">
        <v>496</v>
      </c>
      <c r="C68" s="16">
        <v>1</v>
      </c>
      <c r="D68" s="5">
        <f>P68</f>
        <v>1</v>
      </c>
      <c r="E68" s="5">
        <f t="shared" ref="E68:O68" si="222">D68</f>
        <v>1</v>
      </c>
      <c r="F68" s="5">
        <f t="shared" si="222"/>
        <v>1</v>
      </c>
      <c r="G68" s="5">
        <f t="shared" si="222"/>
        <v>1</v>
      </c>
      <c r="H68" s="5">
        <f t="shared" si="222"/>
        <v>1</v>
      </c>
      <c r="I68" s="5">
        <f t="shared" si="222"/>
        <v>1</v>
      </c>
      <c r="J68" s="5">
        <f t="shared" si="222"/>
        <v>1</v>
      </c>
      <c r="K68" s="5">
        <f t="shared" si="222"/>
        <v>1</v>
      </c>
      <c r="L68" s="5">
        <f t="shared" si="222"/>
        <v>1</v>
      </c>
      <c r="M68" s="5">
        <f t="shared" si="222"/>
        <v>1</v>
      </c>
      <c r="N68" s="5">
        <f t="shared" si="222"/>
        <v>1</v>
      </c>
      <c r="O68" s="5">
        <f t="shared" si="222"/>
        <v>1</v>
      </c>
      <c r="P68" s="16">
        <f>C68</f>
        <v>1</v>
      </c>
      <c r="Q68" s="5">
        <f>AC68</f>
        <v>1</v>
      </c>
      <c r="R68" s="5">
        <f t="shared" ref="R68:AB68" si="223">Q68</f>
        <v>1</v>
      </c>
      <c r="S68" s="5">
        <f t="shared" si="223"/>
        <v>1</v>
      </c>
      <c r="T68" s="5">
        <f t="shared" si="223"/>
        <v>1</v>
      </c>
      <c r="U68" s="5">
        <f t="shared" si="223"/>
        <v>1</v>
      </c>
      <c r="V68" s="5">
        <f t="shared" si="223"/>
        <v>1</v>
      </c>
      <c r="W68" s="5">
        <f t="shared" si="223"/>
        <v>1</v>
      </c>
      <c r="X68" s="5">
        <f t="shared" si="223"/>
        <v>1</v>
      </c>
      <c r="Y68" s="5">
        <f t="shared" si="223"/>
        <v>1</v>
      </c>
      <c r="Z68" s="5">
        <f t="shared" si="223"/>
        <v>1</v>
      </c>
      <c r="AA68" s="5">
        <f t="shared" si="223"/>
        <v>1</v>
      </c>
      <c r="AB68" s="5">
        <f t="shared" si="223"/>
        <v>1</v>
      </c>
      <c r="AC68" s="16">
        <f>P68</f>
        <v>1</v>
      </c>
      <c r="AD68" s="5">
        <f>AP68</f>
        <v>1</v>
      </c>
      <c r="AE68" s="5">
        <f t="shared" ref="AE68:AO68" si="224">AD68</f>
        <v>1</v>
      </c>
      <c r="AF68" s="5">
        <f t="shared" si="224"/>
        <v>1</v>
      </c>
      <c r="AG68" s="5">
        <f t="shared" si="224"/>
        <v>1</v>
      </c>
      <c r="AH68" s="5">
        <f t="shared" si="224"/>
        <v>1</v>
      </c>
      <c r="AI68" s="5">
        <f t="shared" si="224"/>
        <v>1</v>
      </c>
      <c r="AJ68" s="5">
        <f t="shared" si="224"/>
        <v>1</v>
      </c>
      <c r="AK68" s="5">
        <f t="shared" si="224"/>
        <v>1</v>
      </c>
      <c r="AL68" s="5">
        <f t="shared" si="224"/>
        <v>1</v>
      </c>
      <c r="AM68" s="5">
        <f t="shared" si="224"/>
        <v>1</v>
      </c>
      <c r="AN68" s="5">
        <f t="shared" si="224"/>
        <v>1</v>
      </c>
      <c r="AO68" s="5">
        <f t="shared" si="224"/>
        <v>1</v>
      </c>
      <c r="AP68" s="16">
        <f>AC68</f>
        <v>1</v>
      </c>
      <c r="AQ68" s="5">
        <f>BC68</f>
        <v>1</v>
      </c>
      <c r="AR68" s="5">
        <f t="shared" ref="AR68:BB68" si="225">AQ68</f>
        <v>1</v>
      </c>
      <c r="AS68" s="5">
        <f t="shared" si="225"/>
        <v>1</v>
      </c>
      <c r="AT68" s="5">
        <f t="shared" si="225"/>
        <v>1</v>
      </c>
      <c r="AU68" s="5">
        <f t="shared" si="225"/>
        <v>1</v>
      </c>
      <c r="AV68" s="5">
        <f t="shared" si="225"/>
        <v>1</v>
      </c>
      <c r="AW68" s="5">
        <f t="shared" si="225"/>
        <v>1</v>
      </c>
      <c r="AX68" s="5">
        <f t="shared" si="225"/>
        <v>1</v>
      </c>
      <c r="AY68" s="5">
        <f t="shared" si="225"/>
        <v>1</v>
      </c>
      <c r="AZ68" s="5">
        <f t="shared" si="225"/>
        <v>1</v>
      </c>
      <c r="BA68" s="5">
        <f t="shared" si="225"/>
        <v>1</v>
      </c>
      <c r="BB68" s="5">
        <f t="shared" si="225"/>
        <v>1</v>
      </c>
      <c r="BC68" s="16">
        <f>AP68</f>
        <v>1</v>
      </c>
      <c r="BD68" s="5">
        <f>BP68</f>
        <v>1</v>
      </c>
      <c r="BE68" s="5">
        <f t="shared" ref="BE68:BO68" si="226">BD68</f>
        <v>1</v>
      </c>
      <c r="BF68" s="5">
        <f t="shared" si="226"/>
        <v>1</v>
      </c>
      <c r="BG68" s="5">
        <f t="shared" si="226"/>
        <v>1</v>
      </c>
      <c r="BH68" s="5">
        <f t="shared" si="226"/>
        <v>1</v>
      </c>
      <c r="BI68" s="5">
        <f t="shared" si="226"/>
        <v>1</v>
      </c>
      <c r="BJ68" s="5">
        <f t="shared" si="226"/>
        <v>1</v>
      </c>
      <c r="BK68" s="5">
        <f t="shared" si="226"/>
        <v>1</v>
      </c>
      <c r="BL68" s="5">
        <f t="shared" si="226"/>
        <v>1</v>
      </c>
      <c r="BM68" s="5">
        <f t="shared" si="226"/>
        <v>1</v>
      </c>
      <c r="BN68" s="5">
        <f t="shared" si="226"/>
        <v>1</v>
      </c>
      <c r="BO68" s="5">
        <f t="shared" si="226"/>
        <v>1</v>
      </c>
      <c r="BP68" s="16">
        <f>BC68</f>
        <v>1</v>
      </c>
      <c r="CF68" s="342" t="s">
        <v>1015</v>
      </c>
      <c r="CG68" s="12" t="s">
        <v>394</v>
      </c>
    </row>
    <row r="69" spans="1:85" s="5" customFormat="1">
      <c r="A69" s="342" t="s">
        <v>608</v>
      </c>
      <c r="B69" s="12" t="s">
        <v>496</v>
      </c>
      <c r="C69" s="16">
        <v>1</v>
      </c>
      <c r="D69" s="5">
        <f>P69</f>
        <v>1</v>
      </c>
      <c r="E69" s="5">
        <f t="shared" ref="E69:O69" si="227">D69</f>
        <v>1</v>
      </c>
      <c r="F69" s="5">
        <f t="shared" si="227"/>
        <v>1</v>
      </c>
      <c r="G69" s="5">
        <f t="shared" si="227"/>
        <v>1</v>
      </c>
      <c r="H69" s="5">
        <f t="shared" si="227"/>
        <v>1</v>
      </c>
      <c r="I69" s="5">
        <f t="shared" si="227"/>
        <v>1</v>
      </c>
      <c r="J69" s="5">
        <f t="shared" si="227"/>
        <v>1</v>
      </c>
      <c r="K69" s="5">
        <f t="shared" si="227"/>
        <v>1</v>
      </c>
      <c r="L69" s="5">
        <f t="shared" si="227"/>
        <v>1</v>
      </c>
      <c r="M69" s="5">
        <f t="shared" si="227"/>
        <v>1</v>
      </c>
      <c r="N69" s="5">
        <f t="shared" si="227"/>
        <v>1</v>
      </c>
      <c r="O69" s="5">
        <f t="shared" si="227"/>
        <v>1</v>
      </c>
      <c r="P69" s="16">
        <f>C69</f>
        <v>1</v>
      </c>
      <c r="Q69" s="5">
        <f>AC69</f>
        <v>1</v>
      </c>
      <c r="R69" s="5">
        <f t="shared" ref="R69:AB69" si="228">Q69</f>
        <v>1</v>
      </c>
      <c r="S69" s="5">
        <f t="shared" si="228"/>
        <v>1</v>
      </c>
      <c r="T69" s="5">
        <f t="shared" si="228"/>
        <v>1</v>
      </c>
      <c r="U69" s="5">
        <f t="shared" si="228"/>
        <v>1</v>
      </c>
      <c r="V69" s="5">
        <f t="shared" si="228"/>
        <v>1</v>
      </c>
      <c r="W69" s="5">
        <f t="shared" si="228"/>
        <v>1</v>
      </c>
      <c r="X69" s="5">
        <f t="shared" si="228"/>
        <v>1</v>
      </c>
      <c r="Y69" s="5">
        <f t="shared" si="228"/>
        <v>1</v>
      </c>
      <c r="Z69" s="5">
        <f t="shared" si="228"/>
        <v>1</v>
      </c>
      <c r="AA69" s="5">
        <f t="shared" si="228"/>
        <v>1</v>
      </c>
      <c r="AB69" s="5">
        <f t="shared" si="228"/>
        <v>1</v>
      </c>
      <c r="AC69" s="16">
        <f>P69</f>
        <v>1</v>
      </c>
      <c r="AD69" s="5">
        <f>AP69</f>
        <v>1</v>
      </c>
      <c r="AE69" s="5">
        <f t="shared" ref="AE69:AO69" si="229">AD69</f>
        <v>1</v>
      </c>
      <c r="AF69" s="5">
        <f t="shared" si="229"/>
        <v>1</v>
      </c>
      <c r="AG69" s="5">
        <f t="shared" si="229"/>
        <v>1</v>
      </c>
      <c r="AH69" s="5">
        <f t="shared" si="229"/>
        <v>1</v>
      </c>
      <c r="AI69" s="5">
        <f t="shared" si="229"/>
        <v>1</v>
      </c>
      <c r="AJ69" s="5">
        <f t="shared" si="229"/>
        <v>1</v>
      </c>
      <c r="AK69" s="5">
        <f t="shared" si="229"/>
        <v>1</v>
      </c>
      <c r="AL69" s="5">
        <f t="shared" si="229"/>
        <v>1</v>
      </c>
      <c r="AM69" s="5">
        <f t="shared" si="229"/>
        <v>1</v>
      </c>
      <c r="AN69" s="5">
        <f t="shared" si="229"/>
        <v>1</v>
      </c>
      <c r="AO69" s="5">
        <f t="shared" si="229"/>
        <v>1</v>
      </c>
      <c r="AP69" s="16">
        <f>AC69</f>
        <v>1</v>
      </c>
      <c r="AQ69" s="5">
        <f>BC69</f>
        <v>1</v>
      </c>
      <c r="AR69" s="5">
        <f t="shared" ref="AR69:BB69" si="230">AQ69</f>
        <v>1</v>
      </c>
      <c r="AS69" s="5">
        <f t="shared" si="230"/>
        <v>1</v>
      </c>
      <c r="AT69" s="5">
        <f t="shared" si="230"/>
        <v>1</v>
      </c>
      <c r="AU69" s="5">
        <f t="shared" si="230"/>
        <v>1</v>
      </c>
      <c r="AV69" s="5">
        <f t="shared" si="230"/>
        <v>1</v>
      </c>
      <c r="AW69" s="5">
        <f t="shared" si="230"/>
        <v>1</v>
      </c>
      <c r="AX69" s="5">
        <f t="shared" si="230"/>
        <v>1</v>
      </c>
      <c r="AY69" s="5">
        <f t="shared" si="230"/>
        <v>1</v>
      </c>
      <c r="AZ69" s="5">
        <f t="shared" si="230"/>
        <v>1</v>
      </c>
      <c r="BA69" s="5">
        <f t="shared" si="230"/>
        <v>1</v>
      </c>
      <c r="BB69" s="5">
        <f t="shared" si="230"/>
        <v>1</v>
      </c>
      <c r="BC69" s="16">
        <f>AP69</f>
        <v>1</v>
      </c>
      <c r="BD69" s="5">
        <f>BP69</f>
        <v>1</v>
      </c>
      <c r="BE69" s="5">
        <f t="shared" ref="BE69:BO69" si="231">BD69</f>
        <v>1</v>
      </c>
      <c r="BF69" s="5">
        <f t="shared" si="231"/>
        <v>1</v>
      </c>
      <c r="BG69" s="5">
        <f t="shared" si="231"/>
        <v>1</v>
      </c>
      <c r="BH69" s="5">
        <f t="shared" si="231"/>
        <v>1</v>
      </c>
      <c r="BI69" s="5">
        <f t="shared" si="231"/>
        <v>1</v>
      </c>
      <c r="BJ69" s="5">
        <f t="shared" si="231"/>
        <v>1</v>
      </c>
      <c r="BK69" s="5">
        <f t="shared" si="231"/>
        <v>1</v>
      </c>
      <c r="BL69" s="5">
        <f t="shared" si="231"/>
        <v>1</v>
      </c>
      <c r="BM69" s="5">
        <f t="shared" si="231"/>
        <v>1</v>
      </c>
      <c r="BN69" s="5">
        <f t="shared" si="231"/>
        <v>1</v>
      </c>
      <c r="BO69" s="5">
        <f t="shared" si="231"/>
        <v>1</v>
      </c>
      <c r="BP69" s="16">
        <f>BC69</f>
        <v>1</v>
      </c>
      <c r="CF69" s="342" t="s">
        <v>1016</v>
      </c>
      <c r="CG69" s="12" t="s">
        <v>394</v>
      </c>
    </row>
    <row r="70" spans="1:85">
      <c r="A70" s="4" t="s">
        <v>673</v>
      </c>
      <c r="P70" s="6"/>
      <c r="AC70" s="6"/>
      <c r="AP70" s="6"/>
      <c r="BC70" s="6"/>
      <c r="BP70" s="6"/>
      <c r="CF70" s="4" t="s">
        <v>1017</v>
      </c>
    </row>
    <row r="71" spans="1:85" s="5" customFormat="1">
      <c r="A71" s="342" t="s">
        <v>607</v>
      </c>
      <c r="B71" s="12" t="s">
        <v>130</v>
      </c>
      <c r="C71" s="16">
        <v>180</v>
      </c>
      <c r="D71" s="5">
        <f>P71</f>
        <v>180</v>
      </c>
      <c r="E71" s="5">
        <f t="shared" ref="E71:O71" si="232">D71</f>
        <v>180</v>
      </c>
      <c r="F71" s="5">
        <f t="shared" si="232"/>
        <v>180</v>
      </c>
      <c r="G71" s="5">
        <f t="shared" si="232"/>
        <v>180</v>
      </c>
      <c r="H71" s="5">
        <f t="shared" si="232"/>
        <v>180</v>
      </c>
      <c r="I71" s="5">
        <f t="shared" si="232"/>
        <v>180</v>
      </c>
      <c r="J71" s="5">
        <f t="shared" si="232"/>
        <v>180</v>
      </c>
      <c r="K71" s="5">
        <f t="shared" si="232"/>
        <v>180</v>
      </c>
      <c r="L71" s="5">
        <f t="shared" si="232"/>
        <v>180</v>
      </c>
      <c r="M71" s="5">
        <f t="shared" si="232"/>
        <v>180</v>
      </c>
      <c r="N71" s="5">
        <f t="shared" si="232"/>
        <v>180</v>
      </c>
      <c r="O71" s="5">
        <f t="shared" si="232"/>
        <v>180</v>
      </c>
      <c r="P71" s="16">
        <f>C71</f>
        <v>180</v>
      </c>
      <c r="Q71" s="5">
        <f>AC71</f>
        <v>180</v>
      </c>
      <c r="R71" s="5">
        <f t="shared" ref="R71:AB71" si="233">Q71</f>
        <v>180</v>
      </c>
      <c r="S71" s="5">
        <f t="shared" si="233"/>
        <v>180</v>
      </c>
      <c r="T71" s="5">
        <f t="shared" si="233"/>
        <v>180</v>
      </c>
      <c r="U71" s="5">
        <f t="shared" si="233"/>
        <v>180</v>
      </c>
      <c r="V71" s="5">
        <f t="shared" si="233"/>
        <v>180</v>
      </c>
      <c r="W71" s="5">
        <f t="shared" si="233"/>
        <v>180</v>
      </c>
      <c r="X71" s="5">
        <f t="shared" si="233"/>
        <v>180</v>
      </c>
      <c r="Y71" s="5">
        <f t="shared" si="233"/>
        <v>180</v>
      </c>
      <c r="Z71" s="5">
        <f t="shared" si="233"/>
        <v>180</v>
      </c>
      <c r="AA71" s="5">
        <f t="shared" si="233"/>
        <v>180</v>
      </c>
      <c r="AB71" s="5">
        <f t="shared" si="233"/>
        <v>180</v>
      </c>
      <c r="AC71" s="16">
        <f>P71</f>
        <v>180</v>
      </c>
      <c r="AD71" s="5">
        <f>AP71</f>
        <v>180</v>
      </c>
      <c r="AE71" s="5">
        <f t="shared" ref="AE71:AO71" si="234">AD71</f>
        <v>180</v>
      </c>
      <c r="AF71" s="5">
        <f t="shared" si="234"/>
        <v>180</v>
      </c>
      <c r="AG71" s="5">
        <f t="shared" si="234"/>
        <v>180</v>
      </c>
      <c r="AH71" s="5">
        <f t="shared" si="234"/>
        <v>180</v>
      </c>
      <c r="AI71" s="5">
        <f t="shared" si="234"/>
        <v>180</v>
      </c>
      <c r="AJ71" s="5">
        <f t="shared" si="234"/>
        <v>180</v>
      </c>
      <c r="AK71" s="5">
        <f t="shared" si="234"/>
        <v>180</v>
      </c>
      <c r="AL71" s="5">
        <f t="shared" si="234"/>
        <v>180</v>
      </c>
      <c r="AM71" s="5">
        <f t="shared" si="234"/>
        <v>180</v>
      </c>
      <c r="AN71" s="5">
        <f t="shared" si="234"/>
        <v>180</v>
      </c>
      <c r="AO71" s="5">
        <f t="shared" si="234"/>
        <v>180</v>
      </c>
      <c r="AP71" s="16">
        <f>AC71</f>
        <v>180</v>
      </c>
      <c r="AQ71" s="5">
        <f>BC71</f>
        <v>180</v>
      </c>
      <c r="AR71" s="5">
        <f t="shared" ref="AR71:BB71" si="235">AQ71</f>
        <v>180</v>
      </c>
      <c r="AS71" s="5">
        <f t="shared" si="235"/>
        <v>180</v>
      </c>
      <c r="AT71" s="5">
        <f t="shared" si="235"/>
        <v>180</v>
      </c>
      <c r="AU71" s="5">
        <f t="shared" si="235"/>
        <v>180</v>
      </c>
      <c r="AV71" s="5">
        <f t="shared" si="235"/>
        <v>180</v>
      </c>
      <c r="AW71" s="5">
        <f t="shared" si="235"/>
        <v>180</v>
      </c>
      <c r="AX71" s="5">
        <f t="shared" si="235"/>
        <v>180</v>
      </c>
      <c r="AY71" s="5">
        <f t="shared" si="235"/>
        <v>180</v>
      </c>
      <c r="AZ71" s="5">
        <f t="shared" si="235"/>
        <v>180</v>
      </c>
      <c r="BA71" s="5">
        <f t="shared" si="235"/>
        <v>180</v>
      </c>
      <c r="BB71" s="5">
        <f t="shared" si="235"/>
        <v>180</v>
      </c>
      <c r="BC71" s="16">
        <f>AP71</f>
        <v>180</v>
      </c>
      <c r="BD71" s="5">
        <f>BP71</f>
        <v>180</v>
      </c>
      <c r="BE71" s="5">
        <f t="shared" ref="BE71:BO71" si="236">BD71</f>
        <v>180</v>
      </c>
      <c r="BF71" s="5">
        <f t="shared" si="236"/>
        <v>180</v>
      </c>
      <c r="BG71" s="5">
        <f t="shared" si="236"/>
        <v>180</v>
      </c>
      <c r="BH71" s="5">
        <f t="shared" si="236"/>
        <v>180</v>
      </c>
      <c r="BI71" s="5">
        <f t="shared" si="236"/>
        <v>180</v>
      </c>
      <c r="BJ71" s="5">
        <f t="shared" si="236"/>
        <v>180</v>
      </c>
      <c r="BK71" s="5">
        <f t="shared" si="236"/>
        <v>180</v>
      </c>
      <c r="BL71" s="5">
        <f t="shared" si="236"/>
        <v>180</v>
      </c>
      <c r="BM71" s="5">
        <f t="shared" si="236"/>
        <v>180</v>
      </c>
      <c r="BN71" s="5">
        <f t="shared" si="236"/>
        <v>180</v>
      </c>
      <c r="BO71" s="5">
        <f t="shared" si="236"/>
        <v>180</v>
      </c>
      <c r="BP71" s="16">
        <f>BC71</f>
        <v>180</v>
      </c>
      <c r="CF71" s="342" t="s">
        <v>1018</v>
      </c>
      <c r="CG71" s="12" t="s">
        <v>966</v>
      </c>
    </row>
    <row r="72" spans="1:85" s="5" customFormat="1">
      <c r="A72" s="342" t="s">
        <v>605</v>
      </c>
      <c r="B72" s="12" t="s">
        <v>130</v>
      </c>
      <c r="C72" s="16">
        <v>180</v>
      </c>
      <c r="D72" s="5">
        <f>P72</f>
        <v>180</v>
      </c>
      <c r="E72" s="5">
        <f t="shared" ref="E72:O72" si="237">D72</f>
        <v>180</v>
      </c>
      <c r="F72" s="5">
        <f t="shared" si="237"/>
        <v>180</v>
      </c>
      <c r="G72" s="5">
        <f t="shared" si="237"/>
        <v>180</v>
      </c>
      <c r="H72" s="5">
        <f t="shared" si="237"/>
        <v>180</v>
      </c>
      <c r="I72" s="5">
        <f t="shared" si="237"/>
        <v>180</v>
      </c>
      <c r="J72" s="5">
        <f t="shared" si="237"/>
        <v>180</v>
      </c>
      <c r="K72" s="5">
        <f t="shared" si="237"/>
        <v>180</v>
      </c>
      <c r="L72" s="5">
        <f t="shared" si="237"/>
        <v>180</v>
      </c>
      <c r="M72" s="5">
        <f t="shared" si="237"/>
        <v>180</v>
      </c>
      <c r="N72" s="5">
        <f t="shared" si="237"/>
        <v>180</v>
      </c>
      <c r="O72" s="5">
        <f t="shared" si="237"/>
        <v>180</v>
      </c>
      <c r="P72" s="16">
        <f>C72</f>
        <v>180</v>
      </c>
      <c r="Q72" s="5">
        <f>AC72</f>
        <v>180</v>
      </c>
      <c r="R72" s="5">
        <f t="shared" ref="R72:AB72" si="238">Q72</f>
        <v>180</v>
      </c>
      <c r="S72" s="5">
        <f t="shared" si="238"/>
        <v>180</v>
      </c>
      <c r="T72" s="5">
        <f t="shared" si="238"/>
        <v>180</v>
      </c>
      <c r="U72" s="5">
        <f t="shared" si="238"/>
        <v>180</v>
      </c>
      <c r="V72" s="5">
        <f t="shared" si="238"/>
        <v>180</v>
      </c>
      <c r="W72" s="5">
        <f t="shared" si="238"/>
        <v>180</v>
      </c>
      <c r="X72" s="5">
        <f t="shared" si="238"/>
        <v>180</v>
      </c>
      <c r="Y72" s="5">
        <f t="shared" si="238"/>
        <v>180</v>
      </c>
      <c r="Z72" s="5">
        <f t="shared" si="238"/>
        <v>180</v>
      </c>
      <c r="AA72" s="5">
        <f t="shared" si="238"/>
        <v>180</v>
      </c>
      <c r="AB72" s="5">
        <f t="shared" si="238"/>
        <v>180</v>
      </c>
      <c r="AC72" s="16">
        <f>P72</f>
        <v>180</v>
      </c>
      <c r="AD72" s="5">
        <f>AP72</f>
        <v>180</v>
      </c>
      <c r="AE72" s="5">
        <f t="shared" ref="AE72:AO72" si="239">AD72</f>
        <v>180</v>
      </c>
      <c r="AF72" s="5">
        <f t="shared" si="239"/>
        <v>180</v>
      </c>
      <c r="AG72" s="5">
        <f t="shared" si="239"/>
        <v>180</v>
      </c>
      <c r="AH72" s="5">
        <f t="shared" si="239"/>
        <v>180</v>
      </c>
      <c r="AI72" s="5">
        <f t="shared" si="239"/>
        <v>180</v>
      </c>
      <c r="AJ72" s="5">
        <f t="shared" si="239"/>
        <v>180</v>
      </c>
      <c r="AK72" s="5">
        <f t="shared" si="239"/>
        <v>180</v>
      </c>
      <c r="AL72" s="5">
        <f t="shared" si="239"/>
        <v>180</v>
      </c>
      <c r="AM72" s="5">
        <f t="shared" si="239"/>
        <v>180</v>
      </c>
      <c r="AN72" s="5">
        <f t="shared" si="239"/>
        <v>180</v>
      </c>
      <c r="AO72" s="5">
        <f t="shared" si="239"/>
        <v>180</v>
      </c>
      <c r="AP72" s="16">
        <f>AC72</f>
        <v>180</v>
      </c>
      <c r="AQ72" s="5">
        <f>BC72</f>
        <v>180</v>
      </c>
      <c r="AR72" s="5">
        <f t="shared" ref="AR72:BB72" si="240">AQ72</f>
        <v>180</v>
      </c>
      <c r="AS72" s="5">
        <f t="shared" si="240"/>
        <v>180</v>
      </c>
      <c r="AT72" s="5">
        <f t="shared" si="240"/>
        <v>180</v>
      </c>
      <c r="AU72" s="5">
        <f t="shared" si="240"/>
        <v>180</v>
      </c>
      <c r="AV72" s="5">
        <f t="shared" si="240"/>
        <v>180</v>
      </c>
      <c r="AW72" s="5">
        <f t="shared" si="240"/>
        <v>180</v>
      </c>
      <c r="AX72" s="5">
        <f t="shared" si="240"/>
        <v>180</v>
      </c>
      <c r="AY72" s="5">
        <f t="shared" si="240"/>
        <v>180</v>
      </c>
      <c r="AZ72" s="5">
        <f t="shared" si="240"/>
        <v>180</v>
      </c>
      <c r="BA72" s="5">
        <f t="shared" si="240"/>
        <v>180</v>
      </c>
      <c r="BB72" s="5">
        <f t="shared" si="240"/>
        <v>180</v>
      </c>
      <c r="BC72" s="16">
        <f>AP72</f>
        <v>180</v>
      </c>
      <c r="BD72" s="5">
        <f>BP72</f>
        <v>180</v>
      </c>
      <c r="BE72" s="5">
        <f t="shared" ref="BE72:BO72" si="241">BD72</f>
        <v>180</v>
      </c>
      <c r="BF72" s="5">
        <f t="shared" si="241"/>
        <v>180</v>
      </c>
      <c r="BG72" s="5">
        <f t="shared" si="241"/>
        <v>180</v>
      </c>
      <c r="BH72" s="5">
        <f t="shared" si="241"/>
        <v>180</v>
      </c>
      <c r="BI72" s="5">
        <f t="shared" si="241"/>
        <v>180</v>
      </c>
      <c r="BJ72" s="5">
        <f t="shared" si="241"/>
        <v>180</v>
      </c>
      <c r="BK72" s="5">
        <f t="shared" si="241"/>
        <v>180</v>
      </c>
      <c r="BL72" s="5">
        <f t="shared" si="241"/>
        <v>180</v>
      </c>
      <c r="BM72" s="5">
        <f t="shared" si="241"/>
        <v>180</v>
      </c>
      <c r="BN72" s="5">
        <f t="shared" si="241"/>
        <v>180</v>
      </c>
      <c r="BO72" s="5">
        <f t="shared" si="241"/>
        <v>180</v>
      </c>
      <c r="BP72" s="16">
        <f>BC72</f>
        <v>180</v>
      </c>
      <c r="CF72" s="342" t="s">
        <v>1019</v>
      </c>
      <c r="CG72" s="12" t="s">
        <v>966</v>
      </c>
    </row>
    <row r="73" spans="1:85">
      <c r="A73" s="4" t="s">
        <v>672</v>
      </c>
      <c r="B73" s="622"/>
      <c r="P73" s="6"/>
      <c r="AC73" s="6"/>
      <c r="AP73" s="6"/>
      <c r="BC73" s="6"/>
      <c r="BP73" s="6"/>
      <c r="CF73" s="4" t="s">
        <v>1113</v>
      </c>
      <c r="CG73" s="622"/>
    </row>
    <row r="74" spans="1:85" s="621" customFormat="1">
      <c r="A74" s="620" t="s">
        <v>671</v>
      </c>
      <c r="B74" s="623" t="s">
        <v>231</v>
      </c>
      <c r="C74" s="625">
        <v>2E-3</v>
      </c>
      <c r="D74" s="621">
        <f>P74</f>
        <v>2E-3</v>
      </c>
      <c r="E74" s="621">
        <f t="shared" ref="E74:O74" si="242">D74</f>
        <v>2E-3</v>
      </c>
      <c r="F74" s="621">
        <f t="shared" si="242"/>
        <v>2E-3</v>
      </c>
      <c r="G74" s="621">
        <f t="shared" si="242"/>
        <v>2E-3</v>
      </c>
      <c r="H74" s="621">
        <f t="shared" si="242"/>
        <v>2E-3</v>
      </c>
      <c r="I74" s="621">
        <f t="shared" si="242"/>
        <v>2E-3</v>
      </c>
      <c r="J74" s="621">
        <f t="shared" si="242"/>
        <v>2E-3</v>
      </c>
      <c r="K74" s="621">
        <f t="shared" si="242"/>
        <v>2E-3</v>
      </c>
      <c r="L74" s="621">
        <f t="shared" si="242"/>
        <v>2E-3</v>
      </c>
      <c r="M74" s="621">
        <f t="shared" si="242"/>
        <v>2E-3</v>
      </c>
      <c r="N74" s="621">
        <f t="shared" si="242"/>
        <v>2E-3</v>
      </c>
      <c r="O74" s="621">
        <f t="shared" si="242"/>
        <v>2E-3</v>
      </c>
      <c r="P74" s="625">
        <f>C74</f>
        <v>2E-3</v>
      </c>
      <c r="Q74" s="621">
        <f>AC74</f>
        <v>2E-3</v>
      </c>
      <c r="R74" s="621">
        <f t="shared" ref="R74:AB74" si="243">Q74</f>
        <v>2E-3</v>
      </c>
      <c r="S74" s="621">
        <f t="shared" si="243"/>
        <v>2E-3</v>
      </c>
      <c r="T74" s="621">
        <f t="shared" si="243"/>
        <v>2E-3</v>
      </c>
      <c r="U74" s="621">
        <f t="shared" si="243"/>
        <v>2E-3</v>
      </c>
      <c r="V74" s="621">
        <f t="shared" si="243"/>
        <v>2E-3</v>
      </c>
      <c r="W74" s="621">
        <f t="shared" si="243"/>
        <v>2E-3</v>
      </c>
      <c r="X74" s="621">
        <f t="shared" si="243"/>
        <v>2E-3</v>
      </c>
      <c r="Y74" s="621">
        <f t="shared" si="243"/>
        <v>2E-3</v>
      </c>
      <c r="Z74" s="621">
        <f t="shared" si="243"/>
        <v>2E-3</v>
      </c>
      <c r="AA74" s="621">
        <f t="shared" si="243"/>
        <v>2E-3</v>
      </c>
      <c r="AB74" s="621">
        <f t="shared" si="243"/>
        <v>2E-3</v>
      </c>
      <c r="AC74" s="625">
        <f>P74</f>
        <v>2E-3</v>
      </c>
      <c r="AD74" s="621">
        <f>AP74</f>
        <v>2E-3</v>
      </c>
      <c r="AE74" s="621">
        <f t="shared" ref="AE74:AO74" si="244">AD74</f>
        <v>2E-3</v>
      </c>
      <c r="AF74" s="621">
        <f t="shared" si="244"/>
        <v>2E-3</v>
      </c>
      <c r="AG74" s="621">
        <f t="shared" si="244"/>
        <v>2E-3</v>
      </c>
      <c r="AH74" s="621">
        <f t="shared" si="244"/>
        <v>2E-3</v>
      </c>
      <c r="AI74" s="621">
        <f t="shared" si="244"/>
        <v>2E-3</v>
      </c>
      <c r="AJ74" s="621">
        <f t="shared" si="244"/>
        <v>2E-3</v>
      </c>
      <c r="AK74" s="621">
        <f t="shared" si="244"/>
        <v>2E-3</v>
      </c>
      <c r="AL74" s="621">
        <f t="shared" si="244"/>
        <v>2E-3</v>
      </c>
      <c r="AM74" s="621">
        <f t="shared" si="244"/>
        <v>2E-3</v>
      </c>
      <c r="AN74" s="621">
        <f t="shared" si="244"/>
        <v>2E-3</v>
      </c>
      <c r="AO74" s="621">
        <f t="shared" si="244"/>
        <v>2E-3</v>
      </c>
      <c r="AP74" s="625">
        <f>AC74</f>
        <v>2E-3</v>
      </c>
      <c r="AQ74" s="621">
        <f>BC74</f>
        <v>2E-3</v>
      </c>
      <c r="AR74" s="621">
        <f t="shared" ref="AR74:BB74" si="245">AQ74</f>
        <v>2E-3</v>
      </c>
      <c r="AS74" s="621">
        <f t="shared" si="245"/>
        <v>2E-3</v>
      </c>
      <c r="AT74" s="621">
        <f t="shared" si="245"/>
        <v>2E-3</v>
      </c>
      <c r="AU74" s="621">
        <f t="shared" si="245"/>
        <v>2E-3</v>
      </c>
      <c r="AV74" s="621">
        <f t="shared" si="245"/>
        <v>2E-3</v>
      </c>
      <c r="AW74" s="621">
        <f t="shared" si="245"/>
        <v>2E-3</v>
      </c>
      <c r="AX74" s="621">
        <f t="shared" si="245"/>
        <v>2E-3</v>
      </c>
      <c r="AY74" s="621">
        <f t="shared" si="245"/>
        <v>2E-3</v>
      </c>
      <c r="AZ74" s="621">
        <f t="shared" si="245"/>
        <v>2E-3</v>
      </c>
      <c r="BA74" s="621">
        <f t="shared" si="245"/>
        <v>2E-3</v>
      </c>
      <c r="BB74" s="621">
        <f t="shared" si="245"/>
        <v>2E-3</v>
      </c>
      <c r="BC74" s="625">
        <f>AP74</f>
        <v>2E-3</v>
      </c>
      <c r="BD74" s="621">
        <f>BP74</f>
        <v>2E-3</v>
      </c>
      <c r="BE74" s="621">
        <f t="shared" ref="BE74:BO74" si="246">BD74</f>
        <v>2E-3</v>
      </c>
      <c r="BF74" s="621">
        <f t="shared" si="246"/>
        <v>2E-3</v>
      </c>
      <c r="BG74" s="621">
        <f t="shared" si="246"/>
        <v>2E-3</v>
      </c>
      <c r="BH74" s="621">
        <f t="shared" si="246"/>
        <v>2E-3</v>
      </c>
      <c r="BI74" s="621">
        <f t="shared" si="246"/>
        <v>2E-3</v>
      </c>
      <c r="BJ74" s="621">
        <f t="shared" si="246"/>
        <v>2E-3</v>
      </c>
      <c r="BK74" s="621">
        <f t="shared" si="246"/>
        <v>2E-3</v>
      </c>
      <c r="BL74" s="621">
        <f t="shared" si="246"/>
        <v>2E-3</v>
      </c>
      <c r="BM74" s="621">
        <f t="shared" si="246"/>
        <v>2E-3</v>
      </c>
      <c r="BN74" s="621">
        <f t="shared" si="246"/>
        <v>2E-3</v>
      </c>
      <c r="BO74" s="621">
        <f t="shared" si="246"/>
        <v>2E-3</v>
      </c>
      <c r="BP74" s="625">
        <f>BC74</f>
        <v>2E-3</v>
      </c>
      <c r="BQ74" s="621" t="s">
        <v>670</v>
      </c>
      <c r="CF74" s="620" t="s">
        <v>1114</v>
      </c>
      <c r="CG74" s="623" t="s">
        <v>231</v>
      </c>
    </row>
    <row r="75" spans="1:85" s="613" customFormat="1">
      <c r="A75" s="613" t="s">
        <v>669</v>
      </c>
      <c r="B75" s="624"/>
      <c r="CF75" s="613" t="s">
        <v>1115</v>
      </c>
      <c r="CG75" s="624"/>
    </row>
    <row r="76" spans="1:85" s="627" customFormat="1">
      <c r="A76" s="619" t="s">
        <v>597</v>
      </c>
      <c r="B76" s="624" t="s">
        <v>130</v>
      </c>
      <c r="C76" s="626">
        <v>14</v>
      </c>
      <c r="D76" s="627">
        <f>P76</f>
        <v>14</v>
      </c>
      <c r="E76" s="627">
        <f t="shared" ref="E76:O76" si="247">D76</f>
        <v>14</v>
      </c>
      <c r="F76" s="627">
        <f t="shared" si="247"/>
        <v>14</v>
      </c>
      <c r="G76" s="627">
        <f t="shared" si="247"/>
        <v>14</v>
      </c>
      <c r="H76" s="627">
        <f t="shared" si="247"/>
        <v>14</v>
      </c>
      <c r="I76" s="627">
        <f t="shared" si="247"/>
        <v>14</v>
      </c>
      <c r="J76" s="627">
        <f t="shared" si="247"/>
        <v>14</v>
      </c>
      <c r="K76" s="627">
        <f t="shared" si="247"/>
        <v>14</v>
      </c>
      <c r="L76" s="627">
        <f t="shared" si="247"/>
        <v>14</v>
      </c>
      <c r="M76" s="627">
        <f t="shared" si="247"/>
        <v>14</v>
      </c>
      <c r="N76" s="627">
        <f t="shared" si="247"/>
        <v>14</v>
      </c>
      <c r="O76" s="627">
        <f t="shared" si="247"/>
        <v>14</v>
      </c>
      <c r="P76" s="626">
        <f>C76</f>
        <v>14</v>
      </c>
      <c r="Q76" s="627">
        <f>AC76</f>
        <v>14</v>
      </c>
      <c r="R76" s="627">
        <f t="shared" ref="R76:AB76" si="248">Q76</f>
        <v>14</v>
      </c>
      <c r="S76" s="627">
        <f t="shared" si="248"/>
        <v>14</v>
      </c>
      <c r="T76" s="627">
        <f t="shared" si="248"/>
        <v>14</v>
      </c>
      <c r="U76" s="627">
        <f t="shared" si="248"/>
        <v>14</v>
      </c>
      <c r="V76" s="627">
        <f t="shared" si="248"/>
        <v>14</v>
      </c>
      <c r="W76" s="627">
        <f t="shared" si="248"/>
        <v>14</v>
      </c>
      <c r="X76" s="627">
        <f t="shared" si="248"/>
        <v>14</v>
      </c>
      <c r="Y76" s="627">
        <f t="shared" si="248"/>
        <v>14</v>
      </c>
      <c r="Z76" s="627">
        <f t="shared" si="248"/>
        <v>14</v>
      </c>
      <c r="AA76" s="627">
        <f t="shared" si="248"/>
        <v>14</v>
      </c>
      <c r="AB76" s="627">
        <f t="shared" si="248"/>
        <v>14</v>
      </c>
      <c r="AC76" s="626">
        <f>P76</f>
        <v>14</v>
      </c>
      <c r="AD76" s="627">
        <f>AP76</f>
        <v>14</v>
      </c>
      <c r="AE76" s="627">
        <f t="shared" ref="AE76:AO76" si="249">AD76</f>
        <v>14</v>
      </c>
      <c r="AF76" s="627">
        <f t="shared" si="249"/>
        <v>14</v>
      </c>
      <c r="AG76" s="627">
        <f t="shared" si="249"/>
        <v>14</v>
      </c>
      <c r="AH76" s="627">
        <f t="shared" si="249"/>
        <v>14</v>
      </c>
      <c r="AI76" s="627">
        <f t="shared" si="249"/>
        <v>14</v>
      </c>
      <c r="AJ76" s="627">
        <f t="shared" si="249"/>
        <v>14</v>
      </c>
      <c r="AK76" s="627">
        <f t="shared" si="249"/>
        <v>14</v>
      </c>
      <c r="AL76" s="627">
        <f t="shared" si="249"/>
        <v>14</v>
      </c>
      <c r="AM76" s="627">
        <f t="shared" si="249"/>
        <v>14</v>
      </c>
      <c r="AN76" s="627">
        <f t="shared" si="249"/>
        <v>14</v>
      </c>
      <c r="AO76" s="627">
        <f t="shared" si="249"/>
        <v>14</v>
      </c>
      <c r="AP76" s="626">
        <f>AC76</f>
        <v>14</v>
      </c>
      <c r="AQ76" s="627">
        <f>BC76</f>
        <v>14</v>
      </c>
      <c r="AR76" s="627">
        <f t="shared" ref="AR76:BB76" si="250">AQ76</f>
        <v>14</v>
      </c>
      <c r="AS76" s="627">
        <f t="shared" si="250"/>
        <v>14</v>
      </c>
      <c r="AT76" s="627">
        <f t="shared" si="250"/>
        <v>14</v>
      </c>
      <c r="AU76" s="627">
        <f t="shared" si="250"/>
        <v>14</v>
      </c>
      <c r="AV76" s="627">
        <f t="shared" si="250"/>
        <v>14</v>
      </c>
      <c r="AW76" s="627">
        <f t="shared" si="250"/>
        <v>14</v>
      </c>
      <c r="AX76" s="627">
        <f t="shared" si="250"/>
        <v>14</v>
      </c>
      <c r="AY76" s="627">
        <f t="shared" si="250"/>
        <v>14</v>
      </c>
      <c r="AZ76" s="627">
        <f t="shared" si="250"/>
        <v>14</v>
      </c>
      <c r="BA76" s="627">
        <f t="shared" si="250"/>
        <v>14</v>
      </c>
      <c r="BB76" s="627">
        <f t="shared" si="250"/>
        <v>14</v>
      </c>
      <c r="BC76" s="626">
        <f>AP76</f>
        <v>14</v>
      </c>
      <c r="BD76" s="627">
        <f>BP76</f>
        <v>14</v>
      </c>
      <c r="BE76" s="627">
        <f t="shared" ref="BE76:BO76" si="251">BD76</f>
        <v>14</v>
      </c>
      <c r="BF76" s="627">
        <f t="shared" si="251"/>
        <v>14</v>
      </c>
      <c r="BG76" s="627">
        <f t="shared" si="251"/>
        <v>14</v>
      </c>
      <c r="BH76" s="627">
        <f t="shared" si="251"/>
        <v>14</v>
      </c>
      <c r="BI76" s="627">
        <f t="shared" si="251"/>
        <v>14</v>
      </c>
      <c r="BJ76" s="627">
        <f t="shared" si="251"/>
        <v>14</v>
      </c>
      <c r="BK76" s="627">
        <f t="shared" si="251"/>
        <v>14</v>
      </c>
      <c r="BL76" s="627">
        <f t="shared" si="251"/>
        <v>14</v>
      </c>
      <c r="BM76" s="627">
        <f t="shared" si="251"/>
        <v>14</v>
      </c>
      <c r="BN76" s="627">
        <f t="shared" si="251"/>
        <v>14</v>
      </c>
      <c r="BO76" s="627">
        <f t="shared" si="251"/>
        <v>14</v>
      </c>
      <c r="BP76" s="626">
        <f>BC76</f>
        <v>14</v>
      </c>
      <c r="CF76" s="619" t="s">
        <v>1014</v>
      </c>
      <c r="CG76" s="624" t="s">
        <v>966</v>
      </c>
    </row>
    <row r="77" spans="1:85" s="627" customFormat="1">
      <c r="A77" s="619" t="s">
        <v>596</v>
      </c>
      <c r="B77" s="624" t="s">
        <v>496</v>
      </c>
      <c r="C77" s="626">
        <v>2</v>
      </c>
      <c r="D77" s="627">
        <f>P77</f>
        <v>2</v>
      </c>
      <c r="E77" s="627">
        <f t="shared" ref="E77:O77" si="252">D77</f>
        <v>2</v>
      </c>
      <c r="F77" s="627">
        <f t="shared" si="252"/>
        <v>2</v>
      </c>
      <c r="G77" s="627">
        <f t="shared" si="252"/>
        <v>2</v>
      </c>
      <c r="H77" s="627">
        <f t="shared" si="252"/>
        <v>2</v>
      </c>
      <c r="I77" s="627">
        <f t="shared" si="252"/>
        <v>2</v>
      </c>
      <c r="J77" s="627">
        <f t="shared" si="252"/>
        <v>2</v>
      </c>
      <c r="K77" s="627">
        <f t="shared" si="252"/>
        <v>2</v>
      </c>
      <c r="L77" s="627">
        <f t="shared" si="252"/>
        <v>2</v>
      </c>
      <c r="M77" s="627">
        <f t="shared" si="252"/>
        <v>2</v>
      </c>
      <c r="N77" s="627">
        <f t="shared" si="252"/>
        <v>2</v>
      </c>
      <c r="O77" s="627">
        <f t="shared" si="252"/>
        <v>2</v>
      </c>
      <c r="P77" s="626">
        <f>C77</f>
        <v>2</v>
      </c>
      <c r="Q77" s="627">
        <f>AC77</f>
        <v>2</v>
      </c>
      <c r="R77" s="627">
        <f t="shared" ref="R77:AB77" si="253">Q77</f>
        <v>2</v>
      </c>
      <c r="S77" s="627">
        <f t="shared" si="253"/>
        <v>2</v>
      </c>
      <c r="T77" s="627">
        <f t="shared" si="253"/>
        <v>2</v>
      </c>
      <c r="U77" s="627">
        <f t="shared" si="253"/>
        <v>2</v>
      </c>
      <c r="V77" s="627">
        <f t="shared" si="253"/>
        <v>2</v>
      </c>
      <c r="W77" s="627">
        <f t="shared" si="253"/>
        <v>2</v>
      </c>
      <c r="X77" s="627">
        <f t="shared" si="253"/>
        <v>2</v>
      </c>
      <c r="Y77" s="627">
        <f t="shared" si="253"/>
        <v>2</v>
      </c>
      <c r="Z77" s="627">
        <f t="shared" si="253"/>
        <v>2</v>
      </c>
      <c r="AA77" s="627">
        <f t="shared" si="253"/>
        <v>2</v>
      </c>
      <c r="AB77" s="627">
        <f t="shared" si="253"/>
        <v>2</v>
      </c>
      <c r="AC77" s="626">
        <f>P77</f>
        <v>2</v>
      </c>
      <c r="AD77" s="627">
        <f>AP77</f>
        <v>2</v>
      </c>
      <c r="AE77" s="627">
        <f t="shared" ref="AE77:AO77" si="254">AD77</f>
        <v>2</v>
      </c>
      <c r="AF77" s="627">
        <f t="shared" si="254"/>
        <v>2</v>
      </c>
      <c r="AG77" s="627">
        <f t="shared" si="254"/>
        <v>2</v>
      </c>
      <c r="AH77" s="627">
        <f t="shared" si="254"/>
        <v>2</v>
      </c>
      <c r="AI77" s="627">
        <f t="shared" si="254"/>
        <v>2</v>
      </c>
      <c r="AJ77" s="627">
        <f t="shared" si="254"/>
        <v>2</v>
      </c>
      <c r="AK77" s="627">
        <f t="shared" si="254"/>
        <v>2</v>
      </c>
      <c r="AL77" s="627">
        <f t="shared" si="254"/>
        <v>2</v>
      </c>
      <c r="AM77" s="627">
        <f t="shared" si="254"/>
        <v>2</v>
      </c>
      <c r="AN77" s="627">
        <f t="shared" si="254"/>
        <v>2</v>
      </c>
      <c r="AO77" s="627">
        <f t="shared" si="254"/>
        <v>2</v>
      </c>
      <c r="AP77" s="626">
        <f>AC77</f>
        <v>2</v>
      </c>
      <c r="AQ77" s="627">
        <f>BC77</f>
        <v>2</v>
      </c>
      <c r="AR77" s="627">
        <f t="shared" ref="AR77:BB77" si="255">AQ77</f>
        <v>2</v>
      </c>
      <c r="AS77" s="627">
        <f t="shared" si="255"/>
        <v>2</v>
      </c>
      <c r="AT77" s="627">
        <f t="shared" si="255"/>
        <v>2</v>
      </c>
      <c r="AU77" s="627">
        <f t="shared" si="255"/>
        <v>2</v>
      </c>
      <c r="AV77" s="627">
        <f t="shared" si="255"/>
        <v>2</v>
      </c>
      <c r="AW77" s="627">
        <f t="shared" si="255"/>
        <v>2</v>
      </c>
      <c r="AX77" s="627">
        <f t="shared" si="255"/>
        <v>2</v>
      </c>
      <c r="AY77" s="627">
        <f t="shared" si="255"/>
        <v>2</v>
      </c>
      <c r="AZ77" s="627">
        <f t="shared" si="255"/>
        <v>2</v>
      </c>
      <c r="BA77" s="627">
        <f t="shared" si="255"/>
        <v>2</v>
      </c>
      <c r="BB77" s="627">
        <f t="shared" si="255"/>
        <v>2</v>
      </c>
      <c r="BC77" s="626">
        <f>AP77</f>
        <v>2</v>
      </c>
      <c r="BD77" s="627">
        <f>BP77</f>
        <v>2</v>
      </c>
      <c r="BE77" s="627">
        <f t="shared" ref="BE77:BO77" si="256">BD77</f>
        <v>2</v>
      </c>
      <c r="BF77" s="627">
        <f t="shared" si="256"/>
        <v>2</v>
      </c>
      <c r="BG77" s="627">
        <f t="shared" si="256"/>
        <v>2</v>
      </c>
      <c r="BH77" s="627">
        <f t="shared" si="256"/>
        <v>2</v>
      </c>
      <c r="BI77" s="627">
        <f t="shared" si="256"/>
        <v>2</v>
      </c>
      <c r="BJ77" s="627">
        <f t="shared" si="256"/>
        <v>2</v>
      </c>
      <c r="BK77" s="627">
        <f t="shared" si="256"/>
        <v>2</v>
      </c>
      <c r="BL77" s="627">
        <f t="shared" si="256"/>
        <v>2</v>
      </c>
      <c r="BM77" s="627">
        <f t="shared" si="256"/>
        <v>2</v>
      </c>
      <c r="BN77" s="627">
        <f t="shared" si="256"/>
        <v>2</v>
      </c>
      <c r="BO77" s="627">
        <f t="shared" si="256"/>
        <v>2</v>
      </c>
      <c r="BP77" s="626">
        <f>BC77</f>
        <v>2</v>
      </c>
      <c r="CF77" s="619" t="s">
        <v>1026</v>
      </c>
      <c r="CG77" s="624" t="s">
        <v>394</v>
      </c>
    </row>
    <row r="78" spans="1:85" s="621" customFormat="1">
      <c r="A78" s="621" t="s">
        <v>909</v>
      </c>
      <c r="B78" s="623" t="s">
        <v>231</v>
      </c>
      <c r="C78" s="628">
        <v>0.01</v>
      </c>
      <c r="D78" s="621">
        <f>P78</f>
        <v>0.01</v>
      </c>
      <c r="E78" s="621">
        <f t="shared" ref="E78:O78" si="257">D78</f>
        <v>0.01</v>
      </c>
      <c r="F78" s="621">
        <f t="shared" si="257"/>
        <v>0.01</v>
      </c>
      <c r="G78" s="621">
        <f t="shared" si="257"/>
        <v>0.01</v>
      </c>
      <c r="H78" s="621">
        <f t="shared" si="257"/>
        <v>0.01</v>
      </c>
      <c r="I78" s="621">
        <f t="shared" si="257"/>
        <v>0.01</v>
      </c>
      <c r="J78" s="621">
        <f t="shared" si="257"/>
        <v>0.01</v>
      </c>
      <c r="K78" s="621">
        <f t="shared" si="257"/>
        <v>0.01</v>
      </c>
      <c r="L78" s="621">
        <f t="shared" si="257"/>
        <v>0.01</v>
      </c>
      <c r="M78" s="621">
        <f t="shared" si="257"/>
        <v>0.01</v>
      </c>
      <c r="N78" s="621">
        <f t="shared" si="257"/>
        <v>0.01</v>
      </c>
      <c r="O78" s="621">
        <f t="shared" si="257"/>
        <v>0.01</v>
      </c>
      <c r="P78" s="628">
        <f>C78</f>
        <v>0.01</v>
      </c>
      <c r="Q78" s="621">
        <f>AC78</f>
        <v>0.01</v>
      </c>
      <c r="R78" s="621">
        <f t="shared" ref="R78:AB78" si="258">Q78</f>
        <v>0.01</v>
      </c>
      <c r="S78" s="621">
        <f t="shared" si="258"/>
        <v>0.01</v>
      </c>
      <c r="T78" s="621">
        <f t="shared" si="258"/>
        <v>0.01</v>
      </c>
      <c r="U78" s="621">
        <f t="shared" si="258"/>
        <v>0.01</v>
      </c>
      <c r="V78" s="621">
        <f t="shared" si="258"/>
        <v>0.01</v>
      </c>
      <c r="W78" s="621">
        <f t="shared" si="258"/>
        <v>0.01</v>
      </c>
      <c r="X78" s="621">
        <f t="shared" si="258"/>
        <v>0.01</v>
      </c>
      <c r="Y78" s="621">
        <f t="shared" si="258"/>
        <v>0.01</v>
      </c>
      <c r="Z78" s="621">
        <f t="shared" si="258"/>
        <v>0.01</v>
      </c>
      <c r="AA78" s="621">
        <f t="shared" si="258"/>
        <v>0.01</v>
      </c>
      <c r="AB78" s="621">
        <f t="shared" si="258"/>
        <v>0.01</v>
      </c>
      <c r="AC78" s="628">
        <f>P78</f>
        <v>0.01</v>
      </c>
      <c r="AD78" s="621">
        <f>AP78</f>
        <v>0.01</v>
      </c>
      <c r="AE78" s="621">
        <f t="shared" ref="AE78:AO78" si="259">AD78</f>
        <v>0.01</v>
      </c>
      <c r="AF78" s="621">
        <f t="shared" si="259"/>
        <v>0.01</v>
      </c>
      <c r="AG78" s="621">
        <f t="shared" si="259"/>
        <v>0.01</v>
      </c>
      <c r="AH78" s="621">
        <f t="shared" si="259"/>
        <v>0.01</v>
      </c>
      <c r="AI78" s="621">
        <f t="shared" si="259"/>
        <v>0.01</v>
      </c>
      <c r="AJ78" s="621">
        <f t="shared" si="259"/>
        <v>0.01</v>
      </c>
      <c r="AK78" s="621">
        <f t="shared" si="259"/>
        <v>0.01</v>
      </c>
      <c r="AL78" s="621">
        <f t="shared" si="259"/>
        <v>0.01</v>
      </c>
      <c r="AM78" s="621">
        <f t="shared" si="259"/>
        <v>0.01</v>
      </c>
      <c r="AN78" s="621">
        <f t="shared" si="259"/>
        <v>0.01</v>
      </c>
      <c r="AO78" s="621">
        <f t="shared" si="259"/>
        <v>0.01</v>
      </c>
      <c r="AP78" s="628">
        <f>AC78</f>
        <v>0.01</v>
      </c>
      <c r="AQ78" s="621">
        <f>BC78</f>
        <v>0.01</v>
      </c>
      <c r="AR78" s="621">
        <f t="shared" ref="AR78:BB78" si="260">AQ78</f>
        <v>0.01</v>
      </c>
      <c r="AS78" s="621">
        <f t="shared" si="260"/>
        <v>0.01</v>
      </c>
      <c r="AT78" s="621">
        <f t="shared" si="260"/>
        <v>0.01</v>
      </c>
      <c r="AU78" s="621">
        <f t="shared" si="260"/>
        <v>0.01</v>
      </c>
      <c r="AV78" s="621">
        <f t="shared" si="260"/>
        <v>0.01</v>
      </c>
      <c r="AW78" s="621">
        <f t="shared" si="260"/>
        <v>0.01</v>
      </c>
      <c r="AX78" s="621">
        <f t="shared" si="260"/>
        <v>0.01</v>
      </c>
      <c r="AY78" s="621">
        <f t="shared" si="260"/>
        <v>0.01</v>
      </c>
      <c r="AZ78" s="621">
        <f t="shared" si="260"/>
        <v>0.01</v>
      </c>
      <c r="BA78" s="621">
        <f t="shared" si="260"/>
        <v>0.01</v>
      </c>
      <c r="BB78" s="621">
        <f t="shared" si="260"/>
        <v>0.01</v>
      </c>
      <c r="BC78" s="628">
        <f>AP78</f>
        <v>0.01</v>
      </c>
      <c r="BD78" s="621">
        <f>BP78</f>
        <v>0.01</v>
      </c>
      <c r="BE78" s="621">
        <f t="shared" ref="BE78:BO78" si="261">BD78</f>
        <v>0.01</v>
      </c>
      <c r="BF78" s="621">
        <f t="shared" si="261"/>
        <v>0.01</v>
      </c>
      <c r="BG78" s="621">
        <f t="shared" si="261"/>
        <v>0.01</v>
      </c>
      <c r="BH78" s="621">
        <f t="shared" si="261"/>
        <v>0.01</v>
      </c>
      <c r="BI78" s="621">
        <f t="shared" si="261"/>
        <v>0.01</v>
      </c>
      <c r="BJ78" s="621">
        <f t="shared" si="261"/>
        <v>0.01</v>
      </c>
      <c r="BK78" s="621">
        <f t="shared" si="261"/>
        <v>0.01</v>
      </c>
      <c r="BL78" s="621">
        <f t="shared" si="261"/>
        <v>0.01</v>
      </c>
      <c r="BM78" s="621">
        <f t="shared" si="261"/>
        <v>0.01</v>
      </c>
      <c r="BN78" s="621">
        <f t="shared" si="261"/>
        <v>0.01</v>
      </c>
      <c r="BO78" s="621">
        <f t="shared" si="261"/>
        <v>0.01</v>
      </c>
      <c r="BP78" s="628">
        <f>BC78</f>
        <v>0.01</v>
      </c>
      <c r="BQ78" s="621" t="s">
        <v>668</v>
      </c>
      <c r="CF78" s="621" t="s">
        <v>1116</v>
      </c>
      <c r="CG78" s="623" t="s">
        <v>231</v>
      </c>
    </row>
    <row r="79" spans="1:85" s="621" customFormat="1">
      <c r="A79" s="621" t="s">
        <v>594</v>
      </c>
      <c r="B79" s="623" t="s">
        <v>231</v>
      </c>
      <c r="C79" s="628">
        <v>1E-4</v>
      </c>
      <c r="D79" s="621">
        <f>P79</f>
        <v>1E-4</v>
      </c>
      <c r="E79" s="621">
        <f t="shared" ref="E79:O79" si="262">D79</f>
        <v>1E-4</v>
      </c>
      <c r="F79" s="621">
        <f t="shared" si="262"/>
        <v>1E-4</v>
      </c>
      <c r="G79" s="621">
        <f t="shared" si="262"/>
        <v>1E-4</v>
      </c>
      <c r="H79" s="621">
        <f t="shared" si="262"/>
        <v>1E-4</v>
      </c>
      <c r="I79" s="621">
        <f t="shared" si="262"/>
        <v>1E-4</v>
      </c>
      <c r="J79" s="621">
        <f t="shared" si="262"/>
        <v>1E-4</v>
      </c>
      <c r="K79" s="621">
        <f t="shared" si="262"/>
        <v>1E-4</v>
      </c>
      <c r="L79" s="621">
        <f t="shared" si="262"/>
        <v>1E-4</v>
      </c>
      <c r="M79" s="621">
        <f t="shared" si="262"/>
        <v>1E-4</v>
      </c>
      <c r="N79" s="621">
        <f t="shared" si="262"/>
        <v>1E-4</v>
      </c>
      <c r="O79" s="621">
        <f t="shared" si="262"/>
        <v>1E-4</v>
      </c>
      <c r="P79" s="628">
        <f>C79</f>
        <v>1E-4</v>
      </c>
      <c r="Q79" s="621">
        <f>AC79</f>
        <v>1E-4</v>
      </c>
      <c r="R79" s="621">
        <f t="shared" ref="R79:AB79" si="263">Q79</f>
        <v>1E-4</v>
      </c>
      <c r="S79" s="621">
        <f t="shared" si="263"/>
        <v>1E-4</v>
      </c>
      <c r="T79" s="621">
        <f t="shared" si="263"/>
        <v>1E-4</v>
      </c>
      <c r="U79" s="621">
        <f t="shared" si="263"/>
        <v>1E-4</v>
      </c>
      <c r="V79" s="621">
        <f t="shared" si="263"/>
        <v>1E-4</v>
      </c>
      <c r="W79" s="621">
        <f t="shared" si="263"/>
        <v>1E-4</v>
      </c>
      <c r="X79" s="621">
        <f t="shared" si="263"/>
        <v>1E-4</v>
      </c>
      <c r="Y79" s="621">
        <f t="shared" si="263"/>
        <v>1E-4</v>
      </c>
      <c r="Z79" s="621">
        <f t="shared" si="263"/>
        <v>1E-4</v>
      </c>
      <c r="AA79" s="621">
        <f t="shared" si="263"/>
        <v>1E-4</v>
      </c>
      <c r="AB79" s="621">
        <f t="shared" si="263"/>
        <v>1E-4</v>
      </c>
      <c r="AC79" s="628">
        <f>P79</f>
        <v>1E-4</v>
      </c>
      <c r="AD79" s="621">
        <f>AP79</f>
        <v>1E-4</v>
      </c>
      <c r="AE79" s="621">
        <f t="shared" ref="AE79:AO79" si="264">AD79</f>
        <v>1E-4</v>
      </c>
      <c r="AF79" s="621">
        <f t="shared" si="264"/>
        <v>1E-4</v>
      </c>
      <c r="AG79" s="621">
        <f t="shared" si="264"/>
        <v>1E-4</v>
      </c>
      <c r="AH79" s="621">
        <f t="shared" si="264"/>
        <v>1E-4</v>
      </c>
      <c r="AI79" s="621">
        <f t="shared" si="264"/>
        <v>1E-4</v>
      </c>
      <c r="AJ79" s="621">
        <f t="shared" si="264"/>
        <v>1E-4</v>
      </c>
      <c r="AK79" s="621">
        <f t="shared" si="264"/>
        <v>1E-4</v>
      </c>
      <c r="AL79" s="621">
        <f t="shared" si="264"/>
        <v>1E-4</v>
      </c>
      <c r="AM79" s="621">
        <f t="shared" si="264"/>
        <v>1E-4</v>
      </c>
      <c r="AN79" s="621">
        <f t="shared" si="264"/>
        <v>1E-4</v>
      </c>
      <c r="AO79" s="621">
        <f t="shared" si="264"/>
        <v>1E-4</v>
      </c>
      <c r="AP79" s="628">
        <f>AC79</f>
        <v>1E-4</v>
      </c>
      <c r="AQ79" s="621">
        <f>BC79</f>
        <v>1E-4</v>
      </c>
      <c r="AR79" s="621">
        <f t="shared" ref="AR79:BB79" si="265">AQ79</f>
        <v>1E-4</v>
      </c>
      <c r="AS79" s="621">
        <f t="shared" si="265"/>
        <v>1E-4</v>
      </c>
      <c r="AT79" s="621">
        <f t="shared" si="265"/>
        <v>1E-4</v>
      </c>
      <c r="AU79" s="621">
        <f t="shared" si="265"/>
        <v>1E-4</v>
      </c>
      <c r="AV79" s="621">
        <f t="shared" si="265"/>
        <v>1E-4</v>
      </c>
      <c r="AW79" s="621">
        <f t="shared" si="265"/>
        <v>1E-4</v>
      </c>
      <c r="AX79" s="621">
        <f t="shared" si="265"/>
        <v>1E-4</v>
      </c>
      <c r="AY79" s="621">
        <f t="shared" si="265"/>
        <v>1E-4</v>
      </c>
      <c r="AZ79" s="621">
        <f t="shared" si="265"/>
        <v>1E-4</v>
      </c>
      <c r="BA79" s="621">
        <f t="shared" si="265"/>
        <v>1E-4</v>
      </c>
      <c r="BB79" s="621">
        <f t="shared" si="265"/>
        <v>1E-4</v>
      </c>
      <c r="BC79" s="628">
        <f>AP79</f>
        <v>1E-4</v>
      </c>
      <c r="BD79" s="621">
        <f>BP79</f>
        <v>1E-4</v>
      </c>
      <c r="BE79" s="621">
        <f t="shared" ref="BE79:BO79" si="266">BD79</f>
        <v>1E-4</v>
      </c>
      <c r="BF79" s="621">
        <f t="shared" si="266"/>
        <v>1E-4</v>
      </c>
      <c r="BG79" s="621">
        <f t="shared" si="266"/>
        <v>1E-4</v>
      </c>
      <c r="BH79" s="621">
        <f t="shared" si="266"/>
        <v>1E-4</v>
      </c>
      <c r="BI79" s="621">
        <f t="shared" si="266"/>
        <v>1E-4</v>
      </c>
      <c r="BJ79" s="621">
        <f t="shared" si="266"/>
        <v>1E-4</v>
      </c>
      <c r="BK79" s="621">
        <f t="shared" si="266"/>
        <v>1E-4</v>
      </c>
      <c r="BL79" s="621">
        <f t="shared" si="266"/>
        <v>1E-4</v>
      </c>
      <c r="BM79" s="621">
        <f t="shared" si="266"/>
        <v>1E-4</v>
      </c>
      <c r="BN79" s="621">
        <f t="shared" si="266"/>
        <v>1E-4</v>
      </c>
      <c r="BO79" s="621">
        <f t="shared" si="266"/>
        <v>1E-4</v>
      </c>
      <c r="BP79" s="628">
        <f>BC79</f>
        <v>1E-4</v>
      </c>
      <c r="BQ79" s="621" t="s">
        <v>667</v>
      </c>
      <c r="CF79" s="621" t="s">
        <v>1028</v>
      </c>
      <c r="CG79" s="623" t="s">
        <v>231</v>
      </c>
    </row>
    <row r="80" spans="1:85" s="621" customFormat="1">
      <c r="A80" s="621" t="s">
        <v>593</v>
      </c>
      <c r="B80" s="623" t="s">
        <v>231</v>
      </c>
      <c r="C80" s="628">
        <v>0.01</v>
      </c>
      <c r="D80" s="621">
        <f>P80</f>
        <v>0.01</v>
      </c>
      <c r="E80" s="621">
        <f t="shared" ref="E80:O80" si="267">D80</f>
        <v>0.01</v>
      </c>
      <c r="F80" s="621">
        <f t="shared" si="267"/>
        <v>0.01</v>
      </c>
      <c r="G80" s="621">
        <f t="shared" si="267"/>
        <v>0.01</v>
      </c>
      <c r="H80" s="621">
        <f t="shared" si="267"/>
        <v>0.01</v>
      </c>
      <c r="I80" s="621">
        <f t="shared" si="267"/>
        <v>0.01</v>
      </c>
      <c r="J80" s="621">
        <f t="shared" si="267"/>
        <v>0.01</v>
      </c>
      <c r="K80" s="621">
        <f t="shared" si="267"/>
        <v>0.01</v>
      </c>
      <c r="L80" s="621">
        <f t="shared" si="267"/>
        <v>0.01</v>
      </c>
      <c r="M80" s="621">
        <f t="shared" si="267"/>
        <v>0.01</v>
      </c>
      <c r="N80" s="621">
        <f t="shared" si="267"/>
        <v>0.01</v>
      </c>
      <c r="O80" s="621">
        <f t="shared" si="267"/>
        <v>0.01</v>
      </c>
      <c r="P80" s="628">
        <f>C80</f>
        <v>0.01</v>
      </c>
      <c r="Q80" s="621">
        <f>AC80</f>
        <v>0.01</v>
      </c>
      <c r="R80" s="621">
        <f t="shared" ref="R80:AB80" si="268">Q80</f>
        <v>0.01</v>
      </c>
      <c r="S80" s="621">
        <f t="shared" si="268"/>
        <v>0.01</v>
      </c>
      <c r="T80" s="621">
        <f t="shared" si="268"/>
        <v>0.01</v>
      </c>
      <c r="U80" s="621">
        <f t="shared" si="268"/>
        <v>0.01</v>
      </c>
      <c r="V80" s="621">
        <f t="shared" si="268"/>
        <v>0.01</v>
      </c>
      <c r="W80" s="621">
        <f t="shared" si="268"/>
        <v>0.01</v>
      </c>
      <c r="X80" s="621">
        <f t="shared" si="268"/>
        <v>0.01</v>
      </c>
      <c r="Y80" s="621">
        <f t="shared" si="268"/>
        <v>0.01</v>
      </c>
      <c r="Z80" s="621">
        <f t="shared" si="268"/>
        <v>0.01</v>
      </c>
      <c r="AA80" s="621">
        <f t="shared" si="268"/>
        <v>0.01</v>
      </c>
      <c r="AB80" s="621">
        <f t="shared" si="268"/>
        <v>0.01</v>
      </c>
      <c r="AC80" s="628">
        <f>P80</f>
        <v>0.01</v>
      </c>
      <c r="AD80" s="621">
        <f>AP80</f>
        <v>0.01</v>
      </c>
      <c r="AE80" s="621">
        <f t="shared" ref="AE80:AO80" si="269">AD80</f>
        <v>0.01</v>
      </c>
      <c r="AF80" s="621">
        <f t="shared" si="269"/>
        <v>0.01</v>
      </c>
      <c r="AG80" s="621">
        <f t="shared" si="269"/>
        <v>0.01</v>
      </c>
      <c r="AH80" s="621">
        <f t="shared" si="269"/>
        <v>0.01</v>
      </c>
      <c r="AI80" s="621">
        <f t="shared" si="269"/>
        <v>0.01</v>
      </c>
      <c r="AJ80" s="621">
        <f t="shared" si="269"/>
        <v>0.01</v>
      </c>
      <c r="AK80" s="621">
        <f t="shared" si="269"/>
        <v>0.01</v>
      </c>
      <c r="AL80" s="621">
        <f t="shared" si="269"/>
        <v>0.01</v>
      </c>
      <c r="AM80" s="621">
        <f t="shared" si="269"/>
        <v>0.01</v>
      </c>
      <c r="AN80" s="621">
        <f t="shared" si="269"/>
        <v>0.01</v>
      </c>
      <c r="AO80" s="621">
        <f t="shared" si="269"/>
        <v>0.01</v>
      </c>
      <c r="AP80" s="628">
        <f>AC80</f>
        <v>0.01</v>
      </c>
      <c r="AQ80" s="621">
        <f>BC80</f>
        <v>0.01</v>
      </c>
      <c r="AR80" s="621">
        <f t="shared" ref="AR80:BB80" si="270">AQ80</f>
        <v>0.01</v>
      </c>
      <c r="AS80" s="621">
        <f t="shared" si="270"/>
        <v>0.01</v>
      </c>
      <c r="AT80" s="621">
        <f t="shared" si="270"/>
        <v>0.01</v>
      </c>
      <c r="AU80" s="621">
        <f t="shared" si="270"/>
        <v>0.01</v>
      </c>
      <c r="AV80" s="621">
        <f t="shared" si="270"/>
        <v>0.01</v>
      </c>
      <c r="AW80" s="621">
        <f t="shared" si="270"/>
        <v>0.01</v>
      </c>
      <c r="AX80" s="621">
        <f t="shared" si="270"/>
        <v>0.01</v>
      </c>
      <c r="AY80" s="621">
        <f t="shared" si="270"/>
        <v>0.01</v>
      </c>
      <c r="AZ80" s="621">
        <f t="shared" si="270"/>
        <v>0.01</v>
      </c>
      <c r="BA80" s="621">
        <f t="shared" si="270"/>
        <v>0.01</v>
      </c>
      <c r="BB80" s="621">
        <f t="shared" si="270"/>
        <v>0.01</v>
      </c>
      <c r="BC80" s="628">
        <f>AP80</f>
        <v>0.01</v>
      </c>
      <c r="BD80" s="621">
        <f>BP80</f>
        <v>0.01</v>
      </c>
      <c r="BE80" s="621">
        <f t="shared" ref="BE80:BO80" si="271">BD80</f>
        <v>0.01</v>
      </c>
      <c r="BF80" s="621">
        <f t="shared" si="271"/>
        <v>0.01</v>
      </c>
      <c r="BG80" s="621">
        <f t="shared" si="271"/>
        <v>0.01</v>
      </c>
      <c r="BH80" s="621">
        <f t="shared" si="271"/>
        <v>0.01</v>
      </c>
      <c r="BI80" s="621">
        <f t="shared" si="271"/>
        <v>0.01</v>
      </c>
      <c r="BJ80" s="621">
        <f t="shared" si="271"/>
        <v>0.01</v>
      </c>
      <c r="BK80" s="621">
        <f t="shared" si="271"/>
        <v>0.01</v>
      </c>
      <c r="BL80" s="621">
        <f t="shared" si="271"/>
        <v>0.01</v>
      </c>
      <c r="BM80" s="621">
        <f t="shared" si="271"/>
        <v>0.01</v>
      </c>
      <c r="BN80" s="621">
        <f t="shared" si="271"/>
        <v>0.01</v>
      </c>
      <c r="BO80" s="621">
        <f t="shared" si="271"/>
        <v>0.01</v>
      </c>
      <c r="BP80" s="628">
        <f>BC80</f>
        <v>0.01</v>
      </c>
      <c r="BQ80" s="621" t="s">
        <v>666</v>
      </c>
      <c r="CF80" s="621" t="s">
        <v>1029</v>
      </c>
      <c r="CG80" s="623" t="s">
        <v>231</v>
      </c>
    </row>
    <row r="84" spans="1:85" s="3" customFormat="1" ht="15.6">
      <c r="A84" s="296" t="s">
        <v>513</v>
      </c>
      <c r="B84" s="12" t="s">
        <v>804</v>
      </c>
      <c r="C84" s="5"/>
      <c r="D84" s="3">
        <f>D27/500*1000</f>
        <v>0</v>
      </c>
      <c r="E84" s="3">
        <f t="shared" ref="E84:BP84" si="272">E27/500*1000</f>
        <v>0</v>
      </c>
      <c r="F84" s="3">
        <f t="shared" si="272"/>
        <v>0</v>
      </c>
      <c r="G84" s="3">
        <f t="shared" si="272"/>
        <v>0</v>
      </c>
      <c r="H84" s="3">
        <f t="shared" si="272"/>
        <v>0</v>
      </c>
      <c r="I84" s="3">
        <f t="shared" si="272"/>
        <v>0</v>
      </c>
      <c r="J84" s="3">
        <f t="shared" si="272"/>
        <v>34.989586384037125</v>
      </c>
      <c r="K84" s="3">
        <f t="shared" si="272"/>
        <v>51.784587848374926</v>
      </c>
      <c r="L84" s="3">
        <f t="shared" si="272"/>
        <v>81.970442630784191</v>
      </c>
      <c r="M84" s="3">
        <f t="shared" si="272"/>
        <v>116.30426547377502</v>
      </c>
      <c r="N84" s="3">
        <f t="shared" si="272"/>
        <v>141.91130442470433</v>
      </c>
      <c r="O84" s="3">
        <f t="shared" si="272"/>
        <v>280.73435952545515</v>
      </c>
      <c r="P84" s="397">
        <f t="shared" si="272"/>
        <v>707.69454628713072</v>
      </c>
      <c r="Q84" s="3">
        <f t="shared" si="272"/>
        <v>263.88113607237585</v>
      </c>
      <c r="R84" s="3">
        <f t="shared" si="272"/>
        <v>170.83222491766708</v>
      </c>
      <c r="S84" s="3">
        <f t="shared" si="272"/>
        <v>309.36462723217511</v>
      </c>
      <c r="T84" s="3">
        <f t="shared" si="272"/>
        <v>411.08169570110613</v>
      </c>
      <c r="U84" s="3">
        <f t="shared" si="272"/>
        <v>535.58741888375209</v>
      </c>
      <c r="V84" s="3">
        <f t="shared" si="272"/>
        <v>621.24996665482911</v>
      </c>
      <c r="W84" s="3">
        <f t="shared" si="272"/>
        <v>744.07434366984512</v>
      </c>
      <c r="X84" s="3">
        <f t="shared" si="272"/>
        <v>842.10574667130572</v>
      </c>
      <c r="Y84" s="3">
        <f t="shared" si="272"/>
        <v>906.01538085746029</v>
      </c>
      <c r="Z84" s="3">
        <f t="shared" si="272"/>
        <v>1026.5616345588553</v>
      </c>
      <c r="AA84" s="3">
        <f t="shared" si="272"/>
        <v>1077.3808508949246</v>
      </c>
      <c r="AB84" s="3">
        <f t="shared" si="272"/>
        <v>1196.5561808360201</v>
      </c>
      <c r="AC84" s="397">
        <f t="shared" si="272"/>
        <v>8104.6912069503151</v>
      </c>
      <c r="AD84" s="3">
        <f t="shared" si="272"/>
        <v>740.48865268763439</v>
      </c>
      <c r="AE84" s="3">
        <f t="shared" si="272"/>
        <v>325.69089695001281</v>
      </c>
      <c r="AF84" s="3">
        <f t="shared" si="272"/>
        <v>589.80232199407124</v>
      </c>
      <c r="AG84" s="3">
        <f t="shared" si="272"/>
        <v>783.72547250468619</v>
      </c>
      <c r="AH84" s="3">
        <f t="shared" si="272"/>
        <v>1021.0950945318496</v>
      </c>
      <c r="AI84" s="3">
        <f t="shared" si="272"/>
        <v>1184.4103708623638</v>
      </c>
      <c r="AJ84" s="3">
        <f t="shared" si="272"/>
        <v>1418.5745137026656</v>
      </c>
      <c r="AK84" s="3">
        <f t="shared" si="272"/>
        <v>1605.4709589617596</v>
      </c>
      <c r="AL84" s="3">
        <f t="shared" si="272"/>
        <v>1727.3143997520874</v>
      </c>
      <c r="AM84" s="3">
        <f t="shared" si="272"/>
        <v>1957.1353103612719</v>
      </c>
      <c r="AN84" s="3">
        <f t="shared" si="272"/>
        <v>2054.0219262135688</v>
      </c>
      <c r="AO84" s="3">
        <f t="shared" si="272"/>
        <v>2281.2291766110616</v>
      </c>
      <c r="AP84" s="397">
        <f t="shared" si="272"/>
        <v>15688.959095133032</v>
      </c>
      <c r="AQ84" s="3">
        <f t="shared" si="272"/>
        <v>1367.4430358827144</v>
      </c>
      <c r="AR84" s="3">
        <f t="shared" si="272"/>
        <v>502.50246014954246</v>
      </c>
      <c r="AS84" s="3">
        <f t="shared" si="272"/>
        <v>909.99509221598396</v>
      </c>
      <c r="AT84" s="3">
        <f t="shared" si="272"/>
        <v>1209.1955338742907</v>
      </c>
      <c r="AU84" s="3">
        <f t="shared" si="272"/>
        <v>1575.4287327460524</v>
      </c>
      <c r="AV84" s="3">
        <f t="shared" si="272"/>
        <v>1827.4048515280315</v>
      </c>
      <c r="AW84" s="3">
        <f t="shared" si="272"/>
        <v>2188.6923758585635</v>
      </c>
      <c r="AX84" s="3">
        <f t="shared" si="272"/>
        <v>2477.0514439669778</v>
      </c>
      <c r="AY84" s="3">
        <f t="shared" si="272"/>
        <v>2665.0414348558602</v>
      </c>
      <c r="AZ84" s="3">
        <f t="shared" si="272"/>
        <v>3019.6278665197688</v>
      </c>
      <c r="BA84" s="3">
        <f t="shared" si="272"/>
        <v>3169.1124338726459</v>
      </c>
      <c r="BB84" s="3">
        <f t="shared" si="272"/>
        <v>3519.6662975444206</v>
      </c>
      <c r="BC84" s="397">
        <f t="shared" si="272"/>
        <v>24431.16155901485</v>
      </c>
      <c r="BD84" s="3">
        <f t="shared" si="272"/>
        <v>2055.8173287092218</v>
      </c>
      <c r="BE84" s="3">
        <f t="shared" si="272"/>
        <v>630.96960999351131</v>
      </c>
      <c r="BF84" s="3">
        <f t="shared" si="272"/>
        <v>1142.6396763523423</v>
      </c>
      <c r="BG84" s="3">
        <f t="shared" si="272"/>
        <v>1518.3321374934208</v>
      </c>
      <c r="BH84" s="3">
        <f t="shared" si="272"/>
        <v>1978.1945998384263</v>
      </c>
      <c r="BI84" s="3">
        <f t="shared" si="272"/>
        <v>2294.5896147966218</v>
      </c>
      <c r="BJ84" s="3">
        <f t="shared" si="272"/>
        <v>2748.2420173232013</v>
      </c>
      <c r="BK84" s="3">
        <f t="shared" si="272"/>
        <v>3110.3214560752253</v>
      </c>
      <c r="BL84" s="3">
        <f t="shared" si="272"/>
        <v>3346.371984461779</v>
      </c>
      <c r="BM84" s="3">
        <f t="shared" si="272"/>
        <v>3791.6101280310359</v>
      </c>
      <c r="BN84" s="3">
        <f t="shared" si="272"/>
        <v>3979.3111377626601</v>
      </c>
      <c r="BO84" s="3">
        <f t="shared" si="272"/>
        <v>4419.4857681055109</v>
      </c>
      <c r="BP84" s="397">
        <f t="shared" si="272"/>
        <v>31015.885458942957</v>
      </c>
      <c r="BR84" s="60">
        <f>D84+E84+F84</f>
        <v>0</v>
      </c>
      <c r="BS84" s="60">
        <f>G84+H84+I84</f>
        <v>0</v>
      </c>
      <c r="BT84" s="60">
        <f>J84+K84+L84</f>
        <v>168.74461686319626</v>
      </c>
      <c r="BU84" s="60">
        <f>M84+N84+O84</f>
        <v>538.94992942393446</v>
      </c>
      <c r="BV84" s="60">
        <f>SUM(Q84:V84)</f>
        <v>2311.9970694619055</v>
      </c>
      <c r="BW84" s="60">
        <f>SUM(W84:AB84)</f>
        <v>5792.69413748841</v>
      </c>
      <c r="BX84" s="60">
        <f>SUM(AD84:AI84)</f>
        <v>4645.212809530618</v>
      </c>
      <c r="BY84" s="60">
        <f>SUM(AJ84:AO84)</f>
        <v>11043.746285602414</v>
      </c>
      <c r="BZ84" s="60">
        <f>SUM(AQ84:AV84)</f>
        <v>7391.9697063966159</v>
      </c>
      <c r="CA84" s="60">
        <f>SUM(AW84:BB84)</f>
        <v>17039.191852618238</v>
      </c>
      <c r="CB84" s="60">
        <f>SUM(BD84:BI84)</f>
        <v>9620.5429671835445</v>
      </c>
      <c r="CC84" s="60">
        <f>SUM(BJ84:BO84)</f>
        <v>21395.342491759413</v>
      </c>
      <c r="CF84" s="296" t="s">
        <v>871</v>
      </c>
      <c r="CG84" s="12" t="s">
        <v>967</v>
      </c>
    </row>
    <row r="85" spans="1:85" s="5" customFormat="1" ht="15.6" outlineLevel="1">
      <c r="A85" s="297" t="s">
        <v>466</v>
      </c>
      <c r="B85" s="12" t="s">
        <v>804</v>
      </c>
      <c r="D85" s="5">
        <f t="shared" ref="D85:BO85" si="273">D28/500*1000</f>
        <v>0</v>
      </c>
      <c r="E85" s="5">
        <f t="shared" si="273"/>
        <v>0</v>
      </c>
      <c r="F85" s="5">
        <f t="shared" si="273"/>
        <v>0</v>
      </c>
      <c r="G85" s="5">
        <f t="shared" si="273"/>
        <v>0</v>
      </c>
      <c r="H85" s="5">
        <f t="shared" si="273"/>
        <v>0</v>
      </c>
      <c r="I85" s="5">
        <f t="shared" si="273"/>
        <v>0</v>
      </c>
      <c r="J85" s="5">
        <f t="shared" si="273"/>
        <v>90.713742477133252</v>
      </c>
      <c r="K85" s="5">
        <f t="shared" si="273"/>
        <v>134.25633886615719</v>
      </c>
      <c r="L85" s="5">
        <f t="shared" si="273"/>
        <v>212.51596237610721</v>
      </c>
      <c r="M85" s="5">
        <f t="shared" si="273"/>
        <v>301.52957715423156</v>
      </c>
      <c r="N85" s="5">
        <f t="shared" si="273"/>
        <v>367.91819665664082</v>
      </c>
      <c r="O85" s="5">
        <f t="shared" si="273"/>
        <v>727.82982099192077</v>
      </c>
      <c r="P85" s="383">
        <f t="shared" si="273"/>
        <v>1834.7636385221908</v>
      </c>
      <c r="Q85" s="5">
        <f t="shared" si="273"/>
        <v>664.58952788598356</v>
      </c>
      <c r="R85" s="5">
        <f t="shared" si="273"/>
        <v>430.24412201486524</v>
      </c>
      <c r="S85" s="5">
        <f t="shared" si="273"/>
        <v>779.14054265881157</v>
      </c>
      <c r="T85" s="5">
        <f t="shared" si="273"/>
        <v>1035.3168632472302</v>
      </c>
      <c r="U85" s="5">
        <f t="shared" si="273"/>
        <v>1348.8868327442644</v>
      </c>
      <c r="V85" s="5">
        <f t="shared" si="273"/>
        <v>1564.6295456491994</v>
      </c>
      <c r="W85" s="5">
        <f t="shared" si="273"/>
        <v>1873.9650136870175</v>
      </c>
      <c r="X85" s="5">
        <f t="shared" si="273"/>
        <v>2120.8589175425486</v>
      </c>
      <c r="Y85" s="5">
        <f t="shared" si="273"/>
        <v>2281.8165147521217</v>
      </c>
      <c r="Z85" s="5">
        <f t="shared" si="273"/>
        <v>2585.4144870371169</v>
      </c>
      <c r="AA85" s="5">
        <f t="shared" si="273"/>
        <v>2713.4036244761069</v>
      </c>
      <c r="AB85" s="5">
        <f t="shared" si="273"/>
        <v>3013.5488998833102</v>
      </c>
      <c r="AC85" s="383">
        <f t="shared" si="273"/>
        <v>20411.814891578575</v>
      </c>
      <c r="AD85" s="5">
        <f t="shared" si="273"/>
        <v>1810.0833732364395</v>
      </c>
      <c r="AE85" s="5">
        <f t="shared" si="273"/>
        <v>796.13330365558681</v>
      </c>
      <c r="AF85" s="5">
        <f t="shared" si="273"/>
        <v>1441.739009318841</v>
      </c>
      <c r="AG85" s="5">
        <f t="shared" si="273"/>
        <v>1915.7733772336776</v>
      </c>
      <c r="AH85" s="5">
        <f t="shared" si="273"/>
        <v>2496.0102310778543</v>
      </c>
      <c r="AI85" s="5">
        <f t="shared" si="273"/>
        <v>2895.2253509968896</v>
      </c>
      <c r="AJ85" s="5">
        <f t="shared" si="273"/>
        <v>3467.6265890509603</v>
      </c>
      <c r="AK85" s="5">
        <f t="shared" si="273"/>
        <v>3924.4845663509682</v>
      </c>
      <c r="AL85" s="5">
        <f t="shared" si="273"/>
        <v>4222.3240882828795</v>
      </c>
      <c r="AM85" s="5">
        <f t="shared" si="273"/>
        <v>4784.1085364386636</v>
      </c>
      <c r="AN85" s="5">
        <f t="shared" si="273"/>
        <v>5020.9424862998349</v>
      </c>
      <c r="AO85" s="5">
        <f t="shared" si="273"/>
        <v>5576.3379872714831</v>
      </c>
      <c r="AP85" s="383">
        <f t="shared" si="273"/>
        <v>38350.78889921408</v>
      </c>
      <c r="AQ85" s="5">
        <f t="shared" si="273"/>
        <v>3241.346455425693</v>
      </c>
      <c r="AR85" s="5">
        <f t="shared" si="273"/>
        <v>1191.116942576693</v>
      </c>
      <c r="AS85" s="5">
        <f t="shared" si="273"/>
        <v>2157.0254037712211</v>
      </c>
      <c r="AT85" s="5">
        <f t="shared" si="273"/>
        <v>2866.2412654798004</v>
      </c>
      <c r="AU85" s="5">
        <f t="shared" si="273"/>
        <v>3734.3495887313834</v>
      </c>
      <c r="AV85" s="5">
        <f t="shared" si="273"/>
        <v>4331.6263147331119</v>
      </c>
      <c r="AW85" s="5">
        <f t="shared" si="273"/>
        <v>5188.0115575906693</v>
      </c>
      <c r="AX85" s="5">
        <f t="shared" si="273"/>
        <v>5871.5293486624651</v>
      </c>
      <c r="AY85" s="5">
        <f t="shared" si="273"/>
        <v>6317.1352529916667</v>
      </c>
      <c r="AZ85" s="5">
        <f t="shared" si="273"/>
        <v>7157.6364243431553</v>
      </c>
      <c r="BA85" s="5">
        <f t="shared" si="273"/>
        <v>7511.9702136240494</v>
      </c>
      <c r="BB85" s="5">
        <f t="shared" si="273"/>
        <v>8342.9127052904787</v>
      </c>
      <c r="BC85" s="383">
        <f t="shared" si="273"/>
        <v>57910.901473220394</v>
      </c>
      <c r="BD85" s="5">
        <f t="shared" si="273"/>
        <v>4720.7657177767323</v>
      </c>
      <c r="BE85" s="5">
        <f t="shared" si="273"/>
        <v>1448.8931785036186</v>
      </c>
      <c r="BF85" s="5">
        <f t="shared" si="273"/>
        <v>2623.8392568090821</v>
      </c>
      <c r="BG85" s="5">
        <f t="shared" si="273"/>
        <v>3486.5404638737809</v>
      </c>
      <c r="BH85" s="5">
        <f t="shared" si="273"/>
        <v>4542.5209329623121</v>
      </c>
      <c r="BI85" s="5">
        <f t="shared" si="273"/>
        <v>5269.057633977427</v>
      </c>
      <c r="BJ85" s="5">
        <f t="shared" si="273"/>
        <v>6310.7779657051296</v>
      </c>
      <c r="BK85" s="5">
        <f t="shared" si="273"/>
        <v>7142.2196398764445</v>
      </c>
      <c r="BL85" s="5">
        <f t="shared" si="273"/>
        <v>7684.2615939492689</v>
      </c>
      <c r="BM85" s="5">
        <f t="shared" si="273"/>
        <v>8706.6602939971945</v>
      </c>
      <c r="BN85" s="5">
        <f t="shared" si="273"/>
        <v>9137.6774274549971</v>
      </c>
      <c r="BO85" s="5">
        <f t="shared" si="273"/>
        <v>10148.448800834876</v>
      </c>
      <c r="BP85" s="383">
        <f t="shared" ref="BP85:BP87" si="274">BP28/500*1000</f>
        <v>71221.662905720863</v>
      </c>
      <c r="BR85" s="60">
        <f t="shared" ref="BR85:BR117" si="275">D85+E85+F85</f>
        <v>0</v>
      </c>
      <c r="BS85" s="60">
        <f t="shared" ref="BS85:BS117" si="276">G85+H85+I85</f>
        <v>0</v>
      </c>
      <c r="BT85" s="60">
        <f t="shared" ref="BT85:BT117" si="277">J85+K85+L85</f>
        <v>437.48604371939768</v>
      </c>
      <c r="BU85" s="60">
        <f t="shared" ref="BU85:BU117" si="278">M85+N85+O85</f>
        <v>1397.2775948027931</v>
      </c>
      <c r="BV85" s="60">
        <f t="shared" ref="BV85:BV117" si="279">SUM(Q85:V85)</f>
        <v>5822.8074342003547</v>
      </c>
      <c r="BW85" s="60">
        <f t="shared" ref="BW85:BW117" si="280">SUM(W85:AB85)</f>
        <v>14589.00745737822</v>
      </c>
      <c r="BX85" s="60">
        <f t="shared" ref="BX85:BX117" si="281">SUM(AD85:AI85)</f>
        <v>11354.964645519289</v>
      </c>
      <c r="BY85" s="60">
        <f t="shared" ref="BY85:BY117" si="282">SUM(AJ85:AO85)</f>
        <v>26995.824253694791</v>
      </c>
      <c r="BZ85" s="60">
        <f t="shared" ref="BZ85:BZ117" si="283">SUM(AQ85:AV85)</f>
        <v>17521.705970717903</v>
      </c>
      <c r="CA85" s="60">
        <f t="shared" ref="CA85:CA117" si="284">SUM(AW85:BB85)</f>
        <v>40389.195502502487</v>
      </c>
      <c r="CB85" s="60">
        <f t="shared" ref="CB85:CB117" si="285">SUM(BD85:BI85)</f>
        <v>22091.617183902956</v>
      </c>
      <c r="CC85" s="60">
        <f t="shared" ref="CC85:CC117" si="286">SUM(BJ85:BO85)</f>
        <v>49130.045721817914</v>
      </c>
      <c r="CF85" s="297" t="s">
        <v>861</v>
      </c>
      <c r="CG85" s="12" t="s">
        <v>967</v>
      </c>
    </row>
    <row r="86" spans="1:85" s="5" customFormat="1" ht="15.6" outlineLevel="1">
      <c r="A86" s="297" t="s">
        <v>158</v>
      </c>
      <c r="B86" s="12" t="s">
        <v>804</v>
      </c>
      <c r="D86" s="5">
        <f t="shared" ref="D86:BO86" si="287">D29/500*1000</f>
        <v>0</v>
      </c>
      <c r="E86" s="5">
        <f t="shared" si="287"/>
        <v>0</v>
      </c>
      <c r="F86" s="5">
        <f t="shared" si="287"/>
        <v>0</v>
      </c>
      <c r="G86" s="5">
        <f t="shared" si="287"/>
        <v>0</v>
      </c>
      <c r="H86" s="5">
        <f t="shared" si="287"/>
        <v>0</v>
      </c>
      <c r="I86" s="5">
        <f t="shared" si="287"/>
        <v>0</v>
      </c>
      <c r="J86" s="5">
        <f>J29/500*1000</f>
        <v>-55.724156093096127</v>
      </c>
      <c r="K86" s="5">
        <f t="shared" si="287"/>
        <v>-82.471751017782267</v>
      </c>
      <c r="L86" s="5">
        <f t="shared" si="287"/>
        <v>-130.54551974532302</v>
      </c>
      <c r="M86" s="5">
        <f t="shared" si="287"/>
        <v>-185.22531168045654</v>
      </c>
      <c r="N86" s="5">
        <f t="shared" si="287"/>
        <v>-226.00689223193649</v>
      </c>
      <c r="O86" s="5">
        <f t="shared" si="287"/>
        <v>-447.09546146646562</v>
      </c>
      <c r="P86" s="383">
        <f t="shared" si="287"/>
        <v>-1127.06909223506</v>
      </c>
      <c r="Q86" s="5">
        <f t="shared" si="287"/>
        <v>-400.7083918136077</v>
      </c>
      <c r="R86" s="5">
        <f t="shared" si="287"/>
        <v>-259.41189709719816</v>
      </c>
      <c r="S86" s="5">
        <f t="shared" si="287"/>
        <v>-469.77591542663646</v>
      </c>
      <c r="T86" s="5">
        <f t="shared" si="287"/>
        <v>-624.2351675461241</v>
      </c>
      <c r="U86" s="5">
        <f t="shared" si="287"/>
        <v>-813.29941386051235</v>
      </c>
      <c r="V86" s="5">
        <f t="shared" si="287"/>
        <v>-943.37957899437026</v>
      </c>
      <c r="W86" s="5">
        <f t="shared" si="287"/>
        <v>-1129.8906700171724</v>
      </c>
      <c r="X86" s="5">
        <f t="shared" si="287"/>
        <v>-1278.7531708712429</v>
      </c>
      <c r="Y86" s="5">
        <f t="shared" si="287"/>
        <v>-1375.8011338946615</v>
      </c>
      <c r="Z86" s="5">
        <f t="shared" si="287"/>
        <v>-1558.8528524782616</v>
      </c>
      <c r="AA86" s="5">
        <f t="shared" si="287"/>
        <v>-1636.0227735811823</v>
      </c>
      <c r="AB86" s="5">
        <f t="shared" si="287"/>
        <v>-1816.9927190472902</v>
      </c>
      <c r="AC86" s="383">
        <f t="shared" si="287"/>
        <v>-12307.123684628259</v>
      </c>
      <c r="AD86" s="5">
        <f t="shared" si="287"/>
        <v>-1069.5947205488051</v>
      </c>
      <c r="AE86" s="5">
        <f t="shared" si="287"/>
        <v>-470.442406705574</v>
      </c>
      <c r="AF86" s="5">
        <f t="shared" si="287"/>
        <v>-851.93668732476976</v>
      </c>
      <c r="AG86" s="5">
        <f t="shared" si="287"/>
        <v>-1132.0479047289914</v>
      </c>
      <c r="AH86" s="5">
        <f t="shared" si="287"/>
        <v>-1474.9151365460048</v>
      </c>
      <c r="AI86" s="5">
        <f t="shared" si="287"/>
        <v>-1710.8149801345257</v>
      </c>
      <c r="AJ86" s="5">
        <f t="shared" si="287"/>
        <v>-2049.0520753482947</v>
      </c>
      <c r="AK86" s="5">
        <f t="shared" si="287"/>
        <v>-2319.0136073892086</v>
      </c>
      <c r="AL86" s="5">
        <f t="shared" si="287"/>
        <v>-2495.0096885307921</v>
      </c>
      <c r="AM86" s="5">
        <f t="shared" si="287"/>
        <v>-2826.9732260773917</v>
      </c>
      <c r="AN86" s="5">
        <f t="shared" si="287"/>
        <v>-2966.9205600862661</v>
      </c>
      <c r="AO86" s="5">
        <f t="shared" si="287"/>
        <v>-3295.1088106604216</v>
      </c>
      <c r="AP86" s="383">
        <f t="shared" si="287"/>
        <v>-22661.829804081044</v>
      </c>
      <c r="AQ86" s="5">
        <f t="shared" si="287"/>
        <v>-1873.9034195429786</v>
      </c>
      <c r="AR86" s="5">
        <f t="shared" si="287"/>
        <v>-688.61448242715051</v>
      </c>
      <c r="AS86" s="5">
        <f t="shared" si="287"/>
        <v>-1247.0303115552372</v>
      </c>
      <c r="AT86" s="5">
        <f t="shared" si="287"/>
        <v>-1657.0457316055097</v>
      </c>
      <c r="AU86" s="5">
        <f t="shared" si="287"/>
        <v>-2158.9208559853309</v>
      </c>
      <c r="AV86" s="5">
        <f t="shared" si="287"/>
        <v>-2504.2214632050805</v>
      </c>
      <c r="AW86" s="5">
        <f t="shared" si="287"/>
        <v>-2999.3191817321058</v>
      </c>
      <c r="AX86" s="5">
        <f t="shared" si="287"/>
        <v>-3394.4779046954873</v>
      </c>
      <c r="AY86" s="5">
        <f t="shared" si="287"/>
        <v>-3652.0938181358065</v>
      </c>
      <c r="AZ86" s="5">
        <f t="shared" si="287"/>
        <v>-4138.0085578233866</v>
      </c>
      <c r="BA86" s="5">
        <f t="shared" si="287"/>
        <v>-4342.8577797514035</v>
      </c>
      <c r="BB86" s="5">
        <f t="shared" si="287"/>
        <v>-4823.2464077460581</v>
      </c>
      <c r="BC86" s="383">
        <f t="shared" si="287"/>
        <v>-33479.739914205536</v>
      </c>
      <c r="BD86" s="5">
        <f t="shared" si="287"/>
        <v>-2664.9483890675106</v>
      </c>
      <c r="BE86" s="5">
        <f t="shared" si="287"/>
        <v>-817.92356851010732</v>
      </c>
      <c r="BF86" s="5">
        <f t="shared" si="287"/>
        <v>-1481.1995804567398</v>
      </c>
      <c r="BG86" s="5">
        <f t="shared" si="287"/>
        <v>-1968.2083263803602</v>
      </c>
      <c r="BH86" s="5">
        <f t="shared" si="287"/>
        <v>-2564.3263331238859</v>
      </c>
      <c r="BI86" s="5">
        <f t="shared" si="287"/>
        <v>-2974.4680191808052</v>
      </c>
      <c r="BJ86" s="5">
        <f t="shared" si="287"/>
        <v>-3562.5359483819284</v>
      </c>
      <c r="BK86" s="5">
        <f t="shared" si="287"/>
        <v>-4031.8981838012196</v>
      </c>
      <c r="BL86" s="5">
        <f t="shared" si="287"/>
        <v>-4337.8896094874899</v>
      </c>
      <c r="BM86" s="5">
        <f t="shared" si="287"/>
        <v>-4915.0501659661586</v>
      </c>
      <c r="BN86" s="5">
        <f t="shared" si="287"/>
        <v>-5158.366289692337</v>
      </c>
      <c r="BO86" s="5">
        <f t="shared" si="287"/>
        <v>-5728.9630327293653</v>
      </c>
      <c r="BP86" s="383">
        <f t="shared" si="274"/>
        <v>-40205.777446777902</v>
      </c>
      <c r="BR86" s="60">
        <f t="shared" si="275"/>
        <v>0</v>
      </c>
      <c r="BS86" s="60">
        <f t="shared" si="276"/>
        <v>0</v>
      </c>
      <c r="BT86" s="60">
        <f t="shared" si="277"/>
        <v>-268.74142685620143</v>
      </c>
      <c r="BU86" s="60">
        <f t="shared" si="278"/>
        <v>-858.32766537885868</v>
      </c>
      <c r="BV86" s="60">
        <f t="shared" si="279"/>
        <v>-3510.8103647384487</v>
      </c>
      <c r="BW86" s="60">
        <f t="shared" si="280"/>
        <v>-8796.3133198898104</v>
      </c>
      <c r="BX86" s="60">
        <f t="shared" si="281"/>
        <v>-6709.7518359886708</v>
      </c>
      <c r="BY86" s="60">
        <f t="shared" si="282"/>
        <v>-15952.077968092375</v>
      </c>
      <c r="BZ86" s="60">
        <f t="shared" si="283"/>
        <v>-10129.736264321287</v>
      </c>
      <c r="CA86" s="60">
        <f t="shared" si="284"/>
        <v>-23350.003649884246</v>
      </c>
      <c r="CB86" s="60">
        <f t="shared" si="285"/>
        <v>-12471.074216719409</v>
      </c>
      <c r="CC86" s="60">
        <f t="shared" si="286"/>
        <v>-27734.703230058498</v>
      </c>
      <c r="CF86" s="297" t="s">
        <v>867</v>
      </c>
      <c r="CG86" s="12" t="s">
        <v>967</v>
      </c>
    </row>
    <row r="87" spans="1:85" s="3" customFormat="1" ht="15.6">
      <c r="A87" s="296" t="s">
        <v>514</v>
      </c>
      <c r="B87" s="12" t="s">
        <v>804</v>
      </c>
      <c r="C87" s="5"/>
      <c r="D87" s="3">
        <f t="shared" ref="D87:BO87" si="288">D30/500*1000</f>
        <v>0</v>
      </c>
      <c r="E87" s="3">
        <f t="shared" si="288"/>
        <v>0</v>
      </c>
      <c r="F87" s="3">
        <f t="shared" si="288"/>
        <v>0</v>
      </c>
      <c r="G87" s="3">
        <f t="shared" si="288"/>
        <v>0</v>
      </c>
      <c r="H87" s="3">
        <f t="shared" si="288"/>
        <v>0</v>
      </c>
      <c r="I87" s="3">
        <f t="shared" si="288"/>
        <v>0</v>
      </c>
      <c r="J87" s="3">
        <f t="shared" si="288"/>
        <v>0</v>
      </c>
      <c r="K87" s="3">
        <f t="shared" si="288"/>
        <v>0</v>
      </c>
      <c r="L87" s="3">
        <f t="shared" si="288"/>
        <v>0</v>
      </c>
      <c r="M87" s="3">
        <f t="shared" si="288"/>
        <v>0</v>
      </c>
      <c r="N87" s="3">
        <f t="shared" si="288"/>
        <v>0</v>
      </c>
      <c r="O87" s="3">
        <f t="shared" si="288"/>
        <v>0</v>
      </c>
      <c r="P87" s="397">
        <f t="shared" si="288"/>
        <v>0</v>
      </c>
      <c r="Q87" s="3">
        <f t="shared" si="288"/>
        <v>0</v>
      </c>
      <c r="R87" s="3">
        <f t="shared" si="288"/>
        <v>0</v>
      </c>
      <c r="S87" s="3">
        <f t="shared" si="288"/>
        <v>0</v>
      </c>
      <c r="T87" s="3">
        <f t="shared" si="288"/>
        <v>0</v>
      </c>
      <c r="U87" s="3">
        <f t="shared" si="288"/>
        <v>0</v>
      </c>
      <c r="V87" s="3">
        <f t="shared" si="288"/>
        <v>0</v>
      </c>
      <c r="W87" s="3">
        <f t="shared" si="288"/>
        <v>0</v>
      </c>
      <c r="X87" s="3">
        <f t="shared" si="288"/>
        <v>0</v>
      </c>
      <c r="Y87" s="3">
        <f t="shared" si="288"/>
        <v>0</v>
      </c>
      <c r="Z87" s="3">
        <f t="shared" si="288"/>
        <v>0</v>
      </c>
      <c r="AA87" s="3">
        <f t="shared" si="288"/>
        <v>0</v>
      </c>
      <c r="AB87" s="3">
        <f t="shared" si="288"/>
        <v>0</v>
      </c>
      <c r="AC87" s="397">
        <f t="shared" si="288"/>
        <v>0</v>
      </c>
      <c r="AD87" s="3">
        <f t="shared" si="288"/>
        <v>0</v>
      </c>
      <c r="AE87" s="3">
        <f t="shared" si="288"/>
        <v>0</v>
      </c>
      <c r="AF87" s="3">
        <f t="shared" si="288"/>
        <v>0</v>
      </c>
      <c r="AG87" s="3">
        <f t="shared" si="288"/>
        <v>0</v>
      </c>
      <c r="AH87" s="3">
        <f t="shared" si="288"/>
        <v>0</v>
      </c>
      <c r="AI87" s="3">
        <f t="shared" si="288"/>
        <v>0</v>
      </c>
      <c r="AJ87" s="3">
        <f t="shared" si="288"/>
        <v>0</v>
      </c>
      <c r="AK87" s="3">
        <f t="shared" si="288"/>
        <v>0</v>
      </c>
      <c r="AL87" s="3">
        <f t="shared" si="288"/>
        <v>0</v>
      </c>
      <c r="AM87" s="3">
        <f t="shared" si="288"/>
        <v>0</v>
      </c>
      <c r="AN87" s="3">
        <f t="shared" si="288"/>
        <v>0</v>
      </c>
      <c r="AO87" s="3">
        <f t="shared" si="288"/>
        <v>0</v>
      </c>
      <c r="AP87" s="397">
        <f t="shared" si="288"/>
        <v>0</v>
      </c>
      <c r="AQ87" s="3">
        <f t="shared" si="288"/>
        <v>0</v>
      </c>
      <c r="AR87" s="3">
        <f t="shared" si="288"/>
        <v>0</v>
      </c>
      <c r="AS87" s="3">
        <f t="shared" si="288"/>
        <v>0</v>
      </c>
      <c r="AT87" s="3">
        <f t="shared" si="288"/>
        <v>0</v>
      </c>
      <c r="AU87" s="3">
        <f t="shared" si="288"/>
        <v>0</v>
      </c>
      <c r="AV87" s="3">
        <f t="shared" si="288"/>
        <v>0</v>
      </c>
      <c r="AW87" s="3">
        <f t="shared" si="288"/>
        <v>0</v>
      </c>
      <c r="AX87" s="3">
        <f t="shared" si="288"/>
        <v>0</v>
      </c>
      <c r="AY87" s="3">
        <f t="shared" si="288"/>
        <v>0</v>
      </c>
      <c r="AZ87" s="3">
        <f t="shared" si="288"/>
        <v>0</v>
      </c>
      <c r="BA87" s="3">
        <f t="shared" si="288"/>
        <v>0</v>
      </c>
      <c r="BB87" s="3">
        <f t="shared" si="288"/>
        <v>0</v>
      </c>
      <c r="BC87" s="397">
        <f t="shared" si="288"/>
        <v>0</v>
      </c>
      <c r="BD87" s="3">
        <f t="shared" si="288"/>
        <v>0</v>
      </c>
      <c r="BE87" s="3">
        <f t="shared" si="288"/>
        <v>0</v>
      </c>
      <c r="BF87" s="3">
        <f t="shared" si="288"/>
        <v>0</v>
      </c>
      <c r="BG87" s="3">
        <f t="shared" si="288"/>
        <v>0</v>
      </c>
      <c r="BH87" s="3">
        <f t="shared" si="288"/>
        <v>0</v>
      </c>
      <c r="BI87" s="3">
        <f t="shared" si="288"/>
        <v>0</v>
      </c>
      <c r="BJ87" s="3">
        <f t="shared" si="288"/>
        <v>0</v>
      </c>
      <c r="BK87" s="3">
        <f t="shared" si="288"/>
        <v>0</v>
      </c>
      <c r="BL87" s="3">
        <f t="shared" si="288"/>
        <v>0</v>
      </c>
      <c r="BM87" s="3">
        <f t="shared" si="288"/>
        <v>0</v>
      </c>
      <c r="BN87" s="3">
        <f t="shared" si="288"/>
        <v>0</v>
      </c>
      <c r="BO87" s="3">
        <f t="shared" si="288"/>
        <v>0</v>
      </c>
      <c r="BP87" s="397">
        <f t="shared" si="274"/>
        <v>0</v>
      </c>
      <c r="BR87" s="60">
        <f t="shared" si="275"/>
        <v>0</v>
      </c>
      <c r="BS87" s="60">
        <f t="shared" si="276"/>
        <v>0</v>
      </c>
      <c r="BT87" s="60">
        <f t="shared" si="277"/>
        <v>0</v>
      </c>
      <c r="BU87" s="60">
        <f t="shared" si="278"/>
        <v>0</v>
      </c>
      <c r="BV87" s="60">
        <f t="shared" si="279"/>
        <v>0</v>
      </c>
      <c r="BW87" s="60">
        <f t="shared" si="280"/>
        <v>0</v>
      </c>
      <c r="BX87" s="60">
        <f t="shared" si="281"/>
        <v>0</v>
      </c>
      <c r="BY87" s="60">
        <f t="shared" si="282"/>
        <v>0</v>
      </c>
      <c r="BZ87" s="60">
        <f t="shared" si="283"/>
        <v>0</v>
      </c>
      <c r="CA87" s="60">
        <f t="shared" si="284"/>
        <v>0</v>
      </c>
      <c r="CB87" s="60">
        <f t="shared" si="285"/>
        <v>0</v>
      </c>
      <c r="CC87" s="60">
        <f t="shared" si="286"/>
        <v>0</v>
      </c>
      <c r="CF87" s="296" t="s">
        <v>870</v>
      </c>
      <c r="CG87" s="12" t="s">
        <v>967</v>
      </c>
    </row>
    <row r="88" spans="1:85" s="5" customFormat="1" ht="15.6" outlineLevel="1">
      <c r="A88" s="297" t="s">
        <v>275</v>
      </c>
      <c r="B88" s="12" t="s">
        <v>804</v>
      </c>
      <c r="P88" s="383">
        <f t="shared" ref="P88:P113" si="289">SUM(D88:O88)</f>
        <v>0</v>
      </c>
      <c r="AC88" s="383">
        <f t="shared" ref="AC88:AC113" si="290">SUM(Q88:AB88)</f>
        <v>0</v>
      </c>
      <c r="AP88" s="383">
        <f t="shared" ref="AP88:AP113" si="291">SUM(AD88:AO88)</f>
        <v>0</v>
      </c>
      <c r="BC88" s="383">
        <f t="shared" ref="BC88:BC113" si="292">SUM(AQ88:BB88)</f>
        <v>0</v>
      </c>
      <c r="BP88" s="383">
        <f t="shared" ref="BP88:BP113" si="293">SUM(BD88:BO88)</f>
        <v>0</v>
      </c>
      <c r="BR88" s="60">
        <f t="shared" si="275"/>
        <v>0</v>
      </c>
      <c r="BS88" s="60">
        <f t="shared" si="276"/>
        <v>0</v>
      </c>
      <c r="BT88" s="60">
        <f t="shared" si="277"/>
        <v>0</v>
      </c>
      <c r="BU88" s="60">
        <f t="shared" si="278"/>
        <v>0</v>
      </c>
      <c r="BV88" s="60">
        <f t="shared" si="279"/>
        <v>0</v>
      </c>
      <c r="BW88" s="60">
        <f t="shared" si="280"/>
        <v>0</v>
      </c>
      <c r="BX88" s="60">
        <f t="shared" si="281"/>
        <v>0</v>
      </c>
      <c r="BY88" s="60">
        <f t="shared" si="282"/>
        <v>0</v>
      </c>
      <c r="BZ88" s="60">
        <f t="shared" si="283"/>
        <v>0</v>
      </c>
      <c r="CA88" s="60">
        <f t="shared" si="284"/>
        <v>0</v>
      </c>
      <c r="CB88" s="60">
        <f t="shared" si="285"/>
        <v>0</v>
      </c>
      <c r="CC88" s="60">
        <f t="shared" si="286"/>
        <v>0</v>
      </c>
      <c r="CF88" s="297" t="s">
        <v>862</v>
      </c>
      <c r="CG88" s="12" t="s">
        <v>967</v>
      </c>
    </row>
    <row r="89" spans="1:85" s="5" customFormat="1" ht="15.6" outlineLevel="1">
      <c r="A89" s="297" t="s">
        <v>274</v>
      </c>
      <c r="B89" s="12" t="s">
        <v>804</v>
      </c>
      <c r="P89" s="383">
        <f t="shared" si="289"/>
        <v>0</v>
      </c>
      <c r="AC89" s="383">
        <f t="shared" si="290"/>
        <v>0</v>
      </c>
      <c r="AP89" s="383">
        <f t="shared" si="291"/>
        <v>0</v>
      </c>
      <c r="BC89" s="383">
        <f t="shared" si="292"/>
        <v>0</v>
      </c>
      <c r="BP89" s="383">
        <f t="shared" si="293"/>
        <v>0</v>
      </c>
      <c r="BR89" s="60">
        <f t="shared" si="275"/>
        <v>0</v>
      </c>
      <c r="BS89" s="60">
        <f t="shared" si="276"/>
        <v>0</v>
      </c>
      <c r="BT89" s="60">
        <f t="shared" si="277"/>
        <v>0</v>
      </c>
      <c r="BU89" s="60">
        <f t="shared" si="278"/>
        <v>0</v>
      </c>
      <c r="BV89" s="60">
        <f t="shared" si="279"/>
        <v>0</v>
      </c>
      <c r="BW89" s="60">
        <f t="shared" si="280"/>
        <v>0</v>
      </c>
      <c r="BX89" s="60">
        <f t="shared" si="281"/>
        <v>0</v>
      </c>
      <c r="BY89" s="60">
        <f t="shared" si="282"/>
        <v>0</v>
      </c>
      <c r="BZ89" s="60">
        <f t="shared" si="283"/>
        <v>0</v>
      </c>
      <c r="CA89" s="60">
        <f t="shared" si="284"/>
        <v>0</v>
      </c>
      <c r="CB89" s="60">
        <f t="shared" si="285"/>
        <v>0</v>
      </c>
      <c r="CC89" s="60">
        <f t="shared" si="286"/>
        <v>0</v>
      </c>
      <c r="CF89" s="297" t="s">
        <v>874</v>
      </c>
      <c r="CG89" s="12" t="s">
        <v>967</v>
      </c>
    </row>
    <row r="90" spans="1:85" s="5" customFormat="1" ht="15.6" outlineLevel="1">
      <c r="A90" s="297" t="s">
        <v>515</v>
      </c>
      <c r="B90" s="12" t="s">
        <v>804</v>
      </c>
      <c r="P90" s="383">
        <f t="shared" si="289"/>
        <v>0</v>
      </c>
      <c r="AC90" s="383">
        <f t="shared" si="290"/>
        <v>0</v>
      </c>
      <c r="AP90" s="383">
        <f t="shared" si="291"/>
        <v>0</v>
      </c>
      <c r="BC90" s="383">
        <f t="shared" si="292"/>
        <v>0</v>
      </c>
      <c r="BP90" s="383">
        <f t="shared" si="293"/>
        <v>0</v>
      </c>
      <c r="BR90" s="60">
        <f t="shared" si="275"/>
        <v>0</v>
      </c>
      <c r="BS90" s="60">
        <f t="shared" si="276"/>
        <v>0</v>
      </c>
      <c r="BT90" s="60">
        <f t="shared" si="277"/>
        <v>0</v>
      </c>
      <c r="BU90" s="60">
        <f t="shared" si="278"/>
        <v>0</v>
      </c>
      <c r="BV90" s="60">
        <f t="shared" si="279"/>
        <v>0</v>
      </c>
      <c r="BW90" s="60">
        <f t="shared" si="280"/>
        <v>0</v>
      </c>
      <c r="BX90" s="60">
        <f t="shared" si="281"/>
        <v>0</v>
      </c>
      <c r="BY90" s="60">
        <f t="shared" si="282"/>
        <v>0</v>
      </c>
      <c r="BZ90" s="60">
        <f t="shared" si="283"/>
        <v>0</v>
      </c>
      <c r="CA90" s="60">
        <f t="shared" si="284"/>
        <v>0</v>
      </c>
      <c r="CB90" s="60">
        <f t="shared" si="285"/>
        <v>0</v>
      </c>
      <c r="CC90" s="60">
        <f t="shared" si="286"/>
        <v>0</v>
      </c>
      <c r="CF90" s="297" t="s">
        <v>869</v>
      </c>
      <c r="CG90" s="12" t="s">
        <v>967</v>
      </c>
    </row>
    <row r="91" spans="1:85" s="63" customFormat="1" ht="15.6">
      <c r="A91" s="298" t="s">
        <v>516</v>
      </c>
      <c r="B91" s="12" t="s">
        <v>804</v>
      </c>
      <c r="C91" s="299"/>
      <c r="D91" s="3">
        <f t="shared" ref="D91:BO91" si="294">D34/500*1000</f>
        <v>0</v>
      </c>
      <c r="E91" s="3">
        <f t="shared" si="294"/>
        <v>0</v>
      </c>
      <c r="F91" s="3">
        <f t="shared" si="294"/>
        <v>0</v>
      </c>
      <c r="G91" s="3">
        <f t="shared" si="294"/>
        <v>0</v>
      </c>
      <c r="H91" s="3">
        <f t="shared" si="294"/>
        <v>0</v>
      </c>
      <c r="I91" s="3">
        <f t="shared" si="294"/>
        <v>0</v>
      </c>
      <c r="J91" s="3">
        <f t="shared" si="294"/>
        <v>34.989586384037125</v>
      </c>
      <c r="K91" s="3">
        <f t="shared" si="294"/>
        <v>51.784587848374926</v>
      </c>
      <c r="L91" s="3">
        <f t="shared" si="294"/>
        <v>81.970442630784191</v>
      </c>
      <c r="M91" s="3">
        <f t="shared" si="294"/>
        <v>116.30426547377502</v>
      </c>
      <c r="N91" s="3">
        <f t="shared" si="294"/>
        <v>141.91130442470433</v>
      </c>
      <c r="O91" s="3">
        <f t="shared" si="294"/>
        <v>280.73435952545515</v>
      </c>
      <c r="P91" s="397">
        <f t="shared" si="294"/>
        <v>707.69454628713072</v>
      </c>
      <c r="Q91" s="3">
        <f t="shared" si="294"/>
        <v>263.88113607237585</v>
      </c>
      <c r="R91" s="3">
        <f t="shared" si="294"/>
        <v>170.83222491766708</v>
      </c>
      <c r="S91" s="3">
        <f t="shared" si="294"/>
        <v>309.36462723217511</v>
      </c>
      <c r="T91" s="3">
        <f t="shared" si="294"/>
        <v>411.08169570110613</v>
      </c>
      <c r="U91" s="3">
        <f t="shared" si="294"/>
        <v>535.58741888375209</v>
      </c>
      <c r="V91" s="3">
        <f t="shared" si="294"/>
        <v>621.24996665482911</v>
      </c>
      <c r="W91" s="3">
        <f t="shared" si="294"/>
        <v>744.07434366984512</v>
      </c>
      <c r="X91" s="3">
        <f t="shared" si="294"/>
        <v>842.10574667130572</v>
      </c>
      <c r="Y91" s="3">
        <f t="shared" si="294"/>
        <v>906.01538085746029</v>
      </c>
      <c r="Z91" s="3">
        <f t="shared" si="294"/>
        <v>1026.5616345588553</v>
      </c>
      <c r="AA91" s="3">
        <f t="shared" si="294"/>
        <v>1077.3808508949246</v>
      </c>
      <c r="AB91" s="3">
        <f t="shared" si="294"/>
        <v>1196.5561808360201</v>
      </c>
      <c r="AC91" s="397">
        <f t="shared" si="294"/>
        <v>8104.6912069503151</v>
      </c>
      <c r="AD91" s="3">
        <f t="shared" si="294"/>
        <v>740.48865268763439</v>
      </c>
      <c r="AE91" s="3">
        <f t="shared" si="294"/>
        <v>325.69089695001281</v>
      </c>
      <c r="AF91" s="3">
        <f t="shared" si="294"/>
        <v>589.80232199407124</v>
      </c>
      <c r="AG91" s="3">
        <f t="shared" si="294"/>
        <v>783.72547250468619</v>
      </c>
      <c r="AH91" s="3">
        <f t="shared" si="294"/>
        <v>1021.0950945318496</v>
      </c>
      <c r="AI91" s="3">
        <f t="shared" si="294"/>
        <v>1184.4103708623638</v>
      </c>
      <c r="AJ91" s="3">
        <f t="shared" si="294"/>
        <v>1418.5745137026656</v>
      </c>
      <c r="AK91" s="3">
        <f t="shared" si="294"/>
        <v>1605.4709589617596</v>
      </c>
      <c r="AL91" s="3">
        <f t="shared" si="294"/>
        <v>1727.3143997520874</v>
      </c>
      <c r="AM91" s="3">
        <f t="shared" si="294"/>
        <v>1957.1353103612719</v>
      </c>
      <c r="AN91" s="3">
        <f t="shared" si="294"/>
        <v>2054.0219262135688</v>
      </c>
      <c r="AO91" s="3">
        <f t="shared" si="294"/>
        <v>2281.2291766110616</v>
      </c>
      <c r="AP91" s="397">
        <f t="shared" si="294"/>
        <v>15688.959095133032</v>
      </c>
      <c r="AQ91" s="3">
        <f t="shared" si="294"/>
        <v>1367.4430358827144</v>
      </c>
      <c r="AR91" s="3">
        <f t="shared" si="294"/>
        <v>502.50246014954246</v>
      </c>
      <c r="AS91" s="3">
        <f t="shared" si="294"/>
        <v>909.99509221598396</v>
      </c>
      <c r="AT91" s="3">
        <f t="shared" si="294"/>
        <v>1209.1955338742907</v>
      </c>
      <c r="AU91" s="3">
        <f t="shared" si="294"/>
        <v>1575.4287327460524</v>
      </c>
      <c r="AV91" s="3">
        <f t="shared" si="294"/>
        <v>1827.4048515280315</v>
      </c>
      <c r="AW91" s="3">
        <f t="shared" si="294"/>
        <v>2188.6923758585635</v>
      </c>
      <c r="AX91" s="3">
        <f t="shared" si="294"/>
        <v>2477.0514439669778</v>
      </c>
      <c r="AY91" s="3">
        <f t="shared" si="294"/>
        <v>2665.0414348558602</v>
      </c>
      <c r="AZ91" s="3">
        <f t="shared" si="294"/>
        <v>3019.6278665197688</v>
      </c>
      <c r="BA91" s="3">
        <f t="shared" si="294"/>
        <v>3169.1124338726459</v>
      </c>
      <c r="BB91" s="3">
        <f t="shared" si="294"/>
        <v>3519.6662975444206</v>
      </c>
      <c r="BC91" s="397">
        <f t="shared" si="294"/>
        <v>24431.16155901485</v>
      </c>
      <c r="BD91" s="3">
        <f t="shared" si="294"/>
        <v>2055.8173287092218</v>
      </c>
      <c r="BE91" s="3">
        <f t="shared" si="294"/>
        <v>630.96960999351131</v>
      </c>
      <c r="BF91" s="3">
        <f t="shared" si="294"/>
        <v>1142.6396763523423</v>
      </c>
      <c r="BG91" s="3">
        <f t="shared" si="294"/>
        <v>1518.3321374934208</v>
      </c>
      <c r="BH91" s="3">
        <f t="shared" si="294"/>
        <v>1978.1945998384263</v>
      </c>
      <c r="BI91" s="3">
        <f t="shared" si="294"/>
        <v>2294.5896147966218</v>
      </c>
      <c r="BJ91" s="3">
        <f t="shared" si="294"/>
        <v>2748.2420173232013</v>
      </c>
      <c r="BK91" s="3">
        <f t="shared" si="294"/>
        <v>3110.3214560752253</v>
      </c>
      <c r="BL91" s="3">
        <f t="shared" si="294"/>
        <v>3346.371984461779</v>
      </c>
      <c r="BM91" s="3">
        <f t="shared" si="294"/>
        <v>3791.6101280310359</v>
      </c>
      <c r="BN91" s="3">
        <f t="shared" si="294"/>
        <v>3979.3111377626601</v>
      </c>
      <c r="BO91" s="3">
        <f t="shared" si="294"/>
        <v>4419.4857681055109</v>
      </c>
      <c r="BP91" s="397">
        <f t="shared" ref="BP91" si="295">BP34/500*1000</f>
        <v>31015.885458942957</v>
      </c>
      <c r="BR91" s="60">
        <f t="shared" si="275"/>
        <v>0</v>
      </c>
      <c r="BS91" s="60">
        <f t="shared" si="276"/>
        <v>0</v>
      </c>
      <c r="BT91" s="60">
        <f t="shared" si="277"/>
        <v>168.74461686319626</v>
      </c>
      <c r="BU91" s="60">
        <f t="shared" si="278"/>
        <v>538.94992942393446</v>
      </c>
      <c r="BV91" s="60">
        <f t="shared" si="279"/>
        <v>2311.9970694619055</v>
      </c>
      <c r="BW91" s="60">
        <f t="shared" si="280"/>
        <v>5792.69413748841</v>
      </c>
      <c r="BX91" s="60">
        <f t="shared" si="281"/>
        <v>4645.212809530618</v>
      </c>
      <c r="BY91" s="60">
        <f t="shared" si="282"/>
        <v>11043.746285602414</v>
      </c>
      <c r="BZ91" s="60">
        <f t="shared" si="283"/>
        <v>7391.9697063966159</v>
      </c>
      <c r="CA91" s="60">
        <f t="shared" si="284"/>
        <v>17039.191852618238</v>
      </c>
      <c r="CB91" s="60">
        <f t="shared" si="285"/>
        <v>9620.5429671835445</v>
      </c>
      <c r="CC91" s="60">
        <f t="shared" si="286"/>
        <v>21395.342491759413</v>
      </c>
      <c r="CF91" s="298" t="s">
        <v>868</v>
      </c>
      <c r="CG91" s="12" t="s">
        <v>967</v>
      </c>
    </row>
    <row r="92" spans="1:85" s="3" customFormat="1" ht="15.6">
      <c r="A92" s="296" t="s">
        <v>517</v>
      </c>
      <c r="B92" s="12" t="s">
        <v>804</v>
      </c>
      <c r="C92" s="5"/>
      <c r="D92" s="3">
        <f t="shared" ref="D92:BO92" si="296">D35/500*1000</f>
        <v>0</v>
      </c>
      <c r="E92" s="3">
        <f t="shared" si="296"/>
        <v>0</v>
      </c>
      <c r="F92" s="3">
        <f t="shared" si="296"/>
        <v>0</v>
      </c>
      <c r="G92" s="3">
        <f t="shared" si="296"/>
        <v>0</v>
      </c>
      <c r="H92" s="3">
        <f t="shared" si="296"/>
        <v>0</v>
      </c>
      <c r="I92" s="3">
        <f t="shared" si="296"/>
        <v>0</v>
      </c>
      <c r="J92" s="3">
        <f t="shared" si="296"/>
        <v>-19.978621855082924</v>
      </c>
      <c r="K92" s="3">
        <f t="shared" si="296"/>
        <v>-29.40853137068207</v>
      </c>
      <c r="L92" s="3">
        <f t="shared" si="296"/>
        <v>-46.298120374794813</v>
      </c>
      <c r="M92" s="3">
        <f t="shared" si="296"/>
        <v>-65.331408383416885</v>
      </c>
      <c r="N92" s="3">
        <f t="shared" si="296"/>
        <v>-79.277611422442902</v>
      </c>
      <c r="O92" s="3">
        <f t="shared" si="296"/>
        <v>-155.96353306969741</v>
      </c>
      <c r="P92" s="397">
        <f t="shared" si="296"/>
        <v>-396.25782647611697</v>
      </c>
      <c r="Q92" s="3">
        <f t="shared" si="296"/>
        <v>-145.78618320047926</v>
      </c>
      <c r="R92" s="3">
        <f t="shared" si="296"/>
        <v>-93.852271714026983</v>
      </c>
      <c r="S92" s="3">
        <f t="shared" si="296"/>
        <v>-169.00475006202169</v>
      </c>
      <c r="T92" s="3">
        <f t="shared" si="296"/>
        <v>-223.30363717097129</v>
      </c>
      <c r="U92" s="3">
        <f t="shared" si="296"/>
        <v>-289.28332810079206</v>
      </c>
      <c r="V92" s="3">
        <f t="shared" si="296"/>
        <v>-333.63424135166758</v>
      </c>
      <c r="W92" s="3">
        <f t="shared" si="296"/>
        <v>-397.29895510766443</v>
      </c>
      <c r="X92" s="3">
        <f t="shared" si="296"/>
        <v>-447.04379144279244</v>
      </c>
      <c r="Y92" s="3">
        <f t="shared" si="296"/>
        <v>-478.17478434143749</v>
      </c>
      <c r="Z92" s="3">
        <f t="shared" si="296"/>
        <v>-538.62801813273302</v>
      </c>
      <c r="AA92" s="3">
        <f t="shared" si="296"/>
        <v>-561.96717222605685</v>
      </c>
      <c r="AB92" s="3">
        <f t="shared" si="296"/>
        <v>-620.4365382112702</v>
      </c>
      <c r="AC92" s="397">
        <f t="shared" si="296"/>
        <v>-4298.4136710619132</v>
      </c>
      <c r="AD92" s="3">
        <f t="shared" si="296"/>
        <v>-381.6716203667745</v>
      </c>
      <c r="AE92" s="3">
        <f t="shared" si="296"/>
        <v>-166.86632374599424</v>
      </c>
      <c r="AF92" s="3">
        <f t="shared" si="296"/>
        <v>-300.36229360809205</v>
      </c>
      <c r="AG92" s="3">
        <f t="shared" si="296"/>
        <v>-396.70054781101419</v>
      </c>
      <c r="AH92" s="3">
        <f t="shared" si="296"/>
        <v>-513.69907533546768</v>
      </c>
      <c r="AI92" s="3">
        <f t="shared" si="296"/>
        <v>-592.20518543118226</v>
      </c>
      <c r="AJ92" s="3">
        <f t="shared" si="296"/>
        <v>-704.90894045101618</v>
      </c>
      <c r="AK92" s="3">
        <f t="shared" si="296"/>
        <v>-792.82516491938782</v>
      </c>
      <c r="AL92" s="3">
        <f t="shared" si="296"/>
        <v>-847.66354802648766</v>
      </c>
      <c r="AM92" s="3">
        <f t="shared" si="296"/>
        <v>-954.40549085518865</v>
      </c>
      <c r="AN92" s="3">
        <f t="shared" si="296"/>
        <v>-995.31309387509418</v>
      </c>
      <c r="AO92" s="3">
        <f t="shared" si="296"/>
        <v>-1098.3696035534747</v>
      </c>
      <c r="AP92" s="397">
        <f t="shared" si="296"/>
        <v>-7744.9908879791737</v>
      </c>
      <c r="AQ92" s="3">
        <f t="shared" si="296"/>
        <v>-654.17799556117507</v>
      </c>
      <c r="AR92" s="3">
        <f t="shared" si="296"/>
        <v>-238.84376192293064</v>
      </c>
      <c r="AS92" s="3">
        <f t="shared" si="296"/>
        <v>-429.719904657548</v>
      </c>
      <c r="AT92" s="3">
        <f t="shared" si="296"/>
        <v>-567.27691712621072</v>
      </c>
      <c r="AU92" s="3">
        <f t="shared" si="296"/>
        <v>-734.22758840942583</v>
      </c>
      <c r="AV92" s="3">
        <f t="shared" si="296"/>
        <v>-846.02076459631144</v>
      </c>
      <c r="AW92" s="3">
        <f t="shared" si="296"/>
        <v>-1006.5282839596485</v>
      </c>
      <c r="AX92" s="3">
        <f t="shared" si="296"/>
        <v>-1131.4926348984961</v>
      </c>
      <c r="AY92" s="3">
        <f t="shared" si="296"/>
        <v>-1209.1391695179361</v>
      </c>
      <c r="AZ92" s="3">
        <f t="shared" si="296"/>
        <v>-1360.6965077527354</v>
      </c>
      <c r="BA92" s="3">
        <f t="shared" si="296"/>
        <v>-1418.2756262701657</v>
      </c>
      <c r="BB92" s="3">
        <f t="shared" si="296"/>
        <v>-1564.2961322419651</v>
      </c>
      <c r="BC92" s="397">
        <f t="shared" si="296"/>
        <v>-11160.69528691455</v>
      </c>
      <c r="BD92" s="3">
        <f t="shared" si="296"/>
        <v>-907.35147532536666</v>
      </c>
      <c r="BE92" s="3">
        <f t="shared" si="296"/>
        <v>-276.5360636391315</v>
      </c>
      <c r="BF92" s="3">
        <f t="shared" si="296"/>
        <v>-497.25985915333399</v>
      </c>
      <c r="BG92" s="3">
        <f t="shared" si="296"/>
        <v>-656.06944212678661</v>
      </c>
      <c r="BH92" s="3">
        <f t="shared" si="296"/>
        <v>-848.66990548623824</v>
      </c>
      <c r="BI92" s="3">
        <f t="shared" si="296"/>
        <v>-977.32520630226441</v>
      </c>
      <c r="BJ92" s="3">
        <f t="shared" si="296"/>
        <v>-1162.0652974483903</v>
      </c>
      <c r="BK92" s="3">
        <f t="shared" si="296"/>
        <v>-1305.5670309451559</v>
      </c>
      <c r="BL92" s="3">
        <f t="shared" si="296"/>
        <v>-1394.3216601924071</v>
      </c>
      <c r="BM92" s="3">
        <f t="shared" si="296"/>
        <v>-1568.1350529511069</v>
      </c>
      <c r="BN92" s="3">
        <f t="shared" si="296"/>
        <v>-1633.4826584025723</v>
      </c>
      <c r="BO92" s="3">
        <f t="shared" si="296"/>
        <v>-1800.5312388577997</v>
      </c>
      <c r="BP92" s="397">
        <f t="shared" ref="BP92" si="297">BP35/500*1000</f>
        <v>-13027.314890830554</v>
      </c>
      <c r="BR92" s="60">
        <f t="shared" si="275"/>
        <v>0</v>
      </c>
      <c r="BS92" s="60">
        <f t="shared" si="276"/>
        <v>0</v>
      </c>
      <c r="BT92" s="60">
        <f t="shared" si="277"/>
        <v>-95.68527360055981</v>
      </c>
      <c r="BU92" s="60">
        <f t="shared" si="278"/>
        <v>-300.57255287555722</v>
      </c>
      <c r="BV92" s="60">
        <f t="shared" si="279"/>
        <v>-1254.8644115999587</v>
      </c>
      <c r="BW92" s="60">
        <f t="shared" si="280"/>
        <v>-3043.5492594619545</v>
      </c>
      <c r="BX92" s="60">
        <f t="shared" si="281"/>
        <v>-2351.5050462985246</v>
      </c>
      <c r="BY92" s="60">
        <f t="shared" si="282"/>
        <v>-5393.4858416806501</v>
      </c>
      <c r="BZ92" s="60">
        <f t="shared" si="283"/>
        <v>-3470.2669322736015</v>
      </c>
      <c r="CA92" s="60">
        <f t="shared" si="284"/>
        <v>-7690.4283546409479</v>
      </c>
      <c r="CB92" s="60">
        <f t="shared" si="285"/>
        <v>-4163.2119520331216</v>
      </c>
      <c r="CC92" s="60">
        <f t="shared" si="286"/>
        <v>-8864.1029387974322</v>
      </c>
      <c r="CF92" s="296" t="s">
        <v>873</v>
      </c>
      <c r="CG92" s="12" t="s">
        <v>967</v>
      </c>
    </row>
    <row r="93" spans="1:85" s="63" customFormat="1" ht="15.6">
      <c r="A93" s="298" t="s">
        <v>518</v>
      </c>
      <c r="B93" s="12" t="s">
        <v>804</v>
      </c>
      <c r="C93" s="299"/>
      <c r="D93" s="63">
        <f t="shared" ref="D93:BO93" si="298">D36/500*1000</f>
        <v>0</v>
      </c>
      <c r="E93" s="63">
        <f t="shared" si="298"/>
        <v>0</v>
      </c>
      <c r="F93" s="63">
        <f t="shared" si="298"/>
        <v>0</v>
      </c>
      <c r="G93" s="63">
        <f t="shared" si="298"/>
        <v>0</v>
      </c>
      <c r="H93" s="63">
        <f t="shared" si="298"/>
        <v>0</v>
      </c>
      <c r="I93" s="63">
        <f t="shared" si="298"/>
        <v>0</v>
      </c>
      <c r="J93" s="63">
        <f t="shared" si="298"/>
        <v>15.010964528954201</v>
      </c>
      <c r="K93" s="63">
        <f t="shared" si="298"/>
        <v>22.376056477692856</v>
      </c>
      <c r="L93" s="63">
        <f t="shared" si="298"/>
        <v>35.672322255989378</v>
      </c>
      <c r="M93" s="63">
        <f t="shared" si="298"/>
        <v>50.972857090358133</v>
      </c>
      <c r="N93" s="63">
        <f t="shared" si="298"/>
        <v>62.633693002261417</v>
      </c>
      <c r="O93" s="63">
        <f t="shared" si="298"/>
        <v>124.77082645575774</v>
      </c>
      <c r="P93" s="419">
        <f t="shared" si="298"/>
        <v>311.43671981101375</v>
      </c>
      <c r="Q93" s="63">
        <f t="shared" si="298"/>
        <v>118.0949528718966</v>
      </c>
      <c r="R93" s="63">
        <f t="shared" si="298"/>
        <v>76.979953203640093</v>
      </c>
      <c r="S93" s="63">
        <f t="shared" si="298"/>
        <v>140.35987717015342</v>
      </c>
      <c r="T93" s="63">
        <f t="shared" si="298"/>
        <v>187.77805853013484</v>
      </c>
      <c r="U93" s="63">
        <f t="shared" si="298"/>
        <v>246.30409078296003</v>
      </c>
      <c r="V93" s="63">
        <f t="shared" si="298"/>
        <v>287.61572530316153</v>
      </c>
      <c r="W93" s="63">
        <f t="shared" si="298"/>
        <v>346.77538856218069</v>
      </c>
      <c r="X93" s="63">
        <f t="shared" si="298"/>
        <v>395.06195522851328</v>
      </c>
      <c r="Y93" s="63">
        <f t="shared" si="298"/>
        <v>427.8405965160228</v>
      </c>
      <c r="Z93" s="63">
        <f t="shared" si="298"/>
        <v>487.93361642612228</v>
      </c>
      <c r="AA93" s="63">
        <f t="shared" si="298"/>
        <v>515.41367866886776</v>
      </c>
      <c r="AB93" s="63">
        <f t="shared" si="298"/>
        <v>576.11964262474987</v>
      </c>
      <c r="AC93" s="419">
        <f t="shared" si="298"/>
        <v>3806.2775358884028</v>
      </c>
      <c r="AD93" s="63">
        <f t="shared" si="298"/>
        <v>358.81703232085988</v>
      </c>
      <c r="AE93" s="63">
        <f t="shared" si="298"/>
        <v>158.82457320401858</v>
      </c>
      <c r="AF93" s="63">
        <f t="shared" si="298"/>
        <v>289.44002838597919</v>
      </c>
      <c r="AG93" s="63">
        <f t="shared" si="298"/>
        <v>387.02492469367201</v>
      </c>
      <c r="AH93" s="63">
        <f t="shared" si="298"/>
        <v>507.39601919638187</v>
      </c>
      <c r="AI93" s="63">
        <f t="shared" si="298"/>
        <v>592.20518543118158</v>
      </c>
      <c r="AJ93" s="63">
        <f t="shared" si="298"/>
        <v>713.66557325164945</v>
      </c>
      <c r="AK93" s="63">
        <f t="shared" si="298"/>
        <v>812.64579404237179</v>
      </c>
      <c r="AL93" s="63">
        <f t="shared" si="298"/>
        <v>879.65085172559975</v>
      </c>
      <c r="AM93" s="63">
        <f t="shared" si="298"/>
        <v>1002.7298195060832</v>
      </c>
      <c r="AN93" s="63">
        <f t="shared" si="298"/>
        <v>1058.7088323384746</v>
      </c>
      <c r="AO93" s="63">
        <f t="shared" si="298"/>
        <v>1182.8595730575869</v>
      </c>
      <c r="AP93" s="419">
        <f t="shared" si="298"/>
        <v>7943.9682071538591</v>
      </c>
      <c r="AQ93" s="63">
        <f t="shared" si="298"/>
        <v>713.26504032153935</v>
      </c>
      <c r="AR93" s="63">
        <f t="shared" si="298"/>
        <v>263.65869822661182</v>
      </c>
      <c r="AS93" s="63">
        <f t="shared" si="298"/>
        <v>480.27518755843596</v>
      </c>
      <c r="AT93" s="63">
        <f t="shared" si="298"/>
        <v>641.91861674808001</v>
      </c>
      <c r="AU93" s="63">
        <f t="shared" si="298"/>
        <v>841.20114433662661</v>
      </c>
      <c r="AV93" s="63">
        <f t="shared" si="298"/>
        <v>981.38408693172005</v>
      </c>
      <c r="AW93" s="63">
        <f t="shared" si="298"/>
        <v>1182.1640918989149</v>
      </c>
      <c r="AX93" s="63">
        <f t="shared" si="298"/>
        <v>1345.5588090684817</v>
      </c>
      <c r="AY93" s="63">
        <f t="shared" si="298"/>
        <v>1455.9022653379241</v>
      </c>
      <c r="AZ93" s="63">
        <f t="shared" si="298"/>
        <v>1658.9313587670333</v>
      </c>
      <c r="BA93" s="63">
        <f t="shared" si="298"/>
        <v>1750.8368076024801</v>
      </c>
      <c r="BB93" s="63">
        <f t="shared" si="298"/>
        <v>1955.3701653024555</v>
      </c>
      <c r="BC93" s="419">
        <f t="shared" si="298"/>
        <v>13270.466272100304</v>
      </c>
      <c r="BD93" s="63">
        <f t="shared" si="298"/>
        <v>1148.4658533838551</v>
      </c>
      <c r="BE93" s="63">
        <f t="shared" si="298"/>
        <v>354.43354635437981</v>
      </c>
      <c r="BF93" s="63">
        <f t="shared" si="298"/>
        <v>645.37981719900836</v>
      </c>
      <c r="BG93" s="63">
        <f t="shared" si="298"/>
        <v>862.26269536663415</v>
      </c>
      <c r="BH93" s="63">
        <f t="shared" si="298"/>
        <v>1129.5246943521879</v>
      </c>
      <c r="BI93" s="63">
        <f t="shared" si="298"/>
        <v>1317.2644084943574</v>
      </c>
      <c r="BJ93" s="63">
        <f t="shared" si="298"/>
        <v>1586.1767198748109</v>
      </c>
      <c r="BK93" s="63">
        <f t="shared" si="298"/>
        <v>1804.7544251300694</v>
      </c>
      <c r="BL93" s="63">
        <f t="shared" si="298"/>
        <v>1952.0503242693719</v>
      </c>
      <c r="BM93" s="63">
        <f t="shared" si="298"/>
        <v>2223.475075079929</v>
      </c>
      <c r="BN93" s="63">
        <f t="shared" si="298"/>
        <v>2345.8284793600878</v>
      </c>
      <c r="BO93" s="63">
        <f t="shared" si="298"/>
        <v>2618.9545292477114</v>
      </c>
      <c r="BP93" s="419">
        <f t="shared" ref="BP93" si="299">BP36/500*1000</f>
        <v>17988.570568112405</v>
      </c>
      <c r="BR93" s="60">
        <f t="shared" si="275"/>
        <v>0</v>
      </c>
      <c r="BS93" s="60">
        <f t="shared" si="276"/>
        <v>0</v>
      </c>
      <c r="BT93" s="60">
        <f t="shared" si="277"/>
        <v>73.059343262636446</v>
      </c>
      <c r="BU93" s="60">
        <f t="shared" si="278"/>
        <v>238.3773765483773</v>
      </c>
      <c r="BV93" s="60">
        <f t="shared" si="279"/>
        <v>1057.1326578619464</v>
      </c>
      <c r="BW93" s="60">
        <f t="shared" si="280"/>
        <v>2749.1448780264564</v>
      </c>
      <c r="BX93" s="60">
        <f t="shared" si="281"/>
        <v>2293.7077632320934</v>
      </c>
      <c r="BY93" s="60">
        <f t="shared" si="282"/>
        <v>5650.2604439217666</v>
      </c>
      <c r="BZ93" s="60">
        <f t="shared" si="283"/>
        <v>3921.702774123014</v>
      </c>
      <c r="CA93" s="60">
        <f t="shared" si="284"/>
        <v>9348.7634979772884</v>
      </c>
      <c r="CB93" s="60">
        <f t="shared" si="285"/>
        <v>5457.3310151504229</v>
      </c>
      <c r="CC93" s="60">
        <f t="shared" si="286"/>
        <v>12531.239552961983</v>
      </c>
      <c r="CF93" s="298" t="s">
        <v>872</v>
      </c>
      <c r="CG93" s="12" t="s">
        <v>967</v>
      </c>
    </row>
    <row r="94" spans="1:85" s="3" customFormat="1" ht="15.6">
      <c r="A94" s="296" t="s">
        <v>471</v>
      </c>
      <c r="B94" s="12" t="s">
        <v>804</v>
      </c>
      <c r="C94" s="5"/>
      <c r="D94" s="3">
        <f t="shared" ref="D94:BO94" si="300">D37/500*1000</f>
        <v>0</v>
      </c>
      <c r="E94" s="3">
        <f t="shared" si="300"/>
        <v>0</v>
      </c>
      <c r="F94" s="3">
        <f t="shared" si="300"/>
        <v>0</v>
      </c>
      <c r="G94" s="3">
        <f t="shared" si="300"/>
        <v>0</v>
      </c>
      <c r="H94" s="3">
        <f t="shared" si="300"/>
        <v>0</v>
      </c>
      <c r="I94" s="3">
        <f t="shared" si="300"/>
        <v>0</v>
      </c>
      <c r="J94" s="3">
        <f t="shared" si="300"/>
        <v>0</v>
      </c>
      <c r="K94" s="3">
        <f t="shared" si="300"/>
        <v>0</v>
      </c>
      <c r="L94" s="3">
        <f t="shared" si="300"/>
        <v>0</v>
      </c>
      <c r="M94" s="3">
        <f t="shared" si="300"/>
        <v>0</v>
      </c>
      <c r="N94" s="3">
        <f t="shared" si="300"/>
        <v>0</v>
      </c>
      <c r="O94" s="3">
        <f t="shared" si="300"/>
        <v>0</v>
      </c>
      <c r="P94" s="397">
        <f t="shared" si="300"/>
        <v>0</v>
      </c>
      <c r="Q94" s="3">
        <f t="shared" si="300"/>
        <v>0</v>
      </c>
      <c r="R94" s="3">
        <f t="shared" si="300"/>
        <v>0</v>
      </c>
      <c r="S94" s="3">
        <f t="shared" si="300"/>
        <v>0</v>
      </c>
      <c r="T94" s="3">
        <f t="shared" si="300"/>
        <v>0</v>
      </c>
      <c r="U94" s="3">
        <f t="shared" si="300"/>
        <v>0</v>
      </c>
      <c r="V94" s="3">
        <f t="shared" si="300"/>
        <v>0</v>
      </c>
      <c r="W94" s="3">
        <f t="shared" si="300"/>
        <v>0</v>
      </c>
      <c r="X94" s="3">
        <f t="shared" si="300"/>
        <v>0</v>
      </c>
      <c r="Y94" s="3">
        <f t="shared" si="300"/>
        <v>0</v>
      </c>
      <c r="Z94" s="3">
        <f t="shared" si="300"/>
        <v>0</v>
      </c>
      <c r="AA94" s="3">
        <f t="shared" si="300"/>
        <v>0</v>
      </c>
      <c r="AB94" s="3">
        <f t="shared" si="300"/>
        <v>0</v>
      </c>
      <c r="AC94" s="397">
        <f t="shared" si="300"/>
        <v>0</v>
      </c>
      <c r="AD94" s="3">
        <f t="shared" si="300"/>
        <v>0</v>
      </c>
      <c r="AE94" s="3">
        <f t="shared" si="300"/>
        <v>0</v>
      </c>
      <c r="AF94" s="3">
        <f t="shared" si="300"/>
        <v>0</v>
      </c>
      <c r="AG94" s="3">
        <f t="shared" si="300"/>
        <v>0</v>
      </c>
      <c r="AH94" s="3">
        <f t="shared" si="300"/>
        <v>0</v>
      </c>
      <c r="AI94" s="3">
        <f t="shared" si="300"/>
        <v>0</v>
      </c>
      <c r="AJ94" s="3">
        <f t="shared" si="300"/>
        <v>0</v>
      </c>
      <c r="AK94" s="3">
        <f t="shared" si="300"/>
        <v>0</v>
      </c>
      <c r="AL94" s="3">
        <f t="shared" si="300"/>
        <v>0</v>
      </c>
      <c r="AM94" s="3">
        <f t="shared" si="300"/>
        <v>0</v>
      </c>
      <c r="AN94" s="3">
        <f t="shared" si="300"/>
        <v>0</v>
      </c>
      <c r="AO94" s="3">
        <f t="shared" si="300"/>
        <v>0</v>
      </c>
      <c r="AP94" s="397">
        <f t="shared" si="300"/>
        <v>0</v>
      </c>
      <c r="AQ94" s="3">
        <f t="shared" si="300"/>
        <v>0</v>
      </c>
      <c r="AR94" s="3">
        <f t="shared" si="300"/>
        <v>0</v>
      </c>
      <c r="AS94" s="3">
        <f t="shared" si="300"/>
        <v>0</v>
      </c>
      <c r="AT94" s="3">
        <f t="shared" si="300"/>
        <v>0</v>
      </c>
      <c r="AU94" s="3">
        <f t="shared" si="300"/>
        <v>0</v>
      </c>
      <c r="AV94" s="3">
        <f t="shared" si="300"/>
        <v>0</v>
      </c>
      <c r="AW94" s="3">
        <f t="shared" si="300"/>
        <v>0</v>
      </c>
      <c r="AX94" s="3">
        <f t="shared" si="300"/>
        <v>0</v>
      </c>
      <c r="AY94" s="3">
        <f t="shared" si="300"/>
        <v>0</v>
      </c>
      <c r="AZ94" s="3">
        <f t="shared" si="300"/>
        <v>0</v>
      </c>
      <c r="BA94" s="3">
        <f t="shared" si="300"/>
        <v>0</v>
      </c>
      <c r="BB94" s="3">
        <f t="shared" si="300"/>
        <v>0</v>
      </c>
      <c r="BC94" s="397">
        <f t="shared" si="300"/>
        <v>0</v>
      </c>
      <c r="BD94" s="3">
        <f t="shared" si="300"/>
        <v>0</v>
      </c>
      <c r="BE94" s="3">
        <f t="shared" si="300"/>
        <v>0</v>
      </c>
      <c r="BF94" s="3">
        <f t="shared" si="300"/>
        <v>0</v>
      </c>
      <c r="BG94" s="3">
        <f t="shared" si="300"/>
        <v>0</v>
      </c>
      <c r="BH94" s="3">
        <f t="shared" si="300"/>
        <v>0</v>
      </c>
      <c r="BI94" s="3">
        <f t="shared" si="300"/>
        <v>0</v>
      </c>
      <c r="BJ94" s="3">
        <f t="shared" si="300"/>
        <v>0</v>
      </c>
      <c r="BK94" s="3">
        <f t="shared" si="300"/>
        <v>0</v>
      </c>
      <c r="BL94" s="3">
        <f t="shared" si="300"/>
        <v>0</v>
      </c>
      <c r="BM94" s="3">
        <f t="shared" si="300"/>
        <v>0</v>
      </c>
      <c r="BN94" s="3">
        <f t="shared" si="300"/>
        <v>0</v>
      </c>
      <c r="BO94" s="3">
        <f t="shared" si="300"/>
        <v>0</v>
      </c>
      <c r="BP94" s="397">
        <f t="shared" ref="BP94" si="301">BP37/500*1000</f>
        <v>0</v>
      </c>
      <c r="BR94" s="60">
        <f t="shared" si="275"/>
        <v>0</v>
      </c>
      <c r="BS94" s="60">
        <f t="shared" si="276"/>
        <v>0</v>
      </c>
      <c r="BT94" s="60">
        <f t="shared" si="277"/>
        <v>0</v>
      </c>
      <c r="BU94" s="60">
        <f t="shared" si="278"/>
        <v>0</v>
      </c>
      <c r="BV94" s="60">
        <f t="shared" si="279"/>
        <v>0</v>
      </c>
      <c r="BW94" s="60">
        <f t="shared" si="280"/>
        <v>0</v>
      </c>
      <c r="BX94" s="60">
        <f t="shared" si="281"/>
        <v>0</v>
      </c>
      <c r="BY94" s="60">
        <f t="shared" si="282"/>
        <v>0</v>
      </c>
      <c r="BZ94" s="60">
        <f t="shared" si="283"/>
        <v>0</v>
      </c>
      <c r="CA94" s="60">
        <f t="shared" si="284"/>
        <v>0</v>
      </c>
      <c r="CB94" s="60">
        <f t="shared" si="285"/>
        <v>0</v>
      </c>
      <c r="CC94" s="60">
        <f t="shared" si="286"/>
        <v>0</v>
      </c>
      <c r="CF94" s="296" t="s">
        <v>863</v>
      </c>
      <c r="CG94" s="12" t="s">
        <v>967</v>
      </c>
    </row>
    <row r="95" spans="1:85" s="5" customFormat="1" ht="15.6" outlineLevel="1">
      <c r="A95" s="297" t="s">
        <v>519</v>
      </c>
      <c r="B95" s="12" t="s">
        <v>804</v>
      </c>
      <c r="D95" s="5">
        <f t="shared" ref="D95:BO95" si="302">D38/500*1000</f>
        <v>0</v>
      </c>
      <c r="E95" s="5">
        <f t="shared" si="302"/>
        <v>0</v>
      </c>
      <c r="F95" s="5">
        <f t="shared" si="302"/>
        <v>0</v>
      </c>
      <c r="G95" s="5">
        <f t="shared" si="302"/>
        <v>0</v>
      </c>
      <c r="H95" s="5">
        <f t="shared" si="302"/>
        <v>0</v>
      </c>
      <c r="I95" s="5">
        <f t="shared" si="302"/>
        <v>0</v>
      </c>
      <c r="J95" s="5">
        <f t="shared" si="302"/>
        <v>0</v>
      </c>
      <c r="K95" s="5">
        <f t="shared" si="302"/>
        <v>0</v>
      </c>
      <c r="L95" s="5">
        <f t="shared" si="302"/>
        <v>0</v>
      </c>
      <c r="M95" s="5">
        <f t="shared" si="302"/>
        <v>0</v>
      </c>
      <c r="N95" s="5">
        <f t="shared" si="302"/>
        <v>0</v>
      </c>
      <c r="O95" s="5">
        <f t="shared" si="302"/>
        <v>0</v>
      </c>
      <c r="P95" s="383">
        <f t="shared" si="302"/>
        <v>0</v>
      </c>
      <c r="Q95" s="5">
        <f t="shared" si="302"/>
        <v>0</v>
      </c>
      <c r="R95" s="5">
        <f t="shared" si="302"/>
        <v>0</v>
      </c>
      <c r="S95" s="5">
        <f t="shared" si="302"/>
        <v>0</v>
      </c>
      <c r="T95" s="5">
        <f t="shared" si="302"/>
        <v>0</v>
      </c>
      <c r="U95" s="5">
        <f t="shared" si="302"/>
        <v>0</v>
      </c>
      <c r="V95" s="5">
        <f t="shared" si="302"/>
        <v>0</v>
      </c>
      <c r="W95" s="5">
        <f t="shared" si="302"/>
        <v>0</v>
      </c>
      <c r="X95" s="5">
        <f t="shared" si="302"/>
        <v>0</v>
      </c>
      <c r="Y95" s="5">
        <f t="shared" si="302"/>
        <v>0</v>
      </c>
      <c r="Z95" s="5">
        <f t="shared" si="302"/>
        <v>0</v>
      </c>
      <c r="AA95" s="5">
        <f t="shared" si="302"/>
        <v>0</v>
      </c>
      <c r="AB95" s="5">
        <f t="shared" si="302"/>
        <v>0</v>
      </c>
      <c r="AC95" s="383">
        <f t="shared" si="302"/>
        <v>0</v>
      </c>
      <c r="AD95" s="5">
        <f t="shared" si="302"/>
        <v>0</v>
      </c>
      <c r="AE95" s="5">
        <f t="shared" si="302"/>
        <v>0</v>
      </c>
      <c r="AF95" s="5">
        <f t="shared" si="302"/>
        <v>0</v>
      </c>
      <c r="AG95" s="5">
        <f t="shared" si="302"/>
        <v>0</v>
      </c>
      <c r="AH95" s="5">
        <f t="shared" si="302"/>
        <v>0</v>
      </c>
      <c r="AI95" s="5">
        <f t="shared" si="302"/>
        <v>0</v>
      </c>
      <c r="AJ95" s="5">
        <f t="shared" si="302"/>
        <v>0</v>
      </c>
      <c r="AK95" s="5">
        <f t="shared" si="302"/>
        <v>0</v>
      </c>
      <c r="AL95" s="5">
        <f t="shared" si="302"/>
        <v>0</v>
      </c>
      <c r="AM95" s="5">
        <f t="shared" si="302"/>
        <v>0</v>
      </c>
      <c r="AN95" s="5">
        <f t="shared" si="302"/>
        <v>0</v>
      </c>
      <c r="AO95" s="5">
        <f t="shared" si="302"/>
        <v>0</v>
      </c>
      <c r="AP95" s="383">
        <f t="shared" si="302"/>
        <v>0</v>
      </c>
      <c r="AQ95" s="5">
        <f t="shared" si="302"/>
        <v>0</v>
      </c>
      <c r="AR95" s="5">
        <f t="shared" si="302"/>
        <v>0</v>
      </c>
      <c r="AS95" s="5">
        <f t="shared" si="302"/>
        <v>0</v>
      </c>
      <c r="AT95" s="5">
        <f t="shared" si="302"/>
        <v>0</v>
      </c>
      <c r="AU95" s="5">
        <f t="shared" si="302"/>
        <v>0</v>
      </c>
      <c r="AV95" s="5">
        <f t="shared" si="302"/>
        <v>0</v>
      </c>
      <c r="AW95" s="5">
        <f t="shared" si="302"/>
        <v>0</v>
      </c>
      <c r="AX95" s="5">
        <f t="shared" si="302"/>
        <v>0</v>
      </c>
      <c r="AY95" s="5">
        <f t="shared" si="302"/>
        <v>0</v>
      </c>
      <c r="AZ95" s="5">
        <f t="shared" si="302"/>
        <v>0</v>
      </c>
      <c r="BA95" s="5">
        <f t="shared" si="302"/>
        <v>0</v>
      </c>
      <c r="BB95" s="5">
        <f t="shared" si="302"/>
        <v>0</v>
      </c>
      <c r="BC95" s="383">
        <f t="shared" si="302"/>
        <v>0</v>
      </c>
      <c r="BD95" s="5">
        <f t="shared" si="302"/>
        <v>0</v>
      </c>
      <c r="BE95" s="5">
        <f t="shared" si="302"/>
        <v>0</v>
      </c>
      <c r="BF95" s="5">
        <f t="shared" si="302"/>
        <v>0</v>
      </c>
      <c r="BG95" s="5">
        <f t="shared" si="302"/>
        <v>0</v>
      </c>
      <c r="BH95" s="5">
        <f t="shared" si="302"/>
        <v>0</v>
      </c>
      <c r="BI95" s="5">
        <f t="shared" si="302"/>
        <v>0</v>
      </c>
      <c r="BJ95" s="5">
        <f t="shared" si="302"/>
        <v>0</v>
      </c>
      <c r="BK95" s="5">
        <f t="shared" si="302"/>
        <v>0</v>
      </c>
      <c r="BL95" s="5">
        <f t="shared" si="302"/>
        <v>0</v>
      </c>
      <c r="BM95" s="5">
        <f t="shared" si="302"/>
        <v>0</v>
      </c>
      <c r="BN95" s="5">
        <f t="shared" si="302"/>
        <v>0</v>
      </c>
      <c r="BO95" s="5">
        <f t="shared" si="302"/>
        <v>0</v>
      </c>
      <c r="BP95" s="383">
        <f t="shared" ref="BP95" si="303">BP38/500*1000</f>
        <v>0</v>
      </c>
      <c r="BR95" s="60">
        <f t="shared" si="275"/>
        <v>0</v>
      </c>
      <c r="BS95" s="60">
        <f t="shared" si="276"/>
        <v>0</v>
      </c>
      <c r="BT95" s="60">
        <f t="shared" si="277"/>
        <v>0</v>
      </c>
      <c r="BU95" s="60">
        <f t="shared" si="278"/>
        <v>0</v>
      </c>
      <c r="BV95" s="60">
        <f t="shared" si="279"/>
        <v>0</v>
      </c>
      <c r="BW95" s="60">
        <f t="shared" si="280"/>
        <v>0</v>
      </c>
      <c r="BX95" s="60">
        <f t="shared" si="281"/>
        <v>0</v>
      </c>
      <c r="BY95" s="60">
        <f t="shared" si="282"/>
        <v>0</v>
      </c>
      <c r="BZ95" s="60">
        <f t="shared" si="283"/>
        <v>0</v>
      </c>
      <c r="CA95" s="60">
        <f t="shared" si="284"/>
        <v>0</v>
      </c>
      <c r="CB95" s="60">
        <f t="shared" si="285"/>
        <v>0</v>
      </c>
      <c r="CC95" s="60">
        <f t="shared" si="286"/>
        <v>0</v>
      </c>
      <c r="CF95" s="297" t="s">
        <v>1031</v>
      </c>
      <c r="CG95" s="12" t="s">
        <v>967</v>
      </c>
    </row>
    <row r="96" spans="1:85" s="5" customFormat="1" ht="15.6" outlineLevel="1">
      <c r="A96" s="297" t="s">
        <v>679</v>
      </c>
      <c r="B96" s="12" t="s">
        <v>804</v>
      </c>
      <c r="P96" s="383">
        <f t="shared" si="289"/>
        <v>0</v>
      </c>
      <c r="AC96" s="383">
        <f t="shared" si="290"/>
        <v>0</v>
      </c>
      <c r="AP96" s="383">
        <f t="shared" si="291"/>
        <v>0</v>
      </c>
      <c r="BC96" s="383">
        <f t="shared" si="292"/>
        <v>0</v>
      </c>
      <c r="BP96" s="383">
        <f t="shared" si="293"/>
        <v>0</v>
      </c>
      <c r="BR96" s="60">
        <f t="shared" si="275"/>
        <v>0</v>
      </c>
      <c r="BS96" s="60">
        <f t="shared" si="276"/>
        <v>0</v>
      </c>
      <c r="BT96" s="60">
        <f t="shared" si="277"/>
        <v>0</v>
      </c>
      <c r="BU96" s="60">
        <f t="shared" si="278"/>
        <v>0</v>
      </c>
      <c r="BV96" s="60">
        <f t="shared" si="279"/>
        <v>0</v>
      </c>
      <c r="BW96" s="60">
        <f t="shared" si="280"/>
        <v>0</v>
      </c>
      <c r="BX96" s="60">
        <f t="shared" si="281"/>
        <v>0</v>
      </c>
      <c r="BY96" s="60">
        <f t="shared" si="282"/>
        <v>0</v>
      </c>
      <c r="BZ96" s="60">
        <f t="shared" si="283"/>
        <v>0</v>
      </c>
      <c r="CA96" s="60">
        <f t="shared" si="284"/>
        <v>0</v>
      </c>
      <c r="CB96" s="60">
        <f t="shared" si="285"/>
        <v>0</v>
      </c>
      <c r="CC96" s="60">
        <f t="shared" si="286"/>
        <v>0</v>
      </c>
      <c r="CF96" s="297" t="s">
        <v>1109</v>
      </c>
      <c r="CG96" s="12" t="s">
        <v>967</v>
      </c>
    </row>
    <row r="97" spans="1:85" s="5" customFormat="1" ht="15.6" outlineLevel="1">
      <c r="A97" s="297" t="s">
        <v>678</v>
      </c>
      <c r="B97" s="12" t="s">
        <v>804</v>
      </c>
      <c r="P97" s="383">
        <f t="shared" si="289"/>
        <v>0</v>
      </c>
      <c r="AC97" s="383">
        <f t="shared" si="290"/>
        <v>0</v>
      </c>
      <c r="AP97" s="383">
        <f t="shared" si="291"/>
        <v>0</v>
      </c>
      <c r="BC97" s="383">
        <f t="shared" si="292"/>
        <v>0</v>
      </c>
      <c r="BP97" s="383">
        <f t="shared" si="293"/>
        <v>0</v>
      </c>
      <c r="BR97" s="60">
        <f t="shared" si="275"/>
        <v>0</v>
      </c>
      <c r="BS97" s="60">
        <f t="shared" si="276"/>
        <v>0</v>
      </c>
      <c r="BT97" s="60">
        <f t="shared" si="277"/>
        <v>0</v>
      </c>
      <c r="BU97" s="60">
        <f t="shared" si="278"/>
        <v>0</v>
      </c>
      <c r="BV97" s="60">
        <f t="shared" si="279"/>
        <v>0</v>
      </c>
      <c r="BW97" s="60">
        <f t="shared" si="280"/>
        <v>0</v>
      </c>
      <c r="BX97" s="60">
        <f t="shared" si="281"/>
        <v>0</v>
      </c>
      <c r="BY97" s="60">
        <f t="shared" si="282"/>
        <v>0</v>
      </c>
      <c r="BZ97" s="60">
        <f t="shared" si="283"/>
        <v>0</v>
      </c>
      <c r="CA97" s="60">
        <f t="shared" si="284"/>
        <v>0</v>
      </c>
      <c r="CB97" s="60">
        <f t="shared" si="285"/>
        <v>0</v>
      </c>
      <c r="CC97" s="60">
        <f t="shared" si="286"/>
        <v>0</v>
      </c>
      <c r="CF97" s="297" t="s">
        <v>1110</v>
      </c>
      <c r="CG97" s="12" t="s">
        <v>967</v>
      </c>
    </row>
    <row r="98" spans="1:85" s="3" customFormat="1" ht="15.6">
      <c r="A98" s="296" t="s">
        <v>472</v>
      </c>
      <c r="B98" s="12" t="s">
        <v>804</v>
      </c>
      <c r="C98" s="5"/>
      <c r="D98" s="5">
        <f t="shared" ref="D98:BO98" si="304">D41/500*1000</f>
        <v>0</v>
      </c>
      <c r="E98" s="5">
        <f t="shared" si="304"/>
        <v>0</v>
      </c>
      <c r="F98" s="5">
        <f t="shared" si="304"/>
        <v>0</v>
      </c>
      <c r="G98" s="5">
        <f t="shared" si="304"/>
        <v>0</v>
      </c>
      <c r="H98" s="5">
        <f t="shared" si="304"/>
        <v>0</v>
      </c>
      <c r="I98" s="5">
        <f t="shared" si="304"/>
        <v>0</v>
      </c>
      <c r="J98" s="5">
        <f t="shared" si="304"/>
        <v>-6.1033209224246328</v>
      </c>
      <c r="K98" s="5">
        <f t="shared" si="304"/>
        <v>-6.1033209224246328</v>
      </c>
      <c r="L98" s="5">
        <f t="shared" si="304"/>
        <v>-6.1033209224246328</v>
      </c>
      <c r="M98" s="5">
        <f t="shared" si="304"/>
        <v>-6.1033209224246328</v>
      </c>
      <c r="N98" s="5">
        <f t="shared" si="304"/>
        <v>-6.1033209224246328</v>
      </c>
      <c r="O98" s="5">
        <f t="shared" si="304"/>
        <v>-42.72324645697244</v>
      </c>
      <c r="P98" s="383">
        <f t="shared" si="304"/>
        <v>-73.239851069095607</v>
      </c>
      <c r="Q98" s="5">
        <f t="shared" si="304"/>
        <v>-22.291492240436323</v>
      </c>
      <c r="R98" s="5">
        <f t="shared" si="304"/>
        <v>-22.291492240436323</v>
      </c>
      <c r="S98" s="5">
        <f t="shared" si="304"/>
        <v>-22.291492240436323</v>
      </c>
      <c r="T98" s="5">
        <f t="shared" si="304"/>
        <v>-22.291492240436323</v>
      </c>
      <c r="U98" s="5">
        <f t="shared" si="304"/>
        <v>-22.291492240436323</v>
      </c>
      <c r="V98" s="5">
        <f t="shared" si="304"/>
        <v>-22.291492240436323</v>
      </c>
      <c r="W98" s="5">
        <f t="shared" si="304"/>
        <v>-22.291492240436323</v>
      </c>
      <c r="X98" s="5">
        <f t="shared" si="304"/>
        <v>-22.291492240436323</v>
      </c>
      <c r="Y98" s="5">
        <f t="shared" si="304"/>
        <v>-22.291492240436323</v>
      </c>
      <c r="Z98" s="5">
        <f t="shared" si="304"/>
        <v>-22.291492240436323</v>
      </c>
      <c r="AA98" s="5">
        <f t="shared" si="304"/>
        <v>-22.291492240436323</v>
      </c>
      <c r="AB98" s="5">
        <f t="shared" si="304"/>
        <v>-22.291492240436309</v>
      </c>
      <c r="AC98" s="383">
        <f t="shared" si="304"/>
        <v>-267.49790688523586</v>
      </c>
      <c r="AD98" s="5">
        <f t="shared" si="304"/>
        <v>-42.498633414398213</v>
      </c>
      <c r="AE98" s="5">
        <f t="shared" si="304"/>
        <v>-42.498633414398213</v>
      </c>
      <c r="AF98" s="5">
        <f t="shared" si="304"/>
        <v>-42.498633414398213</v>
      </c>
      <c r="AG98" s="5">
        <f t="shared" si="304"/>
        <v>-42.498633414398213</v>
      </c>
      <c r="AH98" s="5">
        <f t="shared" si="304"/>
        <v>-42.498633414398213</v>
      </c>
      <c r="AI98" s="5">
        <f t="shared" si="304"/>
        <v>-42.498633414398213</v>
      </c>
      <c r="AJ98" s="5">
        <f t="shared" si="304"/>
        <v>-42.498633414398213</v>
      </c>
      <c r="AK98" s="5">
        <f t="shared" si="304"/>
        <v>-42.498633414398213</v>
      </c>
      <c r="AL98" s="5">
        <f t="shared" si="304"/>
        <v>-42.498633414398213</v>
      </c>
      <c r="AM98" s="5">
        <f t="shared" si="304"/>
        <v>-42.498633414398213</v>
      </c>
      <c r="AN98" s="5">
        <f t="shared" si="304"/>
        <v>-42.498633414398213</v>
      </c>
      <c r="AO98" s="5">
        <f t="shared" si="304"/>
        <v>-42.498633414398171</v>
      </c>
      <c r="AP98" s="383">
        <f t="shared" si="304"/>
        <v>-509.98360097277862</v>
      </c>
      <c r="AQ98" s="5">
        <f t="shared" si="304"/>
        <v>-65.570355339118748</v>
      </c>
      <c r="AR98" s="5">
        <f t="shared" si="304"/>
        <v>-65.570355339118748</v>
      </c>
      <c r="AS98" s="5">
        <f t="shared" si="304"/>
        <v>-65.570355339118748</v>
      </c>
      <c r="AT98" s="5">
        <f t="shared" si="304"/>
        <v>-65.570355339118748</v>
      </c>
      <c r="AU98" s="5">
        <f t="shared" si="304"/>
        <v>-65.570355339118748</v>
      </c>
      <c r="AV98" s="5">
        <f t="shared" si="304"/>
        <v>-65.570355339118748</v>
      </c>
      <c r="AW98" s="5">
        <f t="shared" si="304"/>
        <v>-65.570355339118748</v>
      </c>
      <c r="AX98" s="5">
        <f t="shared" si="304"/>
        <v>-65.570355339118748</v>
      </c>
      <c r="AY98" s="5">
        <f t="shared" si="304"/>
        <v>-65.570355339118748</v>
      </c>
      <c r="AZ98" s="5">
        <f t="shared" si="304"/>
        <v>-65.570355339118748</v>
      </c>
      <c r="BA98" s="5">
        <f t="shared" si="304"/>
        <v>-65.570355339118748</v>
      </c>
      <c r="BB98" s="5">
        <f t="shared" si="304"/>
        <v>-65.570355339118692</v>
      </c>
      <c r="BC98" s="383">
        <f t="shared" si="304"/>
        <v>-786.84426406942509</v>
      </c>
      <c r="BD98" s="5">
        <f t="shared" si="304"/>
        <v>-82.333729317757644</v>
      </c>
      <c r="BE98" s="5">
        <f t="shared" si="304"/>
        <v>-82.333729317757644</v>
      </c>
      <c r="BF98" s="5">
        <f t="shared" si="304"/>
        <v>-82.333729317757644</v>
      </c>
      <c r="BG98" s="5">
        <f t="shared" si="304"/>
        <v>-82.333729317757644</v>
      </c>
      <c r="BH98" s="5">
        <f t="shared" si="304"/>
        <v>-82.333729317757644</v>
      </c>
      <c r="BI98" s="5">
        <f t="shared" si="304"/>
        <v>-82.333729317757644</v>
      </c>
      <c r="BJ98" s="5">
        <f t="shared" si="304"/>
        <v>-82.333729317757644</v>
      </c>
      <c r="BK98" s="5">
        <f t="shared" si="304"/>
        <v>-82.333729317757644</v>
      </c>
      <c r="BL98" s="5">
        <f t="shared" si="304"/>
        <v>-82.333729317757644</v>
      </c>
      <c r="BM98" s="5">
        <f t="shared" si="304"/>
        <v>-82.333729317757644</v>
      </c>
      <c r="BN98" s="5">
        <f t="shared" si="304"/>
        <v>-82.333729317757644</v>
      </c>
      <c r="BO98" s="5">
        <f t="shared" si="304"/>
        <v>-82.333729317757559</v>
      </c>
      <c r="BP98" s="383">
        <f t="shared" ref="BP98" si="305">BP41/500*1000</f>
        <v>-988.00475181309139</v>
      </c>
      <c r="BR98" s="60">
        <f t="shared" si="275"/>
        <v>0</v>
      </c>
      <c r="BS98" s="60">
        <f t="shared" si="276"/>
        <v>0</v>
      </c>
      <c r="BT98" s="60">
        <f t="shared" si="277"/>
        <v>-18.309962767273898</v>
      </c>
      <c r="BU98" s="60">
        <f t="shared" si="278"/>
        <v>-54.929888301821705</v>
      </c>
      <c r="BV98" s="60">
        <f t="shared" si="279"/>
        <v>-133.74895344261793</v>
      </c>
      <c r="BW98" s="60">
        <f t="shared" si="280"/>
        <v>-133.74895344261793</v>
      </c>
      <c r="BX98" s="60">
        <f t="shared" si="281"/>
        <v>-254.99180048638931</v>
      </c>
      <c r="BY98" s="60">
        <f t="shared" si="282"/>
        <v>-254.99180048638925</v>
      </c>
      <c r="BZ98" s="60">
        <f t="shared" si="283"/>
        <v>-393.42213203471249</v>
      </c>
      <c r="CA98" s="60">
        <f t="shared" si="284"/>
        <v>-393.42213203471243</v>
      </c>
      <c r="CB98" s="60">
        <f t="shared" si="285"/>
        <v>-494.00237590654581</v>
      </c>
      <c r="CC98" s="60">
        <f t="shared" si="286"/>
        <v>-494.00237590654575</v>
      </c>
      <c r="CF98" s="296" t="s">
        <v>864</v>
      </c>
      <c r="CG98" s="12" t="s">
        <v>967</v>
      </c>
    </row>
    <row r="99" spans="1:85" s="3" customFormat="1" ht="15.6">
      <c r="A99" s="296" t="s">
        <v>525</v>
      </c>
      <c r="B99" s="12" t="s">
        <v>804</v>
      </c>
      <c r="C99" s="5"/>
      <c r="P99" s="397">
        <f t="shared" si="289"/>
        <v>0</v>
      </c>
      <c r="AC99" s="397">
        <f t="shared" si="290"/>
        <v>0</v>
      </c>
      <c r="AP99" s="397">
        <f t="shared" si="291"/>
        <v>0</v>
      </c>
      <c r="BC99" s="397">
        <f t="shared" si="292"/>
        <v>0</v>
      </c>
      <c r="BP99" s="397">
        <f t="shared" si="293"/>
        <v>0</v>
      </c>
      <c r="BR99" s="60">
        <f t="shared" si="275"/>
        <v>0</v>
      </c>
      <c r="BS99" s="60">
        <f t="shared" si="276"/>
        <v>0</v>
      </c>
      <c r="BT99" s="60">
        <f t="shared" si="277"/>
        <v>0</v>
      </c>
      <c r="BU99" s="60">
        <f t="shared" si="278"/>
        <v>0</v>
      </c>
      <c r="BV99" s="60">
        <f t="shared" si="279"/>
        <v>0</v>
      </c>
      <c r="BW99" s="60">
        <f t="shared" si="280"/>
        <v>0</v>
      </c>
      <c r="BX99" s="60">
        <f t="shared" si="281"/>
        <v>0</v>
      </c>
      <c r="BY99" s="60">
        <f t="shared" si="282"/>
        <v>0</v>
      </c>
      <c r="BZ99" s="60">
        <f t="shared" si="283"/>
        <v>0</v>
      </c>
      <c r="CA99" s="60">
        <f t="shared" si="284"/>
        <v>0</v>
      </c>
      <c r="CB99" s="60">
        <f t="shared" si="285"/>
        <v>0</v>
      </c>
      <c r="CC99" s="60">
        <f t="shared" si="286"/>
        <v>0</v>
      </c>
      <c r="CF99" s="296" t="s">
        <v>865</v>
      </c>
      <c r="CG99" s="12" t="s">
        <v>967</v>
      </c>
    </row>
    <row r="100" spans="1:85" s="3" customFormat="1" ht="15.6">
      <c r="A100" s="300" t="s">
        <v>526</v>
      </c>
      <c r="B100" s="12" t="s">
        <v>804</v>
      </c>
      <c r="C100" s="5"/>
      <c r="P100" s="397">
        <f t="shared" si="289"/>
        <v>0</v>
      </c>
      <c r="AC100" s="397">
        <f t="shared" si="290"/>
        <v>0</v>
      </c>
      <c r="AP100" s="397">
        <f t="shared" si="291"/>
        <v>0</v>
      </c>
      <c r="BC100" s="397">
        <f t="shared" si="292"/>
        <v>0</v>
      </c>
      <c r="BP100" s="397">
        <f t="shared" si="293"/>
        <v>0</v>
      </c>
      <c r="BR100" s="60">
        <f t="shared" si="275"/>
        <v>0</v>
      </c>
      <c r="BS100" s="60">
        <f t="shared" si="276"/>
        <v>0</v>
      </c>
      <c r="BT100" s="60">
        <f t="shared" si="277"/>
        <v>0</v>
      </c>
      <c r="BU100" s="60">
        <f t="shared" si="278"/>
        <v>0</v>
      </c>
      <c r="BV100" s="60">
        <f t="shared" si="279"/>
        <v>0</v>
      </c>
      <c r="BW100" s="60">
        <f t="shared" si="280"/>
        <v>0</v>
      </c>
      <c r="BX100" s="60">
        <f t="shared" si="281"/>
        <v>0</v>
      </c>
      <c r="BY100" s="60">
        <f t="shared" si="282"/>
        <v>0</v>
      </c>
      <c r="BZ100" s="60">
        <f t="shared" si="283"/>
        <v>0</v>
      </c>
      <c r="CA100" s="60">
        <f t="shared" si="284"/>
        <v>0</v>
      </c>
      <c r="CB100" s="60">
        <f t="shared" si="285"/>
        <v>0</v>
      </c>
      <c r="CC100" s="60">
        <f t="shared" si="286"/>
        <v>0</v>
      </c>
      <c r="CF100" s="300" t="s">
        <v>866</v>
      </c>
      <c r="CG100" s="12" t="s">
        <v>967</v>
      </c>
    </row>
    <row r="101" spans="1:85" s="63" customFormat="1" ht="15.6">
      <c r="A101" s="298" t="s">
        <v>527</v>
      </c>
      <c r="B101" s="12" t="s">
        <v>804</v>
      </c>
      <c r="C101" s="299"/>
      <c r="D101" s="63">
        <f t="shared" ref="D101:BO101" si="306">D44/500*1000</f>
        <v>0</v>
      </c>
      <c r="E101" s="63">
        <f t="shared" si="306"/>
        <v>0</v>
      </c>
      <c r="F101" s="63">
        <f t="shared" si="306"/>
        <v>0</v>
      </c>
      <c r="G101" s="63">
        <f t="shared" si="306"/>
        <v>0</v>
      </c>
      <c r="H101" s="63">
        <f t="shared" si="306"/>
        <v>0</v>
      </c>
      <c r="I101" s="63">
        <f t="shared" si="306"/>
        <v>0</v>
      </c>
      <c r="J101" s="63">
        <f t="shared" si="306"/>
        <v>8.9076436065295681</v>
      </c>
      <c r="K101" s="63">
        <f t="shared" si="306"/>
        <v>16.272735555268223</v>
      </c>
      <c r="L101" s="63">
        <f t="shared" si="306"/>
        <v>29.569001333564746</v>
      </c>
      <c r="M101" s="63">
        <f t="shared" si="306"/>
        <v>44.869536167933504</v>
      </c>
      <c r="N101" s="63">
        <f t="shared" si="306"/>
        <v>56.530372079836795</v>
      </c>
      <c r="O101" s="63">
        <f t="shared" si="306"/>
        <v>82.047579998785295</v>
      </c>
      <c r="P101" s="419">
        <f t="shared" si="306"/>
        <v>238.19686874191814</v>
      </c>
      <c r="Q101" s="63">
        <f t="shared" si="306"/>
        <v>95.803460631460268</v>
      </c>
      <c r="R101" s="63">
        <f t="shared" si="306"/>
        <v>54.688460963203767</v>
      </c>
      <c r="S101" s="63">
        <f t="shared" si="306"/>
        <v>118.0683849297171</v>
      </c>
      <c r="T101" s="63">
        <f t="shared" si="306"/>
        <v>165.48656628969852</v>
      </c>
      <c r="U101" s="63">
        <f t="shared" si="306"/>
        <v>224.0125985425237</v>
      </c>
      <c r="V101" s="63">
        <f t="shared" si="306"/>
        <v>265.32423306272523</v>
      </c>
      <c r="W101" s="63">
        <f t="shared" si="306"/>
        <v>324.4838963217444</v>
      </c>
      <c r="X101" s="63">
        <f t="shared" si="306"/>
        <v>372.77046298807699</v>
      </c>
      <c r="Y101" s="63">
        <f t="shared" si="306"/>
        <v>405.5491042755865</v>
      </c>
      <c r="Z101" s="63">
        <f t="shared" si="306"/>
        <v>465.64212418568599</v>
      </c>
      <c r="AA101" s="63">
        <f t="shared" si="306"/>
        <v>493.12218642843146</v>
      </c>
      <c r="AB101" s="63">
        <f t="shared" si="306"/>
        <v>553.82815038431352</v>
      </c>
      <c r="AC101" s="419">
        <f t="shared" si="306"/>
        <v>3538.7796290031679</v>
      </c>
      <c r="AD101" s="63">
        <f t="shared" si="306"/>
        <v>316.31839890646165</v>
      </c>
      <c r="AE101" s="63">
        <f t="shared" si="306"/>
        <v>116.32593978962036</v>
      </c>
      <c r="AF101" s="63">
        <f t="shared" si="306"/>
        <v>246.94139497158096</v>
      </c>
      <c r="AG101" s="63">
        <f t="shared" si="306"/>
        <v>344.52629127927378</v>
      </c>
      <c r="AH101" s="63">
        <f t="shared" si="306"/>
        <v>464.89738578198364</v>
      </c>
      <c r="AI101" s="63">
        <f t="shared" si="306"/>
        <v>549.70655201678335</v>
      </c>
      <c r="AJ101" s="63">
        <f t="shared" si="306"/>
        <v>671.16693983725122</v>
      </c>
      <c r="AK101" s="63">
        <f t="shared" si="306"/>
        <v>770.14716062797356</v>
      </c>
      <c r="AL101" s="63">
        <f t="shared" si="306"/>
        <v>837.15221831120152</v>
      </c>
      <c r="AM101" s="63">
        <f t="shared" si="306"/>
        <v>960.231186091685</v>
      </c>
      <c r="AN101" s="63">
        <f t="shared" si="306"/>
        <v>1016.2101989240764</v>
      </c>
      <c r="AO101" s="63">
        <f t="shared" si="306"/>
        <v>1140.3609396431887</v>
      </c>
      <c r="AP101" s="419">
        <f t="shared" si="306"/>
        <v>7433.9846061810813</v>
      </c>
      <c r="AQ101" s="63">
        <f t="shared" si="306"/>
        <v>647.69468498242054</v>
      </c>
      <c r="AR101" s="63">
        <f t="shared" si="306"/>
        <v>198.08834288749307</v>
      </c>
      <c r="AS101" s="63">
        <f t="shared" si="306"/>
        <v>414.70483221931721</v>
      </c>
      <c r="AT101" s="63">
        <f t="shared" si="306"/>
        <v>576.34826140896121</v>
      </c>
      <c r="AU101" s="63">
        <f t="shared" si="306"/>
        <v>775.63078899750781</v>
      </c>
      <c r="AV101" s="63">
        <f t="shared" si="306"/>
        <v>915.81373159260124</v>
      </c>
      <c r="AW101" s="63">
        <f t="shared" si="306"/>
        <v>1116.5937365597961</v>
      </c>
      <c r="AX101" s="63">
        <f t="shared" si="306"/>
        <v>1279.9884537293628</v>
      </c>
      <c r="AY101" s="63">
        <f t="shared" si="306"/>
        <v>1390.3319099988053</v>
      </c>
      <c r="AZ101" s="63">
        <f t="shared" si="306"/>
        <v>1593.3610034279145</v>
      </c>
      <c r="BA101" s="63">
        <f t="shared" si="306"/>
        <v>1685.2664522633613</v>
      </c>
      <c r="BB101" s="63">
        <f t="shared" si="306"/>
        <v>1889.7998099633369</v>
      </c>
      <c r="BC101" s="419">
        <f t="shared" si="306"/>
        <v>12483.622008030878</v>
      </c>
      <c r="BD101" s="63">
        <f t="shared" si="306"/>
        <v>1066.1321240660975</v>
      </c>
      <c r="BE101" s="63">
        <f t="shared" si="306"/>
        <v>272.0998170366222</v>
      </c>
      <c r="BF101" s="63">
        <f t="shared" si="306"/>
        <v>563.04608788125074</v>
      </c>
      <c r="BG101" s="63">
        <f t="shared" si="306"/>
        <v>779.92896604887653</v>
      </c>
      <c r="BH101" s="63">
        <f t="shared" si="306"/>
        <v>1047.1909650344303</v>
      </c>
      <c r="BI101" s="63">
        <f t="shared" si="306"/>
        <v>1234.9306791765998</v>
      </c>
      <c r="BJ101" s="63">
        <f t="shared" si="306"/>
        <v>1503.8429905570533</v>
      </c>
      <c r="BK101" s="63">
        <f t="shared" si="306"/>
        <v>1722.4206958123118</v>
      </c>
      <c r="BL101" s="63">
        <f t="shared" si="306"/>
        <v>1869.7165949516143</v>
      </c>
      <c r="BM101" s="63">
        <f t="shared" si="306"/>
        <v>2141.1413457621711</v>
      </c>
      <c r="BN101" s="63">
        <f t="shared" si="306"/>
        <v>2263.49475004233</v>
      </c>
      <c r="BO101" s="63">
        <f t="shared" si="306"/>
        <v>2536.620799929954</v>
      </c>
      <c r="BP101" s="419">
        <f t="shared" ref="BP101:BP111" si="307">BP44/500*1000</f>
        <v>17000.565816299313</v>
      </c>
      <c r="BR101" s="60">
        <f t="shared" si="275"/>
        <v>0</v>
      </c>
      <c r="BS101" s="60">
        <f t="shared" si="276"/>
        <v>0</v>
      </c>
      <c r="BT101" s="60">
        <f t="shared" si="277"/>
        <v>54.749380495362537</v>
      </c>
      <c r="BU101" s="60">
        <f t="shared" si="278"/>
        <v>183.44748824655559</v>
      </c>
      <c r="BV101" s="60">
        <f t="shared" si="279"/>
        <v>923.38370441932852</v>
      </c>
      <c r="BW101" s="60">
        <f t="shared" si="280"/>
        <v>2615.3959245838391</v>
      </c>
      <c r="BX101" s="60">
        <f t="shared" si="281"/>
        <v>2038.715962745704</v>
      </c>
      <c r="BY101" s="60">
        <f t="shared" si="282"/>
        <v>5395.2686434353764</v>
      </c>
      <c r="BZ101" s="60">
        <f t="shared" si="283"/>
        <v>3528.2806420883016</v>
      </c>
      <c r="CA101" s="60">
        <f t="shared" si="284"/>
        <v>8955.3413659425769</v>
      </c>
      <c r="CB101" s="60">
        <f t="shared" si="285"/>
        <v>4963.3286392438768</v>
      </c>
      <c r="CC101" s="60">
        <f t="shared" si="286"/>
        <v>12037.237177055435</v>
      </c>
      <c r="CF101" s="298" t="s">
        <v>860</v>
      </c>
      <c r="CG101" s="12" t="s">
        <v>967</v>
      </c>
    </row>
    <row r="102" spans="1:85" s="3" customFormat="1" ht="15.6">
      <c r="A102" s="296" t="s">
        <v>528</v>
      </c>
      <c r="B102" s="12" t="s">
        <v>804</v>
      </c>
      <c r="C102" s="5"/>
      <c r="P102" s="397">
        <f t="shared" si="289"/>
        <v>0</v>
      </c>
      <c r="AC102" s="397">
        <f t="shared" si="290"/>
        <v>0</v>
      </c>
      <c r="AP102" s="397">
        <f t="shared" si="291"/>
        <v>0</v>
      </c>
      <c r="BC102" s="397">
        <f t="shared" si="292"/>
        <v>0</v>
      </c>
      <c r="BP102" s="397">
        <f t="shared" si="293"/>
        <v>0</v>
      </c>
      <c r="BR102" s="60">
        <f t="shared" si="275"/>
        <v>0</v>
      </c>
      <c r="BS102" s="60">
        <f t="shared" si="276"/>
        <v>0</v>
      </c>
      <c r="BT102" s="60">
        <f t="shared" si="277"/>
        <v>0</v>
      </c>
      <c r="BU102" s="60">
        <f t="shared" si="278"/>
        <v>0</v>
      </c>
      <c r="BV102" s="60">
        <f t="shared" si="279"/>
        <v>0</v>
      </c>
      <c r="BW102" s="60">
        <f t="shared" si="280"/>
        <v>0</v>
      </c>
      <c r="BX102" s="60">
        <f t="shared" si="281"/>
        <v>0</v>
      </c>
      <c r="BY102" s="60">
        <f t="shared" si="282"/>
        <v>0</v>
      </c>
      <c r="BZ102" s="60">
        <f t="shared" si="283"/>
        <v>0</v>
      </c>
      <c r="CA102" s="60">
        <f t="shared" si="284"/>
        <v>0</v>
      </c>
      <c r="CB102" s="60">
        <f t="shared" si="285"/>
        <v>0</v>
      </c>
      <c r="CC102" s="60">
        <f t="shared" si="286"/>
        <v>0</v>
      </c>
      <c r="CF102" s="296" t="s">
        <v>1037</v>
      </c>
      <c r="CG102" s="12" t="s">
        <v>967</v>
      </c>
    </row>
    <row r="103" spans="1:85" s="3" customFormat="1" ht="15.6">
      <c r="A103" s="296" t="s">
        <v>529</v>
      </c>
      <c r="B103" s="12" t="s">
        <v>804</v>
      </c>
      <c r="C103" s="5"/>
      <c r="D103" s="3">
        <f t="shared" ref="D103:BO103" si="308">D46/500*1000</f>
        <v>0</v>
      </c>
      <c r="E103" s="3">
        <f t="shared" si="308"/>
        <v>0</v>
      </c>
      <c r="F103" s="3">
        <f t="shared" si="308"/>
        <v>0</v>
      </c>
      <c r="G103" s="3">
        <f t="shared" si="308"/>
        <v>0</v>
      </c>
      <c r="H103" s="3">
        <f t="shared" si="308"/>
        <v>0</v>
      </c>
      <c r="I103" s="3">
        <f t="shared" si="308"/>
        <v>0</v>
      </c>
      <c r="J103" s="3">
        <f t="shared" si="308"/>
        <v>-25.662938648564975</v>
      </c>
      <c r="K103" s="3">
        <f t="shared" si="308"/>
        <v>-28.479255055008597</v>
      </c>
      <c r="L103" s="3">
        <f t="shared" si="308"/>
        <v>-31.182918805194472</v>
      </c>
      <c r="M103" s="3">
        <f t="shared" si="308"/>
        <v>-33.778436005372917</v>
      </c>
      <c r="N103" s="3">
        <f t="shared" si="308"/>
        <v>-36.270132517544219</v>
      </c>
      <c r="O103" s="3">
        <f t="shared" si="308"/>
        <v>-192.63979306061856</v>
      </c>
      <c r="P103" s="397">
        <f t="shared" si="308"/>
        <v>-348.01347409230374</v>
      </c>
      <c r="Q103" s="3">
        <f t="shared" si="308"/>
        <v>-57.99503231220185</v>
      </c>
      <c r="R103" s="3">
        <f t="shared" si="308"/>
        <v>-68.253982341109548</v>
      </c>
      <c r="S103" s="3">
        <f t="shared" si="308"/>
        <v>-78.102574368860971</v>
      </c>
      <c r="T103" s="3">
        <f t="shared" si="308"/>
        <v>-87.55722271550232</v>
      </c>
      <c r="U103" s="3">
        <f t="shared" si="308"/>
        <v>-96.633685128278003</v>
      </c>
      <c r="V103" s="3">
        <f t="shared" si="308"/>
        <v>-105.34708904454267</v>
      </c>
      <c r="W103" s="3">
        <f t="shared" si="308"/>
        <v>-113.71195680415674</v>
      </c>
      <c r="X103" s="3">
        <f t="shared" si="308"/>
        <v>-121.74222985338628</v>
      </c>
      <c r="Y103" s="3">
        <f t="shared" si="308"/>
        <v>-129.4512919806466</v>
      </c>
      <c r="Z103" s="3">
        <f t="shared" si="308"/>
        <v>-136.85199162281651</v>
      </c>
      <c r="AA103" s="3">
        <f t="shared" si="308"/>
        <v>-143.95666327929962</v>
      </c>
      <c r="AB103" s="3">
        <f t="shared" si="308"/>
        <v>-150.77714806952338</v>
      </c>
      <c r="AC103" s="397">
        <f t="shared" si="308"/>
        <v>-1290.3808675203245</v>
      </c>
      <c r="AD103" s="3">
        <f t="shared" si="308"/>
        <v>-87.182409078143564</v>
      </c>
      <c r="AE103" s="3">
        <f t="shared" si="308"/>
        <v>-106.69384778423156</v>
      </c>
      <c r="AF103" s="3">
        <f t="shared" si="308"/>
        <v>-125.42482894207608</v>
      </c>
      <c r="AG103" s="3">
        <f t="shared" si="308"/>
        <v>-143.40657085360678</v>
      </c>
      <c r="AH103" s="3">
        <f t="shared" si="308"/>
        <v>-160.66904308867626</v>
      </c>
      <c r="AI103" s="3">
        <f t="shared" si="308"/>
        <v>-177.24101643434298</v>
      </c>
      <c r="AJ103" s="3">
        <f t="shared" si="308"/>
        <v>-193.15011084618297</v>
      </c>
      <c r="AK103" s="3">
        <f t="shared" si="308"/>
        <v>-208.4228414815494</v>
      </c>
      <c r="AL103" s="3">
        <f t="shared" si="308"/>
        <v>-223.08466289150121</v>
      </c>
      <c r="AM103" s="3">
        <f t="shared" si="308"/>
        <v>-237.16001144505495</v>
      </c>
      <c r="AN103" s="3">
        <f t="shared" si="308"/>
        <v>-250.67234605646655</v>
      </c>
      <c r="AO103" s="3">
        <f t="shared" si="308"/>
        <v>-263.6441872834215</v>
      </c>
      <c r="AP103" s="397">
        <f t="shared" si="308"/>
        <v>-2176.7518761852539</v>
      </c>
      <c r="AQ103" s="3">
        <f t="shared" si="308"/>
        <v>-122.58179819077702</v>
      </c>
      <c r="AR103" s="3">
        <f t="shared" si="308"/>
        <v>-152.61942525329405</v>
      </c>
      <c r="AS103" s="3">
        <f t="shared" si="308"/>
        <v>-181.45554723331045</v>
      </c>
      <c r="AT103" s="3">
        <f t="shared" si="308"/>
        <v>-209.13822433412614</v>
      </c>
      <c r="AU103" s="3">
        <f t="shared" si="308"/>
        <v>-235.7135943509092</v>
      </c>
      <c r="AV103" s="3">
        <f t="shared" si="308"/>
        <v>-261.22594956702096</v>
      </c>
      <c r="AW103" s="3">
        <f t="shared" si="308"/>
        <v>-285.71781057448828</v>
      </c>
      <c r="AX103" s="3">
        <f t="shared" si="308"/>
        <v>-309.22999714165684</v>
      </c>
      <c r="AY103" s="3">
        <f t="shared" si="308"/>
        <v>-331.8016962461387</v>
      </c>
      <c r="AZ103" s="3">
        <f t="shared" si="308"/>
        <v>-353.47052738644129</v>
      </c>
      <c r="BA103" s="3">
        <f t="shared" si="308"/>
        <v>-374.2726052811318</v>
      </c>
      <c r="BB103" s="3">
        <f t="shared" si="308"/>
        <v>-394.24260006003459</v>
      </c>
      <c r="BC103" s="397">
        <f t="shared" si="308"/>
        <v>-3211.4697756193295</v>
      </c>
      <c r="BD103" s="3">
        <f t="shared" si="308"/>
        <v>-140.30189818977743</v>
      </c>
      <c r="BE103" s="3">
        <f t="shared" si="308"/>
        <v>-177.94320792832019</v>
      </c>
      <c r="BF103" s="3">
        <f t="shared" si="308"/>
        <v>-214.07886527732126</v>
      </c>
      <c r="BG103" s="3">
        <f t="shared" si="308"/>
        <v>-248.76909633236227</v>
      </c>
      <c r="BH103" s="3">
        <f t="shared" si="308"/>
        <v>-282.0717181452016</v>
      </c>
      <c r="BI103" s="3">
        <f t="shared" si="308"/>
        <v>-314.04223508552741</v>
      </c>
      <c r="BJ103" s="3">
        <f t="shared" si="308"/>
        <v>-344.73393134824016</v>
      </c>
      <c r="BK103" s="3">
        <f t="shared" si="308"/>
        <v>-374.19795976044435</v>
      </c>
      <c r="BL103" s="3">
        <f t="shared" si="308"/>
        <v>-402.48342703616044</v>
      </c>
      <c r="BM103" s="3">
        <f t="shared" si="308"/>
        <v>-429.63747562084797</v>
      </c>
      <c r="BN103" s="3">
        <f t="shared" si="308"/>
        <v>-455.70536226214784</v>
      </c>
      <c r="BO103" s="3">
        <f t="shared" si="308"/>
        <v>-480.73053343779566</v>
      </c>
      <c r="BP103" s="397">
        <f t="shared" si="307"/>
        <v>-3864.6957104241465</v>
      </c>
      <c r="BR103" s="60">
        <f t="shared" si="275"/>
        <v>0</v>
      </c>
      <c r="BS103" s="60">
        <f t="shared" si="276"/>
        <v>0</v>
      </c>
      <c r="BT103" s="60">
        <f t="shared" si="277"/>
        <v>-85.325112508768044</v>
      </c>
      <c r="BU103" s="60">
        <f t="shared" si="278"/>
        <v>-262.68836158353571</v>
      </c>
      <c r="BV103" s="60">
        <f t="shared" si="279"/>
        <v>-493.88958591049533</v>
      </c>
      <c r="BW103" s="60">
        <f t="shared" si="280"/>
        <v>-796.49128160982912</v>
      </c>
      <c r="BX103" s="60">
        <f t="shared" si="281"/>
        <v>-800.6177161810773</v>
      </c>
      <c r="BY103" s="60">
        <f t="shared" si="282"/>
        <v>-1376.1341600041765</v>
      </c>
      <c r="BZ103" s="60">
        <f t="shared" si="283"/>
        <v>-1162.7345389294378</v>
      </c>
      <c r="CA103" s="60">
        <f t="shared" si="284"/>
        <v>-2048.7352366898913</v>
      </c>
      <c r="CB103" s="60">
        <f t="shared" si="285"/>
        <v>-1377.2070209585102</v>
      </c>
      <c r="CC103" s="60">
        <f t="shared" si="286"/>
        <v>-2487.4886894656365</v>
      </c>
      <c r="CF103" s="296" t="s">
        <v>1038</v>
      </c>
      <c r="CG103" s="12" t="s">
        <v>967</v>
      </c>
    </row>
    <row r="104" spans="1:85" s="5" customFormat="1" ht="15.6" outlineLevel="1">
      <c r="A104" s="297" t="s">
        <v>530</v>
      </c>
      <c r="B104" s="12" t="s">
        <v>804</v>
      </c>
      <c r="D104" s="5">
        <f t="shared" ref="D104:BO104" si="309">D47/500*1000</f>
        <v>0</v>
      </c>
      <c r="E104" s="5">
        <f t="shared" si="309"/>
        <v>0</v>
      </c>
      <c r="F104" s="5">
        <f t="shared" si="309"/>
        <v>0</v>
      </c>
      <c r="G104" s="5">
        <f t="shared" si="309"/>
        <v>0</v>
      </c>
      <c r="H104" s="5">
        <f t="shared" si="309"/>
        <v>0</v>
      </c>
      <c r="I104" s="5">
        <f t="shared" si="309"/>
        <v>0</v>
      </c>
      <c r="J104" s="5">
        <f t="shared" si="309"/>
        <v>-11.443726729546185</v>
      </c>
      <c r="K104" s="5">
        <f t="shared" si="309"/>
        <v>-11.443726729546185</v>
      </c>
      <c r="L104" s="5">
        <f t="shared" si="309"/>
        <v>-11.443726729546185</v>
      </c>
      <c r="M104" s="5">
        <f t="shared" si="309"/>
        <v>-11.443726729546185</v>
      </c>
      <c r="N104" s="5">
        <f t="shared" si="309"/>
        <v>-11.443726729546185</v>
      </c>
      <c r="O104" s="5">
        <f t="shared" si="309"/>
        <v>-80.10608710682331</v>
      </c>
      <c r="P104" s="383">
        <f t="shared" si="309"/>
        <v>-137.32472075455422</v>
      </c>
      <c r="Q104" s="5">
        <f t="shared" si="309"/>
        <v>-25.33124118231401</v>
      </c>
      <c r="R104" s="5">
        <f t="shared" si="309"/>
        <v>-25.33124118231401</v>
      </c>
      <c r="S104" s="5">
        <f t="shared" si="309"/>
        <v>-25.33124118231401</v>
      </c>
      <c r="T104" s="5">
        <f t="shared" si="309"/>
        <v>-25.33124118231401</v>
      </c>
      <c r="U104" s="5">
        <f t="shared" si="309"/>
        <v>-25.33124118231401</v>
      </c>
      <c r="V104" s="5">
        <f t="shared" si="309"/>
        <v>-25.33124118231401</v>
      </c>
      <c r="W104" s="5">
        <f t="shared" si="309"/>
        <v>-25.33124118231401</v>
      </c>
      <c r="X104" s="5">
        <f t="shared" si="309"/>
        <v>-25.33124118231401</v>
      </c>
      <c r="Y104" s="5">
        <f t="shared" si="309"/>
        <v>-25.33124118231401</v>
      </c>
      <c r="Z104" s="5">
        <f t="shared" si="309"/>
        <v>-25.33124118231401</v>
      </c>
      <c r="AA104" s="5">
        <f t="shared" si="309"/>
        <v>-25.33124118231401</v>
      </c>
      <c r="AB104" s="5">
        <f t="shared" si="309"/>
        <v>-25.331241182313988</v>
      </c>
      <c r="AC104" s="383">
        <f t="shared" si="309"/>
        <v>-303.97489418776814</v>
      </c>
      <c r="AD104" s="5">
        <f t="shared" si="309"/>
        <v>-37.631611642029107</v>
      </c>
      <c r="AE104" s="5">
        <f t="shared" si="309"/>
        <v>-37.631611642029107</v>
      </c>
      <c r="AF104" s="5">
        <f t="shared" si="309"/>
        <v>-37.631611642029107</v>
      </c>
      <c r="AG104" s="5">
        <f t="shared" si="309"/>
        <v>-37.631611642029107</v>
      </c>
      <c r="AH104" s="5">
        <f t="shared" si="309"/>
        <v>-37.631611642029107</v>
      </c>
      <c r="AI104" s="5">
        <f t="shared" si="309"/>
        <v>-37.631611642029107</v>
      </c>
      <c r="AJ104" s="5">
        <f t="shared" si="309"/>
        <v>-37.631611642029107</v>
      </c>
      <c r="AK104" s="5">
        <f t="shared" si="309"/>
        <v>-37.631611642029107</v>
      </c>
      <c r="AL104" s="5">
        <f t="shared" si="309"/>
        <v>-37.631611642029107</v>
      </c>
      <c r="AM104" s="5">
        <f t="shared" si="309"/>
        <v>-37.631611642029107</v>
      </c>
      <c r="AN104" s="5">
        <f t="shared" si="309"/>
        <v>-37.631611642029107</v>
      </c>
      <c r="AO104" s="5">
        <f t="shared" si="309"/>
        <v>-37.631611642029078</v>
      </c>
      <c r="AP104" s="383">
        <f t="shared" si="309"/>
        <v>-451.57933970434925</v>
      </c>
      <c r="AQ104" s="5">
        <f t="shared" si="309"/>
        <v>-52.782834071416822</v>
      </c>
      <c r="AR104" s="5">
        <f t="shared" si="309"/>
        <v>-52.782834071416822</v>
      </c>
      <c r="AS104" s="5">
        <f t="shared" si="309"/>
        <v>-52.782834071416822</v>
      </c>
      <c r="AT104" s="5">
        <f t="shared" si="309"/>
        <v>-52.782834071416822</v>
      </c>
      <c r="AU104" s="5">
        <f t="shared" si="309"/>
        <v>-52.782834071416822</v>
      </c>
      <c r="AV104" s="5">
        <f t="shared" si="309"/>
        <v>-52.782834071416822</v>
      </c>
      <c r="AW104" s="5">
        <f t="shared" si="309"/>
        <v>-52.782834071416822</v>
      </c>
      <c r="AX104" s="5">
        <f t="shared" si="309"/>
        <v>-52.782834071416822</v>
      </c>
      <c r="AY104" s="5">
        <f t="shared" si="309"/>
        <v>-52.782834071416822</v>
      </c>
      <c r="AZ104" s="5">
        <f t="shared" si="309"/>
        <v>-52.782834071416822</v>
      </c>
      <c r="BA104" s="5">
        <f t="shared" si="309"/>
        <v>-52.782834071416822</v>
      </c>
      <c r="BB104" s="5">
        <f t="shared" si="309"/>
        <v>-52.782834071416779</v>
      </c>
      <c r="BC104" s="383">
        <f t="shared" si="309"/>
        <v>-633.39400885700172</v>
      </c>
      <c r="BD104" s="5">
        <f t="shared" si="309"/>
        <v>-60.251833879729347</v>
      </c>
      <c r="BE104" s="5">
        <f t="shared" si="309"/>
        <v>-60.251833879729347</v>
      </c>
      <c r="BF104" s="5">
        <f t="shared" si="309"/>
        <v>-60.251833879729347</v>
      </c>
      <c r="BG104" s="5">
        <f t="shared" si="309"/>
        <v>-60.251833879729347</v>
      </c>
      <c r="BH104" s="5">
        <f t="shared" si="309"/>
        <v>-60.251833879729347</v>
      </c>
      <c r="BI104" s="5">
        <f t="shared" si="309"/>
        <v>-60.251833879729347</v>
      </c>
      <c r="BJ104" s="5">
        <f t="shared" si="309"/>
        <v>-60.251833879729347</v>
      </c>
      <c r="BK104" s="5">
        <f t="shared" si="309"/>
        <v>-60.251833879729347</v>
      </c>
      <c r="BL104" s="5">
        <f t="shared" si="309"/>
        <v>-60.251833879729347</v>
      </c>
      <c r="BM104" s="5">
        <f t="shared" si="309"/>
        <v>-60.251833879729347</v>
      </c>
      <c r="BN104" s="5">
        <f t="shared" si="309"/>
        <v>-60.251833879729347</v>
      </c>
      <c r="BO104" s="5">
        <f t="shared" si="309"/>
        <v>-60.251833879729304</v>
      </c>
      <c r="BP104" s="383">
        <f t="shared" si="307"/>
        <v>-723.0220065567521</v>
      </c>
      <c r="BR104" s="60">
        <f t="shared" si="275"/>
        <v>0</v>
      </c>
      <c r="BS104" s="60">
        <f t="shared" si="276"/>
        <v>0</v>
      </c>
      <c r="BT104" s="60">
        <f t="shared" si="277"/>
        <v>-34.331180188638555</v>
      </c>
      <c r="BU104" s="60">
        <f t="shared" si="278"/>
        <v>-102.99354056591568</v>
      </c>
      <c r="BV104" s="60">
        <f t="shared" si="279"/>
        <v>-151.98744709388407</v>
      </c>
      <c r="BW104" s="60">
        <f t="shared" si="280"/>
        <v>-151.98744709388404</v>
      </c>
      <c r="BX104" s="60">
        <f t="shared" si="281"/>
        <v>-225.78966985217463</v>
      </c>
      <c r="BY104" s="60">
        <f t="shared" si="282"/>
        <v>-225.7896698521746</v>
      </c>
      <c r="BZ104" s="60">
        <f t="shared" si="283"/>
        <v>-316.69700442850092</v>
      </c>
      <c r="CA104" s="60">
        <f t="shared" si="284"/>
        <v>-316.69700442850092</v>
      </c>
      <c r="CB104" s="60">
        <f t="shared" si="285"/>
        <v>-361.51100327837611</v>
      </c>
      <c r="CC104" s="60">
        <f t="shared" si="286"/>
        <v>-361.51100327837605</v>
      </c>
      <c r="CF104" s="297" t="s">
        <v>989</v>
      </c>
      <c r="CG104" s="12" t="s">
        <v>967</v>
      </c>
    </row>
    <row r="105" spans="1:85" s="5" customFormat="1" ht="15.6" outlineLevel="1">
      <c r="A105" s="297" t="s">
        <v>531</v>
      </c>
      <c r="B105" s="12" t="s">
        <v>804</v>
      </c>
      <c r="D105" s="5">
        <f t="shared" ref="D105:BO105" si="310">D48/500*1000</f>
        <v>0</v>
      </c>
      <c r="E105" s="5">
        <f t="shared" si="310"/>
        <v>0</v>
      </c>
      <c r="F105" s="5">
        <f t="shared" si="310"/>
        <v>0</v>
      </c>
      <c r="G105" s="5">
        <f t="shared" si="310"/>
        <v>0</v>
      </c>
      <c r="H105" s="5">
        <f t="shared" si="310"/>
        <v>0</v>
      </c>
      <c r="I105" s="5">
        <f t="shared" si="310"/>
        <v>0</v>
      </c>
      <c r="J105" s="5">
        <f>J48/500*1000</f>
        <v>-0.30974353681305011</v>
      </c>
      <c r="K105" s="5">
        <f t="shared" si="310"/>
        <v>-0.30974353681305011</v>
      </c>
      <c r="L105" s="5">
        <f t="shared" si="310"/>
        <v>-0.30974353681305011</v>
      </c>
      <c r="M105" s="5">
        <f t="shared" si="310"/>
        <v>-0.30974353681305011</v>
      </c>
      <c r="N105" s="5">
        <f t="shared" si="310"/>
        <v>-0.30974353681305011</v>
      </c>
      <c r="O105" s="5">
        <f t="shared" si="310"/>
        <v>-2.1682047576913512</v>
      </c>
      <c r="P105" s="383">
        <f t="shared" si="310"/>
        <v>-3.7169224417566018</v>
      </c>
      <c r="Q105" s="5">
        <f t="shared" si="310"/>
        <v>-0.73291724487495202</v>
      </c>
      <c r="R105" s="5">
        <f t="shared" si="310"/>
        <v>-0.73291724487495202</v>
      </c>
      <c r="S105" s="5">
        <f t="shared" si="310"/>
        <v>-0.73291724487495202</v>
      </c>
      <c r="T105" s="5">
        <f t="shared" si="310"/>
        <v>-0.73291724487495202</v>
      </c>
      <c r="U105" s="5">
        <f t="shared" si="310"/>
        <v>-0.73291724487495202</v>
      </c>
      <c r="V105" s="5">
        <f t="shared" si="310"/>
        <v>-0.73291724487495202</v>
      </c>
      <c r="W105" s="5">
        <f t="shared" si="310"/>
        <v>-0.73291724487495202</v>
      </c>
      <c r="X105" s="5">
        <f t="shared" si="310"/>
        <v>-0.73291724487495202</v>
      </c>
      <c r="Y105" s="5">
        <f t="shared" si="310"/>
        <v>-0.73291724487495202</v>
      </c>
      <c r="Z105" s="5">
        <f t="shared" si="310"/>
        <v>-0.73291724487495202</v>
      </c>
      <c r="AA105" s="5">
        <f t="shared" si="310"/>
        <v>-0.73291724487495202</v>
      </c>
      <c r="AB105" s="5">
        <f t="shared" si="310"/>
        <v>-0.73291724487495147</v>
      </c>
      <c r="AC105" s="383">
        <f t="shared" si="310"/>
        <v>-8.7950069384994229</v>
      </c>
      <c r="AD105" s="5">
        <f t="shared" si="310"/>
        <v>-1.123930801041936</v>
      </c>
      <c r="AE105" s="5">
        <f t="shared" si="310"/>
        <v>-1.123930801041936</v>
      </c>
      <c r="AF105" s="5">
        <f t="shared" si="310"/>
        <v>-1.123930801041936</v>
      </c>
      <c r="AG105" s="5">
        <f t="shared" si="310"/>
        <v>-1.123930801041936</v>
      </c>
      <c r="AH105" s="5">
        <f t="shared" si="310"/>
        <v>-1.123930801041936</v>
      </c>
      <c r="AI105" s="5">
        <f t="shared" si="310"/>
        <v>-1.123930801041936</v>
      </c>
      <c r="AJ105" s="5">
        <f t="shared" si="310"/>
        <v>-1.123930801041936</v>
      </c>
      <c r="AK105" s="5">
        <f t="shared" si="310"/>
        <v>-1.123930801041936</v>
      </c>
      <c r="AL105" s="5">
        <f t="shared" si="310"/>
        <v>-1.123930801041936</v>
      </c>
      <c r="AM105" s="5">
        <f t="shared" si="310"/>
        <v>-1.123930801041936</v>
      </c>
      <c r="AN105" s="5">
        <f t="shared" si="310"/>
        <v>-1.123930801041936</v>
      </c>
      <c r="AO105" s="5">
        <f t="shared" si="310"/>
        <v>-1.1239308010419351</v>
      </c>
      <c r="AP105" s="383">
        <f t="shared" si="310"/>
        <v>-13.487169612503234</v>
      </c>
      <c r="AQ105" s="5">
        <f t="shared" si="310"/>
        <v>-1.5764473109329826</v>
      </c>
      <c r="AR105" s="5">
        <f t="shared" si="310"/>
        <v>-1.5764473109329826</v>
      </c>
      <c r="AS105" s="5">
        <f t="shared" si="310"/>
        <v>-1.5764473109329826</v>
      </c>
      <c r="AT105" s="5">
        <f t="shared" si="310"/>
        <v>-1.5764473109329826</v>
      </c>
      <c r="AU105" s="5">
        <f t="shared" si="310"/>
        <v>-1.5764473109329826</v>
      </c>
      <c r="AV105" s="5">
        <f t="shared" si="310"/>
        <v>-1.5764473109329826</v>
      </c>
      <c r="AW105" s="5">
        <f t="shared" si="310"/>
        <v>-1.5764473109329826</v>
      </c>
      <c r="AX105" s="5">
        <f t="shared" si="310"/>
        <v>-1.5764473109329826</v>
      </c>
      <c r="AY105" s="5">
        <f t="shared" si="310"/>
        <v>-1.5764473109329826</v>
      </c>
      <c r="AZ105" s="5">
        <f t="shared" si="310"/>
        <v>-1.5764473109329826</v>
      </c>
      <c r="BA105" s="5">
        <f t="shared" si="310"/>
        <v>-1.5764473109329826</v>
      </c>
      <c r="BB105" s="5">
        <f t="shared" si="310"/>
        <v>-1.5764473109329813</v>
      </c>
      <c r="BC105" s="383">
        <f t="shared" si="310"/>
        <v>-18.917367731195789</v>
      </c>
      <c r="BD105" s="5">
        <f t="shared" si="310"/>
        <v>-1.7995214385412497</v>
      </c>
      <c r="BE105" s="5">
        <f t="shared" si="310"/>
        <v>-1.7995214385412497</v>
      </c>
      <c r="BF105" s="5">
        <f t="shared" si="310"/>
        <v>-1.7995214385412497</v>
      </c>
      <c r="BG105" s="5">
        <f t="shared" si="310"/>
        <v>-1.7995214385412497</v>
      </c>
      <c r="BH105" s="5">
        <f t="shared" si="310"/>
        <v>-1.7995214385412497</v>
      </c>
      <c r="BI105" s="5">
        <f t="shared" si="310"/>
        <v>-1.7995214385412497</v>
      </c>
      <c r="BJ105" s="5">
        <f t="shared" si="310"/>
        <v>-1.7995214385412497</v>
      </c>
      <c r="BK105" s="5">
        <f t="shared" si="310"/>
        <v>-1.7995214385412497</v>
      </c>
      <c r="BL105" s="5">
        <f t="shared" si="310"/>
        <v>-1.7995214385412497</v>
      </c>
      <c r="BM105" s="5">
        <f t="shared" si="310"/>
        <v>-1.7995214385412497</v>
      </c>
      <c r="BN105" s="5">
        <f t="shared" si="310"/>
        <v>-1.7995214385412497</v>
      </c>
      <c r="BO105" s="5">
        <f t="shared" si="310"/>
        <v>-1.7995214385412484</v>
      </c>
      <c r="BP105" s="383">
        <f t="shared" si="307"/>
        <v>-21.594257262494992</v>
      </c>
      <c r="BR105" s="60">
        <f t="shared" si="275"/>
        <v>0</v>
      </c>
      <c r="BS105" s="60">
        <f t="shared" si="276"/>
        <v>0</v>
      </c>
      <c r="BT105" s="60">
        <f t="shared" si="277"/>
        <v>-0.92923061043915034</v>
      </c>
      <c r="BU105" s="60">
        <f t="shared" si="278"/>
        <v>-2.7876918313174515</v>
      </c>
      <c r="BV105" s="60">
        <f t="shared" si="279"/>
        <v>-4.3975034692497124</v>
      </c>
      <c r="BW105" s="60">
        <f t="shared" si="280"/>
        <v>-4.3975034692497115</v>
      </c>
      <c r="BX105" s="60">
        <f t="shared" si="281"/>
        <v>-6.7435848062516168</v>
      </c>
      <c r="BY105" s="60">
        <f t="shared" si="282"/>
        <v>-6.743584806251615</v>
      </c>
      <c r="BZ105" s="60">
        <f t="shared" si="283"/>
        <v>-9.4586838655978962</v>
      </c>
      <c r="CA105" s="60">
        <f t="shared" si="284"/>
        <v>-9.4586838655978944</v>
      </c>
      <c r="CB105" s="60">
        <f t="shared" si="285"/>
        <v>-10.797128631247498</v>
      </c>
      <c r="CC105" s="60">
        <f t="shared" si="286"/>
        <v>-10.797128631247496</v>
      </c>
      <c r="CF105" s="297" t="s">
        <v>990</v>
      </c>
      <c r="CG105" s="12" t="s">
        <v>967</v>
      </c>
    </row>
    <row r="106" spans="1:85" s="5" customFormat="1" ht="15.6" outlineLevel="1">
      <c r="A106" s="297" t="s">
        <v>533</v>
      </c>
      <c r="B106" s="12" t="s">
        <v>804</v>
      </c>
      <c r="D106" s="5">
        <f t="shared" ref="D106:BO106" si="311">D49/500*1000</f>
        <v>0</v>
      </c>
      <c r="E106" s="5">
        <f t="shared" si="311"/>
        <v>0</v>
      </c>
      <c r="F106" s="5">
        <f t="shared" si="311"/>
        <v>0</v>
      </c>
      <c r="G106" s="5">
        <f t="shared" si="311"/>
        <v>0</v>
      </c>
      <c r="H106" s="5">
        <f t="shared" si="311"/>
        <v>0</v>
      </c>
      <c r="I106" s="5">
        <f t="shared" si="311"/>
        <v>0</v>
      </c>
      <c r="J106" s="5">
        <f t="shared" si="311"/>
        <v>-3.9824169018820723</v>
      </c>
      <c r="K106" s="5">
        <f t="shared" si="311"/>
        <v>-3.9824169018820723</v>
      </c>
      <c r="L106" s="5">
        <f t="shared" si="311"/>
        <v>-3.9824169018820723</v>
      </c>
      <c r="M106" s="5">
        <f t="shared" si="311"/>
        <v>-3.9824169018820723</v>
      </c>
      <c r="N106" s="5">
        <f t="shared" si="311"/>
        <v>-3.9824169018820723</v>
      </c>
      <c r="O106" s="5">
        <f t="shared" si="311"/>
        <v>-27.876918313174514</v>
      </c>
      <c r="P106" s="383">
        <f t="shared" si="311"/>
        <v>-47.789002822584877</v>
      </c>
      <c r="Q106" s="5">
        <f t="shared" si="311"/>
        <v>-9.4232217198208108</v>
      </c>
      <c r="R106" s="5">
        <f t="shared" si="311"/>
        <v>-9.4232217198208108</v>
      </c>
      <c r="S106" s="5">
        <f t="shared" si="311"/>
        <v>-9.4232217198208108</v>
      </c>
      <c r="T106" s="5">
        <f t="shared" si="311"/>
        <v>-9.4232217198208108</v>
      </c>
      <c r="U106" s="5">
        <f t="shared" si="311"/>
        <v>-9.4232217198208108</v>
      </c>
      <c r="V106" s="5">
        <f t="shared" si="311"/>
        <v>-9.4232217198208108</v>
      </c>
      <c r="W106" s="5">
        <f t="shared" si="311"/>
        <v>-9.4232217198208108</v>
      </c>
      <c r="X106" s="5">
        <f t="shared" si="311"/>
        <v>-9.4232217198208108</v>
      </c>
      <c r="Y106" s="5">
        <f t="shared" si="311"/>
        <v>-9.4232217198208108</v>
      </c>
      <c r="Z106" s="5">
        <f t="shared" si="311"/>
        <v>-9.4232217198208108</v>
      </c>
      <c r="AA106" s="5">
        <f t="shared" si="311"/>
        <v>-9.4232217198208108</v>
      </c>
      <c r="AB106" s="5">
        <f t="shared" si="311"/>
        <v>-9.4232217198208055</v>
      </c>
      <c r="AC106" s="383">
        <f t="shared" si="311"/>
        <v>-113.07866063784974</v>
      </c>
      <c r="AD106" s="5">
        <f t="shared" si="311"/>
        <v>-14.450538870539177</v>
      </c>
      <c r="AE106" s="5">
        <f t="shared" si="311"/>
        <v>-14.450538870539177</v>
      </c>
      <c r="AF106" s="5">
        <f t="shared" si="311"/>
        <v>-14.450538870539177</v>
      </c>
      <c r="AG106" s="5">
        <f t="shared" si="311"/>
        <v>-14.450538870539177</v>
      </c>
      <c r="AH106" s="5">
        <f t="shared" si="311"/>
        <v>-14.450538870539177</v>
      </c>
      <c r="AI106" s="5">
        <f t="shared" si="311"/>
        <v>-14.450538870539177</v>
      </c>
      <c r="AJ106" s="5">
        <f t="shared" si="311"/>
        <v>-14.450538870539177</v>
      </c>
      <c r="AK106" s="5">
        <f t="shared" si="311"/>
        <v>-14.450538870539177</v>
      </c>
      <c r="AL106" s="5">
        <f t="shared" si="311"/>
        <v>-14.450538870539177</v>
      </c>
      <c r="AM106" s="5">
        <f t="shared" si="311"/>
        <v>-14.450538870539177</v>
      </c>
      <c r="AN106" s="5">
        <f t="shared" si="311"/>
        <v>-14.450538870539177</v>
      </c>
      <c r="AO106" s="5">
        <f t="shared" si="311"/>
        <v>-14.450538870539164</v>
      </c>
      <c r="AP106" s="383">
        <f t="shared" si="311"/>
        <v>-173.40646644647006</v>
      </c>
      <c r="AQ106" s="5">
        <f t="shared" si="311"/>
        <v>-20.268608283424065</v>
      </c>
      <c r="AR106" s="5">
        <f t="shared" si="311"/>
        <v>-20.268608283424065</v>
      </c>
      <c r="AS106" s="5">
        <f t="shared" si="311"/>
        <v>-20.268608283424065</v>
      </c>
      <c r="AT106" s="5">
        <f t="shared" si="311"/>
        <v>-20.268608283424065</v>
      </c>
      <c r="AU106" s="5">
        <f t="shared" si="311"/>
        <v>-20.268608283424065</v>
      </c>
      <c r="AV106" s="5">
        <f t="shared" si="311"/>
        <v>-20.268608283424065</v>
      </c>
      <c r="AW106" s="5">
        <f t="shared" si="311"/>
        <v>-20.268608283424065</v>
      </c>
      <c r="AX106" s="5">
        <f t="shared" si="311"/>
        <v>-20.268608283424065</v>
      </c>
      <c r="AY106" s="5">
        <f t="shared" si="311"/>
        <v>-20.268608283424065</v>
      </c>
      <c r="AZ106" s="5">
        <f t="shared" si="311"/>
        <v>-20.268608283424065</v>
      </c>
      <c r="BA106" s="5">
        <f t="shared" si="311"/>
        <v>-20.268608283424065</v>
      </c>
      <c r="BB106" s="5">
        <f t="shared" si="311"/>
        <v>-20.268608283424044</v>
      </c>
      <c r="BC106" s="383">
        <f t="shared" si="311"/>
        <v>-243.22329940108881</v>
      </c>
      <c r="BD106" s="5">
        <f t="shared" si="311"/>
        <v>-23.136704209816067</v>
      </c>
      <c r="BE106" s="5">
        <f t="shared" si="311"/>
        <v>-23.136704209816067</v>
      </c>
      <c r="BF106" s="5">
        <f t="shared" si="311"/>
        <v>-23.136704209816067</v>
      </c>
      <c r="BG106" s="5">
        <f t="shared" si="311"/>
        <v>-23.136704209816067</v>
      </c>
      <c r="BH106" s="5">
        <f t="shared" si="311"/>
        <v>-23.136704209816067</v>
      </c>
      <c r="BI106" s="5">
        <f t="shared" si="311"/>
        <v>-23.136704209816067</v>
      </c>
      <c r="BJ106" s="5">
        <f t="shared" si="311"/>
        <v>-23.136704209816067</v>
      </c>
      <c r="BK106" s="5">
        <f t="shared" si="311"/>
        <v>-23.136704209816067</v>
      </c>
      <c r="BL106" s="5">
        <f t="shared" si="311"/>
        <v>-23.136704209816067</v>
      </c>
      <c r="BM106" s="5">
        <f t="shared" si="311"/>
        <v>-23.136704209816067</v>
      </c>
      <c r="BN106" s="5">
        <f t="shared" si="311"/>
        <v>-23.136704209816067</v>
      </c>
      <c r="BO106" s="5">
        <f t="shared" si="311"/>
        <v>-23.136704209816049</v>
      </c>
      <c r="BP106" s="383">
        <f t="shared" si="307"/>
        <v>-277.64045051779271</v>
      </c>
      <c r="BR106" s="60">
        <f t="shared" si="275"/>
        <v>0</v>
      </c>
      <c r="BS106" s="60">
        <f t="shared" si="276"/>
        <v>0</v>
      </c>
      <c r="BT106" s="60">
        <f t="shared" si="277"/>
        <v>-11.947250705646217</v>
      </c>
      <c r="BU106" s="60">
        <f t="shared" si="278"/>
        <v>-35.841752116938657</v>
      </c>
      <c r="BV106" s="60">
        <f t="shared" si="279"/>
        <v>-56.539330318924861</v>
      </c>
      <c r="BW106" s="60">
        <f t="shared" si="280"/>
        <v>-56.539330318924854</v>
      </c>
      <c r="BX106" s="60">
        <f t="shared" si="281"/>
        <v>-86.70323322323506</v>
      </c>
      <c r="BY106" s="60">
        <f t="shared" si="282"/>
        <v>-86.703233223235046</v>
      </c>
      <c r="BZ106" s="60">
        <f t="shared" si="283"/>
        <v>-121.6116497005444</v>
      </c>
      <c r="CA106" s="60">
        <f t="shared" si="284"/>
        <v>-121.61164970054438</v>
      </c>
      <c r="CB106" s="60">
        <f t="shared" si="285"/>
        <v>-138.82022525889639</v>
      </c>
      <c r="CC106" s="60">
        <f t="shared" si="286"/>
        <v>-138.82022525889639</v>
      </c>
      <c r="CF106" s="297" t="s">
        <v>992</v>
      </c>
      <c r="CG106" s="12" t="s">
        <v>967</v>
      </c>
    </row>
    <row r="107" spans="1:85" s="5" customFormat="1" ht="15.6" outlineLevel="1">
      <c r="A107" s="297" t="s">
        <v>532</v>
      </c>
      <c r="B107" s="12" t="s">
        <v>804</v>
      </c>
      <c r="D107" s="5">
        <f t="shared" ref="D107:BO107" si="312">D50/500*1000</f>
        <v>0</v>
      </c>
      <c r="E107" s="5">
        <f t="shared" si="312"/>
        <v>0</v>
      </c>
      <c r="F107" s="5">
        <f t="shared" si="312"/>
        <v>0</v>
      </c>
      <c r="G107" s="5">
        <f t="shared" si="312"/>
        <v>0</v>
      </c>
      <c r="H107" s="5">
        <f t="shared" si="312"/>
        <v>0</v>
      </c>
      <c r="I107" s="5">
        <f t="shared" si="312"/>
        <v>0</v>
      </c>
      <c r="J107" s="5">
        <f t="shared" si="312"/>
        <v>-8.5446492913944863E-2</v>
      </c>
      <c r="K107" s="5">
        <f t="shared" si="312"/>
        <v>-0.16747512611133192</v>
      </c>
      <c r="L107" s="5">
        <f t="shared" si="312"/>
        <v>-0.24622261398082348</v>
      </c>
      <c r="M107" s="5">
        <f t="shared" si="312"/>
        <v>-0.32182020233553543</v>
      </c>
      <c r="N107" s="5">
        <f t="shared" si="312"/>
        <v>-0.39439388715605878</v>
      </c>
      <c r="O107" s="5">
        <f t="shared" si="312"/>
        <v>-0.97674358206743073</v>
      </c>
      <c r="P107" s="383">
        <f t="shared" si="312"/>
        <v>-2.1921019045651251</v>
      </c>
      <c r="Q107" s="5">
        <f t="shared" si="312"/>
        <v>-0.28370990124191686</v>
      </c>
      <c r="R107" s="5">
        <f t="shared" si="312"/>
        <v>-0.55607140643415709</v>
      </c>
      <c r="S107" s="5">
        <f t="shared" si="312"/>
        <v>-0.81753845141870751</v>
      </c>
      <c r="T107" s="5">
        <f t="shared" si="312"/>
        <v>-1.0685468146038761</v>
      </c>
      <c r="U107" s="5">
        <f t="shared" si="312"/>
        <v>-1.3095148432616377</v>
      </c>
      <c r="V107" s="5">
        <f t="shared" si="312"/>
        <v>-1.540844150773089</v>
      </c>
      <c r="W107" s="5">
        <f t="shared" si="312"/>
        <v>-1.7629202859840822</v>
      </c>
      <c r="X107" s="5">
        <f t="shared" si="312"/>
        <v>-1.976113375786636</v>
      </c>
      <c r="Y107" s="5">
        <f t="shared" si="312"/>
        <v>-2.180778741997087</v>
      </c>
      <c r="Z107" s="5">
        <f t="shared" si="312"/>
        <v>-2.3772574935591204</v>
      </c>
      <c r="AA107" s="5">
        <f t="shared" si="312"/>
        <v>-2.565877095058672</v>
      </c>
      <c r="AB107" s="5">
        <f t="shared" si="312"/>
        <v>-2.7469519124982424</v>
      </c>
      <c r="AC107" s="383">
        <f t="shared" si="312"/>
        <v>-19.186124472617223</v>
      </c>
      <c r="AD107" s="5">
        <f t="shared" si="312"/>
        <v>-0.49171972545584691</v>
      </c>
      <c r="AE107" s="5">
        <f t="shared" si="312"/>
        <v>-0.96377066189346017</v>
      </c>
      <c r="AF107" s="5">
        <f t="shared" si="312"/>
        <v>-1.4169395608735691</v>
      </c>
      <c r="AG107" s="5">
        <f t="shared" si="312"/>
        <v>-1.8519817038944733</v>
      </c>
      <c r="AH107" s="5">
        <f t="shared" si="312"/>
        <v>-2.2696221611945409</v>
      </c>
      <c r="AI107" s="5">
        <f t="shared" si="312"/>
        <v>-2.6705570002026064</v>
      </c>
      <c r="AJ107" s="5">
        <f t="shared" si="312"/>
        <v>-3.0554544456503487</v>
      </c>
      <c r="AK107" s="5">
        <f t="shared" si="312"/>
        <v>-3.4249559932801827</v>
      </c>
      <c r="AL107" s="5">
        <f t="shared" si="312"/>
        <v>-3.7796774790048229</v>
      </c>
      <c r="AM107" s="5">
        <f t="shared" si="312"/>
        <v>-4.120210105300476</v>
      </c>
      <c r="AN107" s="5">
        <f t="shared" si="312"/>
        <v>-4.4471214265443049</v>
      </c>
      <c r="AO107" s="5">
        <f t="shared" si="312"/>
        <v>-4.7609562949383797</v>
      </c>
      <c r="AP107" s="383">
        <f t="shared" si="312"/>
        <v>-33.252966558233013</v>
      </c>
      <c r="AQ107" s="5">
        <f t="shared" si="312"/>
        <v>-0.6896956985331798</v>
      </c>
      <c r="AR107" s="5">
        <f t="shared" si="312"/>
        <v>-1.3518035691250327</v>
      </c>
      <c r="AS107" s="5">
        <f t="shared" si="312"/>
        <v>-1.9874271248932116</v>
      </c>
      <c r="AT107" s="5">
        <f t="shared" si="312"/>
        <v>-2.5976257384306627</v>
      </c>
      <c r="AU107" s="5">
        <f t="shared" si="312"/>
        <v>-3.1834164074266158</v>
      </c>
      <c r="AV107" s="5">
        <f t="shared" si="312"/>
        <v>-3.7457754496627316</v>
      </c>
      <c r="AW107" s="5">
        <f t="shared" si="312"/>
        <v>-4.2856401302094023</v>
      </c>
      <c r="AX107" s="5">
        <f t="shared" si="312"/>
        <v>-4.8039102235342046</v>
      </c>
      <c r="AY107" s="5">
        <f t="shared" si="312"/>
        <v>-5.3014495131260171</v>
      </c>
      <c r="AZ107" s="5">
        <f t="shared" si="312"/>
        <v>-5.7790872311341568</v>
      </c>
      <c r="BA107" s="5">
        <f t="shared" si="312"/>
        <v>-6.2376194404219705</v>
      </c>
      <c r="BB107" s="5">
        <f t="shared" si="312"/>
        <v>-6.6778103613382731</v>
      </c>
      <c r="BC107" s="383">
        <f t="shared" si="312"/>
        <v>-46.641260887835465</v>
      </c>
      <c r="BD107" s="5">
        <f t="shared" si="312"/>
        <v>-0.78729062936179672</v>
      </c>
      <c r="BE107" s="5">
        <f t="shared" si="312"/>
        <v>-1.5430896335491218</v>
      </c>
      <c r="BF107" s="5">
        <f t="shared" si="312"/>
        <v>-2.2686566775689538</v>
      </c>
      <c r="BG107" s="5">
        <f t="shared" si="312"/>
        <v>-2.9652010398279933</v>
      </c>
      <c r="BH107" s="5">
        <f t="shared" si="312"/>
        <v>-3.6338836275966693</v>
      </c>
      <c r="BI107" s="5">
        <f t="shared" si="312"/>
        <v>-4.2758189118546008</v>
      </c>
      <c r="BJ107" s="5">
        <f t="shared" si="312"/>
        <v>-4.892076784742212</v>
      </c>
      <c r="BK107" s="5">
        <f t="shared" si="312"/>
        <v>-5.4836843427143211</v>
      </c>
      <c r="BL107" s="5">
        <f t="shared" si="312"/>
        <v>-6.0516275983675447</v>
      </c>
      <c r="BM107" s="5">
        <f t="shared" si="312"/>
        <v>-6.5968531237946406</v>
      </c>
      <c r="BN107" s="5">
        <f t="shared" si="312"/>
        <v>-7.1202696282046523</v>
      </c>
      <c r="BO107" s="5">
        <f t="shared" si="312"/>
        <v>-7.6227494724382607</v>
      </c>
      <c r="BP107" s="383">
        <f t="shared" si="307"/>
        <v>-53.241201470020762</v>
      </c>
      <c r="BR107" s="60">
        <f t="shared" si="275"/>
        <v>0</v>
      </c>
      <c r="BS107" s="60">
        <f t="shared" si="276"/>
        <v>0</v>
      </c>
      <c r="BT107" s="60">
        <f t="shared" si="277"/>
        <v>-0.49914423300610022</v>
      </c>
      <c r="BU107" s="60">
        <f t="shared" si="278"/>
        <v>-1.6929576715590251</v>
      </c>
      <c r="BV107" s="60">
        <f t="shared" si="279"/>
        <v>-5.5762255677333838</v>
      </c>
      <c r="BW107" s="60">
        <f t="shared" si="280"/>
        <v>-13.609898904883842</v>
      </c>
      <c r="BX107" s="60">
        <f t="shared" si="281"/>
        <v>-9.6645908135144971</v>
      </c>
      <c r="BY107" s="60">
        <f t="shared" si="282"/>
        <v>-23.588375744718519</v>
      </c>
      <c r="BZ107" s="60">
        <f t="shared" si="283"/>
        <v>-13.555743988071436</v>
      </c>
      <c r="CA107" s="60">
        <f t="shared" si="284"/>
        <v>-33.085516899764023</v>
      </c>
      <c r="CB107" s="60">
        <f t="shared" si="285"/>
        <v>-15.473940519759136</v>
      </c>
      <c r="CC107" s="60">
        <f t="shared" si="286"/>
        <v>-37.76726095026163</v>
      </c>
      <c r="CF107" s="297" t="s">
        <v>991</v>
      </c>
      <c r="CG107" s="12" t="s">
        <v>967</v>
      </c>
    </row>
    <row r="108" spans="1:85" s="5" customFormat="1" ht="15.6" outlineLevel="1">
      <c r="A108" s="297" t="s">
        <v>631</v>
      </c>
      <c r="B108" s="12" t="s">
        <v>804</v>
      </c>
      <c r="D108" s="5">
        <f t="shared" ref="D108:BO108" si="313">D51/500*1000</f>
        <v>0</v>
      </c>
      <c r="E108" s="5">
        <f t="shared" si="313"/>
        <v>0</v>
      </c>
      <c r="F108" s="5">
        <f t="shared" si="313"/>
        <v>0</v>
      </c>
      <c r="G108" s="5">
        <f t="shared" si="313"/>
        <v>0</v>
      </c>
      <c r="H108" s="5">
        <f t="shared" si="313"/>
        <v>0</v>
      </c>
      <c r="I108" s="5">
        <f t="shared" si="313"/>
        <v>0</v>
      </c>
      <c r="J108" s="5">
        <f t="shared" si="313"/>
        <v>0</v>
      </c>
      <c r="K108" s="5">
        <f t="shared" si="313"/>
        <v>-1.2206641844849266</v>
      </c>
      <c r="L108" s="5">
        <f t="shared" si="313"/>
        <v>-2.392501801590456</v>
      </c>
      <c r="M108" s="5">
        <f t="shared" si="313"/>
        <v>-3.5174659140117646</v>
      </c>
      <c r="N108" s="5">
        <f t="shared" si="313"/>
        <v>-4.5974314619362193</v>
      </c>
      <c r="O108" s="5">
        <f t="shared" si="313"/>
        <v>-5.6341983879436972</v>
      </c>
      <c r="P108" s="383">
        <f t="shared" si="313"/>
        <v>-17.362261749967065</v>
      </c>
      <c r="Q108" s="5">
        <f t="shared" si="313"/>
        <v>0</v>
      </c>
      <c r="R108" s="5">
        <f t="shared" si="313"/>
        <v>-4.4582984480872652</v>
      </c>
      <c r="S108" s="5">
        <f t="shared" si="313"/>
        <v>-8.7382649582510403</v>
      </c>
      <c r="T108" s="5">
        <f t="shared" si="313"/>
        <v>-12.847032808008262</v>
      </c>
      <c r="U108" s="5">
        <f t="shared" si="313"/>
        <v>-16.791449943775195</v>
      </c>
      <c r="V108" s="5">
        <f t="shared" si="313"/>
        <v>-20.578090394111452</v>
      </c>
      <c r="W108" s="5">
        <f t="shared" si="313"/>
        <v>-24.213265226434256</v>
      </c>
      <c r="X108" s="5">
        <f t="shared" si="313"/>
        <v>-27.703033065464151</v>
      </c>
      <c r="Y108" s="5">
        <f t="shared" si="313"/>
        <v>-31.053210190932852</v>
      </c>
      <c r="Z108" s="5">
        <f t="shared" si="313"/>
        <v>-34.269380231382797</v>
      </c>
      <c r="AA108" s="5">
        <f t="shared" si="313"/>
        <v>-37.356903470214746</v>
      </c>
      <c r="AB108" s="5">
        <f t="shared" si="313"/>
        <v>-40.320925779493422</v>
      </c>
      <c r="AC108" s="383">
        <f t="shared" si="313"/>
        <v>-258.32985451615548</v>
      </c>
      <c r="AD108" s="5">
        <f t="shared" si="313"/>
        <v>0</v>
      </c>
      <c r="AE108" s="5">
        <f t="shared" si="313"/>
        <v>-8.4997266828796416</v>
      </c>
      <c r="AF108" s="5">
        <f t="shared" si="313"/>
        <v>-16.659464298444099</v>
      </c>
      <c r="AG108" s="5">
        <f t="shared" si="313"/>
        <v>-24.49281240938598</v>
      </c>
      <c r="AH108" s="5">
        <f t="shared" si="313"/>
        <v>-32.012826595890182</v>
      </c>
      <c r="AI108" s="5">
        <f t="shared" si="313"/>
        <v>-39.232040214934216</v>
      </c>
      <c r="AJ108" s="5">
        <f t="shared" si="313"/>
        <v>-46.162485289216484</v>
      </c>
      <c r="AK108" s="5">
        <f t="shared" si="313"/>
        <v>-52.815712560527459</v>
      </c>
      <c r="AL108" s="5">
        <f t="shared" si="313"/>
        <v>-59.202810740986017</v>
      </c>
      <c r="AM108" s="5">
        <f t="shared" si="313"/>
        <v>-65.334424994226225</v>
      </c>
      <c r="AN108" s="5">
        <f t="shared" si="313"/>
        <v>-71.22077467733682</v>
      </c>
      <c r="AO108" s="5">
        <f t="shared" si="313"/>
        <v>-76.871670373122996</v>
      </c>
      <c r="AP108" s="383">
        <f t="shared" si="313"/>
        <v>-492.50474883695006</v>
      </c>
      <c r="AQ108" s="5">
        <f t="shared" si="313"/>
        <v>0</v>
      </c>
      <c r="AR108" s="5">
        <f t="shared" si="313"/>
        <v>-13.114071067823749</v>
      </c>
      <c r="AS108" s="5">
        <f t="shared" si="313"/>
        <v>-25.703579292934553</v>
      </c>
      <c r="AT108" s="5">
        <f t="shared" si="313"/>
        <v>-37.789507189040918</v>
      </c>
      <c r="AU108" s="5">
        <f t="shared" si="313"/>
        <v>-49.391997969303027</v>
      </c>
      <c r="AV108" s="5">
        <f t="shared" si="313"/>
        <v>-60.530389118354655</v>
      </c>
      <c r="AW108" s="5">
        <f t="shared" si="313"/>
        <v>-71.223244621444223</v>
      </c>
      <c r="AX108" s="5">
        <f t="shared" si="313"/>
        <v>-81.488385904410194</v>
      </c>
      <c r="AY108" s="5">
        <f t="shared" si="313"/>
        <v>-91.342921536057531</v>
      </c>
      <c r="AZ108" s="5">
        <f t="shared" si="313"/>
        <v>-100.80327574243898</v>
      </c>
      <c r="BA108" s="5">
        <f t="shared" si="313"/>
        <v>-109.8852157805652</v>
      </c>
      <c r="BB108" s="5">
        <f t="shared" si="313"/>
        <v>-118.60387821716633</v>
      </c>
      <c r="BC108" s="383">
        <f t="shared" si="313"/>
        <v>-759.87646643953929</v>
      </c>
      <c r="BD108" s="5">
        <f t="shared" si="313"/>
        <v>0</v>
      </c>
      <c r="BE108" s="5">
        <f t="shared" si="313"/>
        <v>-16.466745863551527</v>
      </c>
      <c r="BF108" s="5">
        <f t="shared" si="313"/>
        <v>-32.274821892560993</v>
      </c>
      <c r="BG108" s="5">
        <f t="shared" si="313"/>
        <v>-47.450574880410088</v>
      </c>
      <c r="BH108" s="5">
        <f t="shared" si="313"/>
        <v>-62.01929774874521</v>
      </c>
      <c r="BI108" s="5">
        <f t="shared" si="313"/>
        <v>-76.005271702346931</v>
      </c>
      <c r="BJ108" s="5">
        <f t="shared" si="313"/>
        <v>-89.431806697804589</v>
      </c>
      <c r="BK108" s="5">
        <f t="shared" si="313"/>
        <v>-102.32128029344392</v>
      </c>
      <c r="BL108" s="5">
        <f t="shared" si="313"/>
        <v>-114.69517494525769</v>
      </c>
      <c r="BM108" s="5">
        <f t="shared" si="313"/>
        <v>-126.57411381099895</v>
      </c>
      <c r="BN108" s="5">
        <f t="shared" si="313"/>
        <v>-137.97789512211051</v>
      </c>
      <c r="BO108" s="5">
        <f t="shared" si="313"/>
        <v>-148.92552518077761</v>
      </c>
      <c r="BP108" s="383">
        <f t="shared" si="307"/>
        <v>-954.142508138008</v>
      </c>
      <c r="BR108" s="60">
        <f t="shared" si="275"/>
        <v>0</v>
      </c>
      <c r="BS108" s="60">
        <f t="shared" si="276"/>
        <v>0</v>
      </c>
      <c r="BT108" s="60">
        <f t="shared" si="277"/>
        <v>-3.6131659860753826</v>
      </c>
      <c r="BU108" s="60">
        <f t="shared" si="278"/>
        <v>-13.749095763891681</v>
      </c>
      <c r="BV108" s="60">
        <f t="shared" si="279"/>
        <v>-63.413136552233212</v>
      </c>
      <c r="BW108" s="60">
        <f t="shared" si="280"/>
        <v>-194.91671796392222</v>
      </c>
      <c r="BX108" s="60">
        <f t="shared" si="281"/>
        <v>-120.89687020153411</v>
      </c>
      <c r="BY108" s="60">
        <f t="shared" si="282"/>
        <v>-371.607878635416</v>
      </c>
      <c r="BZ108" s="60">
        <f t="shared" si="283"/>
        <v>-186.52954463745689</v>
      </c>
      <c r="CA108" s="60">
        <f t="shared" si="284"/>
        <v>-573.34692180208242</v>
      </c>
      <c r="CB108" s="60">
        <f t="shared" si="285"/>
        <v>-234.21671208761475</v>
      </c>
      <c r="CC108" s="60">
        <f t="shared" si="286"/>
        <v>-719.92579605039327</v>
      </c>
      <c r="CF108" s="297" t="s">
        <v>997</v>
      </c>
      <c r="CG108" s="12" t="s">
        <v>967</v>
      </c>
    </row>
    <row r="109" spans="1:85" s="5" customFormat="1" ht="15.6" outlineLevel="1">
      <c r="A109" s="297" t="s">
        <v>630</v>
      </c>
      <c r="B109" s="12" t="s">
        <v>804</v>
      </c>
      <c r="D109" s="5">
        <f t="shared" ref="D109:BO109" si="314">D52/500*1000</f>
        <v>0</v>
      </c>
      <c r="E109" s="5">
        <f t="shared" si="314"/>
        <v>0</v>
      </c>
      <c r="F109" s="5">
        <f t="shared" si="314"/>
        <v>0</v>
      </c>
      <c r="G109" s="5">
        <f t="shared" si="314"/>
        <v>0</v>
      </c>
      <c r="H109" s="5">
        <f t="shared" si="314"/>
        <v>0</v>
      </c>
      <c r="I109" s="5">
        <f t="shared" si="314"/>
        <v>0</v>
      </c>
      <c r="J109" s="5">
        <f t="shared" si="314"/>
        <v>-0.30516604612123166</v>
      </c>
      <c r="K109" s="5">
        <f t="shared" si="314"/>
        <v>-0.598125450397614</v>
      </c>
      <c r="L109" s="5">
        <f t="shared" si="314"/>
        <v>-0.87936647850294103</v>
      </c>
      <c r="M109" s="5">
        <f t="shared" si="314"/>
        <v>-1.1493578654840548</v>
      </c>
      <c r="N109" s="5">
        <f t="shared" si="314"/>
        <v>-1.4085495969859243</v>
      </c>
      <c r="O109" s="5">
        <f t="shared" si="314"/>
        <v>-3.4883699359551095</v>
      </c>
      <c r="P109" s="383">
        <f t="shared" si="314"/>
        <v>-7.8289353734468765</v>
      </c>
      <c r="Q109" s="5">
        <f t="shared" si="314"/>
        <v>-1.1145746120218163</v>
      </c>
      <c r="R109" s="5">
        <f t="shared" si="314"/>
        <v>-2.1845662395627601</v>
      </c>
      <c r="S109" s="5">
        <f t="shared" si="314"/>
        <v>-3.2117582020020654</v>
      </c>
      <c r="T109" s="5">
        <f t="shared" si="314"/>
        <v>-4.1978624859437987</v>
      </c>
      <c r="U109" s="5">
        <f t="shared" si="314"/>
        <v>-5.1445225985278622</v>
      </c>
      <c r="V109" s="5">
        <f t="shared" si="314"/>
        <v>-6.053316306608564</v>
      </c>
      <c r="W109" s="5">
        <f t="shared" si="314"/>
        <v>-6.9257582663660378</v>
      </c>
      <c r="X109" s="5">
        <f t="shared" si="314"/>
        <v>-7.7633025477332129</v>
      </c>
      <c r="Y109" s="5">
        <f t="shared" si="314"/>
        <v>-8.5673450578456993</v>
      </c>
      <c r="Z109" s="5">
        <f t="shared" si="314"/>
        <v>-9.3392258675536866</v>
      </c>
      <c r="AA109" s="5">
        <f t="shared" si="314"/>
        <v>-10.080231444873355</v>
      </c>
      <c r="AB109" s="5">
        <f t="shared" si="314"/>
        <v>-10.791596799100237</v>
      </c>
      <c r="AC109" s="383">
        <f t="shared" si="314"/>
        <v>-75.374060428139103</v>
      </c>
      <c r="AD109" s="5">
        <f t="shared" si="314"/>
        <v>-2.1249316707199104</v>
      </c>
      <c r="AE109" s="5">
        <f t="shared" si="314"/>
        <v>-4.1648660746110249</v>
      </c>
      <c r="AF109" s="5">
        <f t="shared" si="314"/>
        <v>-6.123203102346495</v>
      </c>
      <c r="AG109" s="5">
        <f t="shared" si="314"/>
        <v>-8.0032066489725455</v>
      </c>
      <c r="AH109" s="5">
        <f t="shared" si="314"/>
        <v>-9.8080100537335539</v>
      </c>
      <c r="AI109" s="5">
        <f t="shared" si="314"/>
        <v>-11.540621322304121</v>
      </c>
      <c r="AJ109" s="5">
        <f t="shared" si="314"/>
        <v>-13.203928140131865</v>
      </c>
      <c r="AK109" s="5">
        <f t="shared" si="314"/>
        <v>-14.800702685246504</v>
      </c>
      <c r="AL109" s="5">
        <f t="shared" si="314"/>
        <v>-16.333606248556556</v>
      </c>
      <c r="AM109" s="5">
        <f t="shared" si="314"/>
        <v>-17.805193669334205</v>
      </c>
      <c r="AN109" s="5">
        <f t="shared" si="314"/>
        <v>-19.217917593280749</v>
      </c>
      <c r="AO109" s="5">
        <f t="shared" si="314"/>
        <v>-20.57413256026943</v>
      </c>
      <c r="AP109" s="383">
        <f t="shared" si="314"/>
        <v>-143.70031976950693</v>
      </c>
      <c r="AQ109" s="5">
        <f t="shared" si="314"/>
        <v>-3.2785177669559373</v>
      </c>
      <c r="AR109" s="5">
        <f t="shared" si="314"/>
        <v>-6.4258948232336373</v>
      </c>
      <c r="AS109" s="5">
        <f t="shared" si="314"/>
        <v>-9.4473767972602296</v>
      </c>
      <c r="AT109" s="5">
        <f t="shared" si="314"/>
        <v>-12.347999492325759</v>
      </c>
      <c r="AU109" s="5">
        <f t="shared" si="314"/>
        <v>-15.132597279588664</v>
      </c>
      <c r="AV109" s="5">
        <f t="shared" si="314"/>
        <v>-17.805811155361056</v>
      </c>
      <c r="AW109" s="5">
        <f t="shared" si="314"/>
        <v>-20.372096476102548</v>
      </c>
      <c r="AX109" s="5">
        <f t="shared" si="314"/>
        <v>-22.835730384014386</v>
      </c>
      <c r="AY109" s="5">
        <f t="shared" si="314"/>
        <v>-25.200818935609746</v>
      </c>
      <c r="AZ109" s="5">
        <f t="shared" si="314"/>
        <v>-27.471303945141297</v>
      </c>
      <c r="BA109" s="5">
        <f t="shared" si="314"/>
        <v>-29.650969554291585</v>
      </c>
      <c r="BB109" s="5">
        <f t="shared" si="314"/>
        <v>-31.74344853907586</v>
      </c>
      <c r="BC109" s="383">
        <f t="shared" si="314"/>
        <v>-221.71256514896069</v>
      </c>
      <c r="BD109" s="5">
        <f t="shared" si="314"/>
        <v>-4.1166864658878817</v>
      </c>
      <c r="BE109" s="5">
        <f t="shared" si="314"/>
        <v>-8.0687054731402483</v>
      </c>
      <c r="BF109" s="5">
        <f t="shared" si="314"/>
        <v>-11.862643720102522</v>
      </c>
      <c r="BG109" s="5">
        <f t="shared" si="314"/>
        <v>-15.504824437186302</v>
      </c>
      <c r="BH109" s="5">
        <f t="shared" si="314"/>
        <v>-19.001317925586733</v>
      </c>
      <c r="BI109" s="5">
        <f t="shared" si="314"/>
        <v>-22.357951674451147</v>
      </c>
      <c r="BJ109" s="5">
        <f t="shared" si="314"/>
        <v>-25.58032007336098</v>
      </c>
      <c r="BK109" s="5">
        <f t="shared" si="314"/>
        <v>-28.673793736314426</v>
      </c>
      <c r="BL109" s="5">
        <f t="shared" si="314"/>
        <v>-31.643528452749731</v>
      </c>
      <c r="BM109" s="5">
        <f t="shared" si="314"/>
        <v>-34.494473780527628</v>
      </c>
      <c r="BN109" s="5">
        <f t="shared" si="314"/>
        <v>-37.231381295194403</v>
      </c>
      <c r="BO109" s="5">
        <f t="shared" si="314"/>
        <v>-39.8588125092745</v>
      </c>
      <c r="BP109" s="383">
        <f t="shared" si="307"/>
        <v>-278.39443954377651</v>
      </c>
      <c r="BR109" s="60">
        <f t="shared" si="275"/>
        <v>0</v>
      </c>
      <c r="BS109" s="60">
        <f t="shared" si="276"/>
        <v>0</v>
      </c>
      <c r="BT109" s="60">
        <f t="shared" si="277"/>
        <v>-1.7826579750217868</v>
      </c>
      <c r="BU109" s="60">
        <f t="shared" si="278"/>
        <v>-6.0462773984250884</v>
      </c>
      <c r="BV109" s="60">
        <f t="shared" si="279"/>
        <v>-21.906600444666868</v>
      </c>
      <c r="BW109" s="60">
        <f t="shared" si="280"/>
        <v>-53.467459983472224</v>
      </c>
      <c r="BX109" s="60">
        <f t="shared" si="281"/>
        <v>-41.764838872687648</v>
      </c>
      <c r="BY109" s="60">
        <f t="shared" si="282"/>
        <v>-101.93548089681931</v>
      </c>
      <c r="BZ109" s="60">
        <f t="shared" si="283"/>
        <v>-64.438197314725272</v>
      </c>
      <c r="CA109" s="60">
        <f t="shared" si="284"/>
        <v>-157.27436783423545</v>
      </c>
      <c r="CB109" s="60">
        <f t="shared" si="285"/>
        <v>-80.912129696354839</v>
      </c>
      <c r="CC109" s="60">
        <f t="shared" si="286"/>
        <v>-197.48230984742167</v>
      </c>
      <c r="CF109" s="297" t="s">
        <v>998</v>
      </c>
      <c r="CG109" s="12" t="s">
        <v>967</v>
      </c>
    </row>
    <row r="110" spans="1:85" s="5" customFormat="1" ht="15.6" outlineLevel="1">
      <c r="A110" s="297" t="s">
        <v>629</v>
      </c>
      <c r="B110" s="12" t="s">
        <v>804</v>
      </c>
      <c r="D110" s="5">
        <f t="shared" ref="D110:BO110" si="315">D53/500*1000</f>
        <v>0</v>
      </c>
      <c r="E110" s="5">
        <f t="shared" si="315"/>
        <v>0</v>
      </c>
      <c r="F110" s="5">
        <f t="shared" si="315"/>
        <v>0</v>
      </c>
      <c r="G110" s="5">
        <f t="shared" si="315"/>
        <v>0</v>
      </c>
      <c r="H110" s="5">
        <f t="shared" si="315"/>
        <v>0</v>
      </c>
      <c r="I110" s="5">
        <f t="shared" si="315"/>
        <v>0</v>
      </c>
      <c r="J110" s="5">
        <f t="shared" si="315"/>
        <v>0</v>
      </c>
      <c r="K110" s="5">
        <f t="shared" si="315"/>
        <v>-1.2206641844849266</v>
      </c>
      <c r="L110" s="5">
        <f t="shared" si="315"/>
        <v>-2.392501801590456</v>
      </c>
      <c r="M110" s="5">
        <f t="shared" si="315"/>
        <v>-3.5174659140117646</v>
      </c>
      <c r="N110" s="5">
        <f t="shared" si="315"/>
        <v>-4.5974314619362193</v>
      </c>
      <c r="O110" s="5">
        <f t="shared" si="315"/>
        <v>-5.6341983879436972</v>
      </c>
      <c r="P110" s="383">
        <f t="shared" si="315"/>
        <v>-17.362261749967065</v>
      </c>
      <c r="Q110" s="5">
        <f t="shared" si="315"/>
        <v>0</v>
      </c>
      <c r="R110" s="5">
        <f t="shared" si="315"/>
        <v>-4.4582984480872652</v>
      </c>
      <c r="S110" s="5">
        <f t="shared" si="315"/>
        <v>-8.7382649582510403</v>
      </c>
      <c r="T110" s="5">
        <f t="shared" si="315"/>
        <v>-12.847032808008262</v>
      </c>
      <c r="U110" s="5">
        <f t="shared" si="315"/>
        <v>-16.791449943775195</v>
      </c>
      <c r="V110" s="5">
        <f t="shared" si="315"/>
        <v>-20.578090394111452</v>
      </c>
      <c r="W110" s="5">
        <f t="shared" si="315"/>
        <v>-24.213265226434256</v>
      </c>
      <c r="X110" s="5">
        <f t="shared" si="315"/>
        <v>-27.703033065464151</v>
      </c>
      <c r="Y110" s="5">
        <f t="shared" si="315"/>
        <v>-31.053210190932852</v>
      </c>
      <c r="Z110" s="5">
        <f t="shared" si="315"/>
        <v>-34.269380231382797</v>
      </c>
      <c r="AA110" s="5">
        <f t="shared" si="315"/>
        <v>-37.356903470214746</v>
      </c>
      <c r="AB110" s="5">
        <f t="shared" si="315"/>
        <v>-40.320925779493422</v>
      </c>
      <c r="AC110" s="383">
        <f t="shared" si="315"/>
        <v>-258.32985451615548</v>
      </c>
      <c r="AD110" s="5">
        <f t="shared" si="315"/>
        <v>0</v>
      </c>
      <c r="AE110" s="5">
        <f t="shared" si="315"/>
        <v>-8.4997266828796416</v>
      </c>
      <c r="AF110" s="5">
        <f t="shared" si="315"/>
        <v>-16.659464298444099</v>
      </c>
      <c r="AG110" s="5">
        <f t="shared" si="315"/>
        <v>-24.49281240938598</v>
      </c>
      <c r="AH110" s="5">
        <f t="shared" si="315"/>
        <v>-32.012826595890182</v>
      </c>
      <c r="AI110" s="5">
        <f t="shared" si="315"/>
        <v>-39.232040214934216</v>
      </c>
      <c r="AJ110" s="5">
        <f t="shared" si="315"/>
        <v>-46.162485289216484</v>
      </c>
      <c r="AK110" s="5">
        <f t="shared" si="315"/>
        <v>-52.815712560527459</v>
      </c>
      <c r="AL110" s="5">
        <f t="shared" si="315"/>
        <v>-59.202810740986017</v>
      </c>
      <c r="AM110" s="5">
        <f t="shared" si="315"/>
        <v>-65.334424994226225</v>
      </c>
      <c r="AN110" s="5">
        <f t="shared" si="315"/>
        <v>-71.22077467733682</v>
      </c>
      <c r="AO110" s="5">
        <f t="shared" si="315"/>
        <v>-76.871670373122996</v>
      </c>
      <c r="AP110" s="383">
        <f t="shared" si="315"/>
        <v>-492.50474883695006</v>
      </c>
      <c r="AQ110" s="5">
        <f t="shared" si="315"/>
        <v>0</v>
      </c>
      <c r="AR110" s="5">
        <f t="shared" si="315"/>
        <v>-13.114071067823749</v>
      </c>
      <c r="AS110" s="5">
        <f t="shared" si="315"/>
        <v>-25.703579292934553</v>
      </c>
      <c r="AT110" s="5">
        <f t="shared" si="315"/>
        <v>-37.789507189040918</v>
      </c>
      <c r="AU110" s="5">
        <f t="shared" si="315"/>
        <v>-49.391997969303027</v>
      </c>
      <c r="AV110" s="5">
        <f t="shared" si="315"/>
        <v>-60.530389118354655</v>
      </c>
      <c r="AW110" s="5">
        <f t="shared" si="315"/>
        <v>-71.223244621444223</v>
      </c>
      <c r="AX110" s="5">
        <f t="shared" si="315"/>
        <v>-81.488385904410194</v>
      </c>
      <c r="AY110" s="5">
        <f t="shared" si="315"/>
        <v>-91.342921536057531</v>
      </c>
      <c r="AZ110" s="5">
        <f t="shared" si="315"/>
        <v>-100.80327574243898</v>
      </c>
      <c r="BA110" s="5">
        <f t="shared" si="315"/>
        <v>-109.8852157805652</v>
      </c>
      <c r="BB110" s="5">
        <f t="shared" si="315"/>
        <v>-118.60387821716633</v>
      </c>
      <c r="BC110" s="383">
        <f t="shared" si="315"/>
        <v>-759.87646643953929</v>
      </c>
      <c r="BD110" s="5">
        <f t="shared" si="315"/>
        <v>0</v>
      </c>
      <c r="BE110" s="5">
        <f t="shared" si="315"/>
        <v>-16.466745863551527</v>
      </c>
      <c r="BF110" s="5">
        <f t="shared" si="315"/>
        <v>-32.274821892560993</v>
      </c>
      <c r="BG110" s="5">
        <f t="shared" si="315"/>
        <v>-47.450574880410088</v>
      </c>
      <c r="BH110" s="5">
        <f t="shared" si="315"/>
        <v>-62.01929774874521</v>
      </c>
      <c r="BI110" s="5">
        <f t="shared" si="315"/>
        <v>-76.005271702346931</v>
      </c>
      <c r="BJ110" s="5">
        <f t="shared" si="315"/>
        <v>-89.431806697804589</v>
      </c>
      <c r="BK110" s="5">
        <f t="shared" si="315"/>
        <v>-102.32128029344392</v>
      </c>
      <c r="BL110" s="5">
        <f t="shared" si="315"/>
        <v>-114.69517494525769</v>
      </c>
      <c r="BM110" s="5">
        <f t="shared" si="315"/>
        <v>-126.57411381099895</v>
      </c>
      <c r="BN110" s="5">
        <f t="shared" si="315"/>
        <v>-137.97789512211051</v>
      </c>
      <c r="BO110" s="5">
        <f t="shared" si="315"/>
        <v>-148.92552518077761</v>
      </c>
      <c r="BP110" s="383">
        <f t="shared" si="307"/>
        <v>-954.142508138008</v>
      </c>
      <c r="BR110" s="60">
        <f t="shared" si="275"/>
        <v>0</v>
      </c>
      <c r="BS110" s="60">
        <f t="shared" si="276"/>
        <v>0</v>
      </c>
      <c r="BT110" s="60">
        <f t="shared" si="277"/>
        <v>-3.6131659860753826</v>
      </c>
      <c r="BU110" s="60">
        <f t="shared" si="278"/>
        <v>-13.749095763891681</v>
      </c>
      <c r="BV110" s="60">
        <f t="shared" si="279"/>
        <v>-63.413136552233212</v>
      </c>
      <c r="BW110" s="60">
        <f t="shared" si="280"/>
        <v>-194.91671796392222</v>
      </c>
      <c r="BX110" s="60">
        <f t="shared" si="281"/>
        <v>-120.89687020153411</v>
      </c>
      <c r="BY110" s="60">
        <f t="shared" si="282"/>
        <v>-371.607878635416</v>
      </c>
      <c r="BZ110" s="60">
        <f t="shared" si="283"/>
        <v>-186.52954463745689</v>
      </c>
      <c r="CA110" s="60">
        <f t="shared" si="284"/>
        <v>-573.34692180208242</v>
      </c>
      <c r="CB110" s="60">
        <f t="shared" si="285"/>
        <v>-234.21671208761475</v>
      </c>
      <c r="CC110" s="60">
        <f t="shared" si="286"/>
        <v>-719.92579605039327</v>
      </c>
      <c r="CF110" s="297" t="s">
        <v>996</v>
      </c>
      <c r="CG110" s="12" t="s">
        <v>967</v>
      </c>
    </row>
    <row r="111" spans="1:85" s="5" customFormat="1" ht="15.6" outlineLevel="1">
      <c r="A111" s="297" t="s">
        <v>536</v>
      </c>
      <c r="B111" s="12" t="s">
        <v>804</v>
      </c>
      <c r="D111" s="5">
        <f t="shared" ref="D111:BO111" si="316">D54/500*1000</f>
        <v>0</v>
      </c>
      <c r="E111" s="5">
        <f t="shared" si="316"/>
        <v>0</v>
      </c>
      <c r="F111" s="5">
        <f t="shared" si="316"/>
        <v>0</v>
      </c>
      <c r="G111" s="5">
        <f t="shared" si="316"/>
        <v>0</v>
      </c>
      <c r="H111" s="5">
        <f t="shared" si="316"/>
        <v>0</v>
      </c>
      <c r="I111" s="5">
        <f t="shared" si="316"/>
        <v>0</v>
      </c>
      <c r="J111" s="5">
        <f t="shared" si="316"/>
        <v>-9.5364389412884876</v>
      </c>
      <c r="K111" s="5">
        <f t="shared" si="316"/>
        <v>-9.5364389412884876</v>
      </c>
      <c r="L111" s="5">
        <f t="shared" si="316"/>
        <v>-9.5364389412884876</v>
      </c>
      <c r="M111" s="5">
        <f t="shared" si="316"/>
        <v>-9.5364389412884876</v>
      </c>
      <c r="N111" s="5">
        <f t="shared" si="316"/>
        <v>-9.5364389412884876</v>
      </c>
      <c r="O111" s="5">
        <f t="shared" si="316"/>
        <v>-66.755072589019434</v>
      </c>
      <c r="P111" s="383">
        <f t="shared" si="316"/>
        <v>-114.43726729546188</v>
      </c>
      <c r="Q111" s="5">
        <f t="shared" si="316"/>
        <v>-21.109367651928338</v>
      </c>
      <c r="R111" s="5">
        <f t="shared" si="316"/>
        <v>-21.109367651928338</v>
      </c>
      <c r="S111" s="5">
        <f t="shared" si="316"/>
        <v>-21.109367651928338</v>
      </c>
      <c r="T111" s="5">
        <f t="shared" si="316"/>
        <v>-21.109367651928338</v>
      </c>
      <c r="U111" s="5">
        <f t="shared" si="316"/>
        <v>-21.109367651928338</v>
      </c>
      <c r="V111" s="5">
        <f t="shared" si="316"/>
        <v>-21.109367651928338</v>
      </c>
      <c r="W111" s="5">
        <f t="shared" si="316"/>
        <v>-21.109367651928338</v>
      </c>
      <c r="X111" s="5">
        <f t="shared" si="316"/>
        <v>-21.109367651928338</v>
      </c>
      <c r="Y111" s="5">
        <f t="shared" si="316"/>
        <v>-21.109367651928338</v>
      </c>
      <c r="Z111" s="5">
        <f t="shared" si="316"/>
        <v>-21.109367651928338</v>
      </c>
      <c r="AA111" s="5">
        <f t="shared" si="316"/>
        <v>-21.109367651928338</v>
      </c>
      <c r="AB111" s="5">
        <f t="shared" si="316"/>
        <v>-21.109367651928324</v>
      </c>
      <c r="AC111" s="383">
        <f t="shared" si="316"/>
        <v>-253.31241182314002</v>
      </c>
      <c r="AD111" s="5">
        <f t="shared" si="316"/>
        <v>-31.359676368357583</v>
      </c>
      <c r="AE111" s="5">
        <f t="shared" si="316"/>
        <v>-31.359676368357583</v>
      </c>
      <c r="AF111" s="5">
        <f t="shared" si="316"/>
        <v>-31.359676368357583</v>
      </c>
      <c r="AG111" s="5">
        <f t="shared" si="316"/>
        <v>-31.359676368357583</v>
      </c>
      <c r="AH111" s="5">
        <f t="shared" si="316"/>
        <v>-31.359676368357583</v>
      </c>
      <c r="AI111" s="5">
        <f t="shared" si="316"/>
        <v>-31.359676368357583</v>
      </c>
      <c r="AJ111" s="5">
        <f t="shared" si="316"/>
        <v>-31.359676368357583</v>
      </c>
      <c r="AK111" s="5">
        <f t="shared" si="316"/>
        <v>-31.359676368357583</v>
      </c>
      <c r="AL111" s="5">
        <f t="shared" si="316"/>
        <v>-31.359676368357583</v>
      </c>
      <c r="AM111" s="5">
        <f t="shared" si="316"/>
        <v>-31.359676368357583</v>
      </c>
      <c r="AN111" s="5">
        <f t="shared" si="316"/>
        <v>-31.359676368357583</v>
      </c>
      <c r="AO111" s="5">
        <f t="shared" si="316"/>
        <v>-31.359676368357562</v>
      </c>
      <c r="AP111" s="383">
        <f t="shared" si="316"/>
        <v>-376.31611642029105</v>
      </c>
      <c r="AQ111" s="5">
        <f t="shared" si="316"/>
        <v>-43.985695059514022</v>
      </c>
      <c r="AR111" s="5">
        <f t="shared" si="316"/>
        <v>-43.985695059514022</v>
      </c>
      <c r="AS111" s="5">
        <f t="shared" si="316"/>
        <v>-43.985695059514022</v>
      </c>
      <c r="AT111" s="5">
        <f t="shared" si="316"/>
        <v>-43.985695059514022</v>
      </c>
      <c r="AU111" s="5">
        <f t="shared" si="316"/>
        <v>-43.985695059514022</v>
      </c>
      <c r="AV111" s="5">
        <f t="shared" si="316"/>
        <v>-43.985695059514022</v>
      </c>
      <c r="AW111" s="5">
        <f t="shared" si="316"/>
        <v>-43.985695059514022</v>
      </c>
      <c r="AX111" s="5">
        <f t="shared" si="316"/>
        <v>-43.985695059514022</v>
      </c>
      <c r="AY111" s="5">
        <f t="shared" si="316"/>
        <v>-43.985695059514022</v>
      </c>
      <c r="AZ111" s="5">
        <f t="shared" si="316"/>
        <v>-43.985695059514022</v>
      </c>
      <c r="BA111" s="5">
        <f t="shared" si="316"/>
        <v>-43.985695059514022</v>
      </c>
      <c r="BB111" s="5">
        <f t="shared" si="316"/>
        <v>-43.985695059513986</v>
      </c>
      <c r="BC111" s="383">
        <f t="shared" si="316"/>
        <v>-527.82834071416812</v>
      </c>
      <c r="BD111" s="5">
        <f t="shared" si="316"/>
        <v>-50.20986156644112</v>
      </c>
      <c r="BE111" s="5">
        <f t="shared" si="316"/>
        <v>-50.20986156644112</v>
      </c>
      <c r="BF111" s="5">
        <f t="shared" si="316"/>
        <v>-50.20986156644112</v>
      </c>
      <c r="BG111" s="5">
        <f t="shared" si="316"/>
        <v>-50.20986156644112</v>
      </c>
      <c r="BH111" s="5">
        <f t="shared" si="316"/>
        <v>-50.20986156644112</v>
      </c>
      <c r="BI111" s="5">
        <f t="shared" si="316"/>
        <v>-50.20986156644112</v>
      </c>
      <c r="BJ111" s="5">
        <f t="shared" si="316"/>
        <v>-50.20986156644112</v>
      </c>
      <c r="BK111" s="5">
        <f t="shared" si="316"/>
        <v>-50.20986156644112</v>
      </c>
      <c r="BL111" s="5">
        <f t="shared" si="316"/>
        <v>-50.20986156644112</v>
      </c>
      <c r="BM111" s="5">
        <f t="shared" si="316"/>
        <v>-50.20986156644112</v>
      </c>
      <c r="BN111" s="5">
        <f t="shared" si="316"/>
        <v>-50.20986156644112</v>
      </c>
      <c r="BO111" s="5">
        <f t="shared" si="316"/>
        <v>-50.209861566441084</v>
      </c>
      <c r="BP111" s="383">
        <f t="shared" si="307"/>
        <v>-602.5183387972935</v>
      </c>
      <c r="BR111" s="60">
        <f t="shared" si="275"/>
        <v>0</v>
      </c>
      <c r="BS111" s="60">
        <f t="shared" si="276"/>
        <v>0</v>
      </c>
      <c r="BT111" s="60">
        <f t="shared" si="277"/>
        <v>-28.609316823865463</v>
      </c>
      <c r="BU111" s="60">
        <f t="shared" si="278"/>
        <v>-85.827950471596409</v>
      </c>
      <c r="BV111" s="60">
        <f t="shared" si="279"/>
        <v>-126.65620591157003</v>
      </c>
      <c r="BW111" s="60">
        <f t="shared" si="280"/>
        <v>-126.65620591157001</v>
      </c>
      <c r="BX111" s="60">
        <f t="shared" si="281"/>
        <v>-188.1580582101455</v>
      </c>
      <c r="BY111" s="60">
        <f t="shared" si="282"/>
        <v>-188.15805821014547</v>
      </c>
      <c r="BZ111" s="60">
        <f t="shared" si="283"/>
        <v>-263.91417035708412</v>
      </c>
      <c r="CA111" s="60">
        <f t="shared" si="284"/>
        <v>-263.91417035708412</v>
      </c>
      <c r="CB111" s="60">
        <f t="shared" si="285"/>
        <v>-301.25916939864675</v>
      </c>
      <c r="CC111" s="60">
        <f t="shared" si="286"/>
        <v>-301.25916939864669</v>
      </c>
      <c r="CF111" s="297" t="s">
        <v>1040</v>
      </c>
      <c r="CG111" s="12" t="s">
        <v>967</v>
      </c>
    </row>
    <row r="112" spans="1:85" s="3" customFormat="1" ht="15.6">
      <c r="A112" s="296" t="s">
        <v>537</v>
      </c>
      <c r="B112" s="12" t="s">
        <v>804</v>
      </c>
      <c r="C112" s="5"/>
      <c r="P112" s="397">
        <f t="shared" si="289"/>
        <v>0</v>
      </c>
      <c r="AC112" s="397">
        <f t="shared" si="290"/>
        <v>0</v>
      </c>
      <c r="AP112" s="397">
        <f t="shared" si="291"/>
        <v>0</v>
      </c>
      <c r="BC112" s="397">
        <f t="shared" si="292"/>
        <v>0</v>
      </c>
      <c r="BP112" s="397">
        <f t="shared" si="293"/>
        <v>0</v>
      </c>
      <c r="BR112" s="60">
        <f t="shared" si="275"/>
        <v>0</v>
      </c>
      <c r="BS112" s="60">
        <f t="shared" si="276"/>
        <v>0</v>
      </c>
      <c r="BT112" s="60">
        <f t="shared" si="277"/>
        <v>0</v>
      </c>
      <c r="BU112" s="60">
        <f t="shared" si="278"/>
        <v>0</v>
      </c>
      <c r="BV112" s="60">
        <f t="shared" si="279"/>
        <v>0</v>
      </c>
      <c r="BW112" s="60">
        <f t="shared" si="280"/>
        <v>0</v>
      </c>
      <c r="BX112" s="60">
        <f t="shared" si="281"/>
        <v>0</v>
      </c>
      <c r="BY112" s="60">
        <f t="shared" si="282"/>
        <v>0</v>
      </c>
      <c r="BZ112" s="60">
        <f t="shared" si="283"/>
        <v>0</v>
      </c>
      <c r="CA112" s="60">
        <f t="shared" si="284"/>
        <v>0</v>
      </c>
      <c r="CB112" s="60">
        <f t="shared" si="285"/>
        <v>0</v>
      </c>
      <c r="CC112" s="60">
        <f t="shared" si="286"/>
        <v>0</v>
      </c>
      <c r="CF112" s="296" t="s">
        <v>1039</v>
      </c>
      <c r="CG112" s="12" t="s">
        <v>967</v>
      </c>
    </row>
    <row r="113" spans="1:85" s="3" customFormat="1" ht="15.6">
      <c r="A113" s="296" t="s">
        <v>538</v>
      </c>
      <c r="B113" s="12" t="s">
        <v>804</v>
      </c>
      <c r="C113" s="5"/>
      <c r="P113" s="397">
        <f t="shared" si="289"/>
        <v>0</v>
      </c>
      <c r="AC113" s="397">
        <f t="shared" si="290"/>
        <v>0</v>
      </c>
      <c r="AP113" s="397">
        <f t="shared" si="291"/>
        <v>0</v>
      </c>
      <c r="BC113" s="397">
        <f t="shared" si="292"/>
        <v>0</v>
      </c>
      <c r="BP113" s="397">
        <f t="shared" si="293"/>
        <v>0</v>
      </c>
      <c r="BR113" s="60">
        <f t="shared" si="275"/>
        <v>0</v>
      </c>
      <c r="BS113" s="60">
        <f t="shared" si="276"/>
        <v>0</v>
      </c>
      <c r="BT113" s="60">
        <f t="shared" si="277"/>
        <v>0</v>
      </c>
      <c r="BU113" s="60">
        <f t="shared" si="278"/>
        <v>0</v>
      </c>
      <c r="BV113" s="60">
        <f t="shared" si="279"/>
        <v>0</v>
      </c>
      <c r="BW113" s="60">
        <f t="shared" si="280"/>
        <v>0</v>
      </c>
      <c r="BX113" s="60">
        <f t="shared" si="281"/>
        <v>0</v>
      </c>
      <c r="BY113" s="60">
        <f t="shared" si="282"/>
        <v>0</v>
      </c>
      <c r="BZ113" s="60">
        <f t="shared" si="283"/>
        <v>0</v>
      </c>
      <c r="CA113" s="60">
        <f t="shared" si="284"/>
        <v>0</v>
      </c>
      <c r="CB113" s="60">
        <f t="shared" si="285"/>
        <v>0</v>
      </c>
      <c r="CC113" s="60">
        <f t="shared" si="286"/>
        <v>0</v>
      </c>
      <c r="CF113" s="296" t="s">
        <v>859</v>
      </c>
      <c r="CG113" s="12" t="s">
        <v>967</v>
      </c>
    </row>
    <row r="114" spans="1:85" s="63" customFormat="1" ht="15.6">
      <c r="A114" s="298" t="s">
        <v>677</v>
      </c>
      <c r="B114" s="12" t="s">
        <v>804</v>
      </c>
      <c r="C114" s="299"/>
      <c r="D114" s="63">
        <f t="shared" ref="D114:BO114" si="317">D57/500*1000</f>
        <v>0</v>
      </c>
      <c r="E114" s="63">
        <f t="shared" si="317"/>
        <v>0</v>
      </c>
      <c r="F114" s="63">
        <f t="shared" si="317"/>
        <v>0</v>
      </c>
      <c r="G114" s="63">
        <f t="shared" si="317"/>
        <v>0</v>
      </c>
      <c r="H114" s="63">
        <f t="shared" si="317"/>
        <v>0</v>
      </c>
      <c r="I114" s="63">
        <f t="shared" si="317"/>
        <v>0</v>
      </c>
      <c r="J114" s="63">
        <f t="shared" si="317"/>
        <v>-25.662938648564975</v>
      </c>
      <c r="K114" s="63">
        <f t="shared" si="317"/>
        <v>-28.479255055008597</v>
      </c>
      <c r="L114" s="63">
        <f t="shared" si="317"/>
        <v>-31.182918805194472</v>
      </c>
      <c r="M114" s="63">
        <f t="shared" si="317"/>
        <v>-33.778436005372917</v>
      </c>
      <c r="N114" s="63">
        <f t="shared" si="317"/>
        <v>-36.270132517544219</v>
      </c>
      <c r="O114" s="63">
        <f t="shared" si="317"/>
        <v>-192.63979306061856</v>
      </c>
      <c r="P114" s="419">
        <f t="shared" si="317"/>
        <v>-348.01347409230374</v>
      </c>
      <c r="Q114" s="63">
        <f t="shared" si="317"/>
        <v>-57.99503231220185</v>
      </c>
      <c r="R114" s="63">
        <f t="shared" si="317"/>
        <v>-68.253982341109548</v>
      </c>
      <c r="S114" s="63">
        <f t="shared" si="317"/>
        <v>-78.102574368860971</v>
      </c>
      <c r="T114" s="63">
        <f t="shared" si="317"/>
        <v>-87.55722271550232</v>
      </c>
      <c r="U114" s="63">
        <f t="shared" si="317"/>
        <v>-96.633685128278003</v>
      </c>
      <c r="V114" s="63">
        <f t="shared" si="317"/>
        <v>-105.34708904454267</v>
      </c>
      <c r="W114" s="63">
        <f t="shared" si="317"/>
        <v>-113.71195680415674</v>
      </c>
      <c r="X114" s="63">
        <f t="shared" si="317"/>
        <v>-121.74222985338628</v>
      </c>
      <c r="Y114" s="63">
        <f t="shared" si="317"/>
        <v>-129.4512919806466</v>
      </c>
      <c r="Z114" s="63">
        <f t="shared" si="317"/>
        <v>-136.85199162281651</v>
      </c>
      <c r="AA114" s="63">
        <f t="shared" si="317"/>
        <v>-143.95666327929962</v>
      </c>
      <c r="AB114" s="63">
        <f t="shared" si="317"/>
        <v>-150.77714806952338</v>
      </c>
      <c r="AC114" s="419">
        <f t="shared" si="317"/>
        <v>-1290.3808675203245</v>
      </c>
      <c r="AD114" s="63">
        <f t="shared" si="317"/>
        <v>-87.182409078143564</v>
      </c>
      <c r="AE114" s="63">
        <f t="shared" si="317"/>
        <v>-106.69384778423156</v>
      </c>
      <c r="AF114" s="63">
        <f t="shared" si="317"/>
        <v>-125.42482894207608</v>
      </c>
      <c r="AG114" s="63">
        <f t="shared" si="317"/>
        <v>-143.40657085360678</v>
      </c>
      <c r="AH114" s="63">
        <f t="shared" si="317"/>
        <v>-160.66904308867626</v>
      </c>
      <c r="AI114" s="63">
        <f t="shared" si="317"/>
        <v>-177.24101643434298</v>
      </c>
      <c r="AJ114" s="63">
        <f t="shared" si="317"/>
        <v>-193.15011084618297</v>
      </c>
      <c r="AK114" s="63">
        <f t="shared" si="317"/>
        <v>-208.4228414815494</v>
      </c>
      <c r="AL114" s="63">
        <f t="shared" si="317"/>
        <v>-223.08466289150121</v>
      </c>
      <c r="AM114" s="63">
        <f t="shared" si="317"/>
        <v>-237.16001144505495</v>
      </c>
      <c r="AN114" s="63">
        <f t="shared" si="317"/>
        <v>-250.67234605646655</v>
      </c>
      <c r="AO114" s="63">
        <f t="shared" si="317"/>
        <v>-263.6441872834215</v>
      </c>
      <c r="AP114" s="419">
        <f t="shared" si="317"/>
        <v>-2176.7518761852539</v>
      </c>
      <c r="AQ114" s="63">
        <f t="shared" si="317"/>
        <v>-122.58179819077702</v>
      </c>
      <c r="AR114" s="63">
        <f t="shared" si="317"/>
        <v>-152.61942525329405</v>
      </c>
      <c r="AS114" s="63">
        <f t="shared" si="317"/>
        <v>-181.45554723331045</v>
      </c>
      <c r="AT114" s="63">
        <f t="shared" si="317"/>
        <v>-209.13822433412614</v>
      </c>
      <c r="AU114" s="63">
        <f t="shared" si="317"/>
        <v>-235.7135943509092</v>
      </c>
      <c r="AV114" s="63">
        <f t="shared" si="317"/>
        <v>-261.22594956702096</v>
      </c>
      <c r="AW114" s="63">
        <f t="shared" si="317"/>
        <v>-285.71781057448828</v>
      </c>
      <c r="AX114" s="63">
        <f t="shared" si="317"/>
        <v>-309.22999714165684</v>
      </c>
      <c r="AY114" s="63">
        <f t="shared" si="317"/>
        <v>-331.8016962461387</v>
      </c>
      <c r="AZ114" s="63">
        <f t="shared" si="317"/>
        <v>-353.47052738644129</v>
      </c>
      <c r="BA114" s="63">
        <f t="shared" si="317"/>
        <v>-374.2726052811318</v>
      </c>
      <c r="BB114" s="63">
        <f t="shared" si="317"/>
        <v>-394.24260006003459</v>
      </c>
      <c r="BC114" s="419">
        <f t="shared" si="317"/>
        <v>-3211.4697756193295</v>
      </c>
      <c r="BD114" s="63">
        <f t="shared" si="317"/>
        <v>-140.30189818977743</v>
      </c>
      <c r="BE114" s="63">
        <f t="shared" si="317"/>
        <v>-177.94320792832019</v>
      </c>
      <c r="BF114" s="63">
        <f t="shared" si="317"/>
        <v>-214.07886527732126</v>
      </c>
      <c r="BG114" s="63">
        <f t="shared" si="317"/>
        <v>-248.76909633236227</v>
      </c>
      <c r="BH114" s="63">
        <f t="shared" si="317"/>
        <v>-282.0717181452016</v>
      </c>
      <c r="BI114" s="63">
        <f t="shared" si="317"/>
        <v>-314.04223508552741</v>
      </c>
      <c r="BJ114" s="63">
        <f t="shared" si="317"/>
        <v>-344.73393134824016</v>
      </c>
      <c r="BK114" s="63">
        <f t="shared" si="317"/>
        <v>-374.19795976044435</v>
      </c>
      <c r="BL114" s="63">
        <f t="shared" si="317"/>
        <v>-402.48342703616044</v>
      </c>
      <c r="BM114" s="63">
        <f t="shared" si="317"/>
        <v>-429.63747562084797</v>
      </c>
      <c r="BN114" s="63">
        <f t="shared" si="317"/>
        <v>-455.70536226214784</v>
      </c>
      <c r="BO114" s="63">
        <f t="shared" si="317"/>
        <v>-480.73053343779566</v>
      </c>
      <c r="BP114" s="419">
        <f t="shared" ref="BP114" si="318">BP57/500*1000</f>
        <v>-3864.6957104241465</v>
      </c>
      <c r="BR114" s="60">
        <f t="shared" si="275"/>
        <v>0</v>
      </c>
      <c r="BS114" s="60">
        <f t="shared" si="276"/>
        <v>0</v>
      </c>
      <c r="BT114" s="60">
        <f t="shared" si="277"/>
        <v>-85.325112508768044</v>
      </c>
      <c r="BU114" s="60">
        <f t="shared" si="278"/>
        <v>-262.68836158353571</v>
      </c>
      <c r="BV114" s="60">
        <f t="shared" si="279"/>
        <v>-493.88958591049533</v>
      </c>
      <c r="BW114" s="60">
        <f t="shared" si="280"/>
        <v>-796.49128160982912</v>
      </c>
      <c r="BX114" s="60">
        <f t="shared" si="281"/>
        <v>-800.6177161810773</v>
      </c>
      <c r="BY114" s="60">
        <f t="shared" si="282"/>
        <v>-1376.1341600041765</v>
      </c>
      <c r="BZ114" s="60">
        <f t="shared" si="283"/>
        <v>-1162.7345389294378</v>
      </c>
      <c r="CA114" s="60">
        <f t="shared" si="284"/>
        <v>-2048.7352366898913</v>
      </c>
      <c r="CB114" s="60">
        <f t="shared" si="285"/>
        <v>-1377.2070209585102</v>
      </c>
      <c r="CC114" s="60">
        <f t="shared" si="286"/>
        <v>-2487.4886894656365</v>
      </c>
      <c r="CF114" s="298" t="s">
        <v>858</v>
      </c>
      <c r="CG114" s="12" t="s">
        <v>967</v>
      </c>
    </row>
    <row r="115" spans="1:85" s="301" customFormat="1" ht="15.6">
      <c r="A115" s="301" t="s">
        <v>539</v>
      </c>
      <c r="B115" s="12" t="s">
        <v>804</v>
      </c>
      <c r="C115" s="302"/>
      <c r="D115" s="301">
        <f t="shared" ref="D115:BO115" si="319">D58/500*1000</f>
        <v>0</v>
      </c>
      <c r="E115" s="301">
        <f t="shared" si="319"/>
        <v>0</v>
      </c>
      <c r="F115" s="301">
        <f t="shared" si="319"/>
        <v>0</v>
      </c>
      <c r="G115" s="301">
        <f t="shared" si="319"/>
        <v>0</v>
      </c>
      <c r="H115" s="301">
        <f t="shared" si="319"/>
        <v>0</v>
      </c>
      <c r="I115" s="301">
        <f t="shared" si="319"/>
        <v>0</v>
      </c>
      <c r="J115" s="301">
        <f t="shared" si="319"/>
        <v>-16.755295042035407</v>
      </c>
      <c r="K115" s="301">
        <f t="shared" si="319"/>
        <v>-12.206519499740374</v>
      </c>
      <c r="L115" s="301">
        <f t="shared" si="319"/>
        <v>-1.6139174716297262</v>
      </c>
      <c r="M115" s="301">
        <f t="shared" si="319"/>
        <v>11.091100162560586</v>
      </c>
      <c r="N115" s="301">
        <f t="shared" si="319"/>
        <v>20.260239562292575</v>
      </c>
      <c r="O115" s="301">
        <f t="shared" si="319"/>
        <v>-110.59221306183326</v>
      </c>
      <c r="P115" s="389">
        <f t="shared" si="319"/>
        <v>-109.8166053503856</v>
      </c>
      <c r="Q115" s="301">
        <f t="shared" si="319"/>
        <v>37.808428319258418</v>
      </c>
      <c r="R115" s="301">
        <f t="shared" si="319"/>
        <v>-13.565521377905782</v>
      </c>
      <c r="S115" s="301">
        <f t="shared" si="319"/>
        <v>39.965810560856127</v>
      </c>
      <c r="T115" s="301">
        <f t="shared" si="319"/>
        <v>77.929343574196196</v>
      </c>
      <c r="U115" s="301">
        <f t="shared" si="319"/>
        <v>127.3789134142457</v>
      </c>
      <c r="V115" s="301">
        <f t="shared" si="319"/>
        <v>159.97714401818257</v>
      </c>
      <c r="W115" s="301">
        <f t="shared" si="319"/>
        <v>210.77193951758767</v>
      </c>
      <c r="X115" s="301">
        <f t="shared" si="319"/>
        <v>251.02823313469068</v>
      </c>
      <c r="Y115" s="301">
        <f t="shared" si="319"/>
        <v>276.0978122949399</v>
      </c>
      <c r="Z115" s="301">
        <f t="shared" si="319"/>
        <v>328.79013256286947</v>
      </c>
      <c r="AA115" s="301">
        <f t="shared" si="319"/>
        <v>349.16552314913184</v>
      </c>
      <c r="AB115" s="301">
        <f t="shared" si="319"/>
        <v>403.05100231479014</v>
      </c>
      <c r="AC115" s="389">
        <f t="shared" si="319"/>
        <v>2248.3987614828429</v>
      </c>
      <c r="AD115" s="301">
        <f t="shared" si="319"/>
        <v>229.13598982831809</v>
      </c>
      <c r="AE115" s="301">
        <f t="shared" si="319"/>
        <v>9.6320920053887988</v>
      </c>
      <c r="AF115" s="301">
        <f t="shared" si="319"/>
        <v>121.5165660295049</v>
      </c>
      <c r="AG115" s="301">
        <f t="shared" si="319"/>
        <v>201.119720425667</v>
      </c>
      <c r="AH115" s="301">
        <f t="shared" si="319"/>
        <v>304.22834269330735</v>
      </c>
      <c r="AI115" s="301">
        <f t="shared" si="319"/>
        <v>372.46553558244034</v>
      </c>
      <c r="AJ115" s="301">
        <f t="shared" si="319"/>
        <v>478.01682899106822</v>
      </c>
      <c r="AK115" s="301">
        <f t="shared" si="319"/>
        <v>561.72431914642414</v>
      </c>
      <c r="AL115" s="301">
        <f t="shared" si="319"/>
        <v>614.06755541970028</v>
      </c>
      <c r="AM115" s="301">
        <f t="shared" si="319"/>
        <v>723.07117464663008</v>
      </c>
      <c r="AN115" s="301">
        <f t="shared" si="319"/>
        <v>765.5378528676099</v>
      </c>
      <c r="AO115" s="301">
        <f t="shared" si="319"/>
        <v>876.71675235976716</v>
      </c>
      <c r="AP115" s="389">
        <f t="shared" si="319"/>
        <v>5257.232729995826</v>
      </c>
      <c r="AQ115" s="301">
        <f t="shared" si="319"/>
        <v>525.11288679164352</v>
      </c>
      <c r="AR115" s="301">
        <f t="shared" si="319"/>
        <v>45.468917634199016</v>
      </c>
      <c r="AS115" s="301">
        <f t="shared" si="319"/>
        <v>233.24928498600676</v>
      </c>
      <c r="AT115" s="301">
        <f t="shared" si="319"/>
        <v>367.2100370748351</v>
      </c>
      <c r="AU115" s="301">
        <f t="shared" si="319"/>
        <v>539.91719464659855</v>
      </c>
      <c r="AV115" s="301">
        <f t="shared" si="319"/>
        <v>654.58778202558028</v>
      </c>
      <c r="AW115" s="301">
        <f t="shared" si="319"/>
        <v>830.87592598530773</v>
      </c>
      <c r="AX115" s="301">
        <f t="shared" si="319"/>
        <v>970.75845658770595</v>
      </c>
      <c r="AY115" s="301">
        <f t="shared" si="319"/>
        <v>1058.5302137526664</v>
      </c>
      <c r="AZ115" s="301">
        <f t="shared" si="319"/>
        <v>1239.8904760414732</v>
      </c>
      <c r="BA115" s="301">
        <f t="shared" si="319"/>
        <v>1310.9938469822296</v>
      </c>
      <c r="BB115" s="301">
        <f t="shared" si="319"/>
        <v>1495.5572099033022</v>
      </c>
      <c r="BC115" s="389">
        <f t="shared" si="319"/>
        <v>9272.1522324115485</v>
      </c>
      <c r="BD115" s="301">
        <f t="shared" si="319"/>
        <v>925.83022587632013</v>
      </c>
      <c r="BE115" s="301">
        <f t="shared" si="319"/>
        <v>94.156609108302007</v>
      </c>
      <c r="BF115" s="301">
        <f t="shared" si="319"/>
        <v>348.96722260392949</v>
      </c>
      <c r="BG115" s="301">
        <f t="shared" si="319"/>
        <v>531.15986971651432</v>
      </c>
      <c r="BH115" s="301">
        <f t="shared" si="319"/>
        <v>765.11924688922863</v>
      </c>
      <c r="BI115" s="301">
        <f t="shared" si="319"/>
        <v>920.88844409107242</v>
      </c>
      <c r="BJ115" s="301">
        <f t="shared" si="319"/>
        <v>1159.1090592088131</v>
      </c>
      <c r="BK115" s="301">
        <f t="shared" si="319"/>
        <v>1348.2227360518675</v>
      </c>
      <c r="BL115" s="301">
        <f t="shared" si="319"/>
        <v>1467.2331679154538</v>
      </c>
      <c r="BM115" s="301">
        <f t="shared" si="319"/>
        <v>1711.5038701413232</v>
      </c>
      <c r="BN115" s="301">
        <f t="shared" si="319"/>
        <v>1807.7893877801821</v>
      </c>
      <c r="BO115" s="301">
        <f t="shared" si="319"/>
        <v>2055.8902664921584</v>
      </c>
      <c r="BP115" s="389">
        <f t="shared" ref="BP115" si="320">BP58/500*1000</f>
        <v>13135.870105875165</v>
      </c>
      <c r="BR115" s="60">
        <f t="shared" si="275"/>
        <v>0</v>
      </c>
      <c r="BS115" s="60">
        <f t="shared" si="276"/>
        <v>0</v>
      </c>
      <c r="BT115" s="60">
        <f t="shared" si="277"/>
        <v>-30.575732013405506</v>
      </c>
      <c r="BU115" s="60">
        <f t="shared" si="278"/>
        <v>-79.240873336980101</v>
      </c>
      <c r="BV115" s="60">
        <f t="shared" si="279"/>
        <v>429.49411850883325</v>
      </c>
      <c r="BW115" s="60">
        <f t="shared" si="280"/>
        <v>1818.9046429740097</v>
      </c>
      <c r="BX115" s="60">
        <f t="shared" si="281"/>
        <v>1238.0982465646266</v>
      </c>
      <c r="BY115" s="60">
        <f t="shared" si="282"/>
        <v>4019.1344834312004</v>
      </c>
      <c r="BZ115" s="60">
        <f t="shared" si="283"/>
        <v>2365.5461031588629</v>
      </c>
      <c r="CA115" s="60">
        <f t="shared" si="284"/>
        <v>6906.6061292526856</v>
      </c>
      <c r="CB115" s="60">
        <f t="shared" si="285"/>
        <v>3586.1216182853668</v>
      </c>
      <c r="CC115" s="60">
        <f t="shared" si="286"/>
        <v>9549.748487589799</v>
      </c>
      <c r="CF115" s="301" t="s">
        <v>857</v>
      </c>
      <c r="CG115" s="12" t="s">
        <v>967</v>
      </c>
    </row>
    <row r="116" spans="1:85" s="3" customFormat="1" ht="15.6">
      <c r="A116" s="296" t="s">
        <v>540</v>
      </c>
      <c r="B116" s="12" t="s">
        <v>804</v>
      </c>
      <c r="C116" s="40"/>
      <c r="D116" s="3">
        <f t="shared" ref="D116:BO116" si="321">D59/500*1000</f>
        <v>0</v>
      </c>
      <c r="E116" s="3">
        <f t="shared" si="321"/>
        <v>0</v>
      </c>
      <c r="F116" s="3">
        <f t="shared" si="321"/>
        <v>0</v>
      </c>
      <c r="G116" s="3">
        <f t="shared" si="321"/>
        <v>0</v>
      </c>
      <c r="H116" s="3">
        <f t="shared" si="321"/>
        <v>0</v>
      </c>
      <c r="I116" s="3">
        <f t="shared" si="321"/>
        <v>0</v>
      </c>
      <c r="J116" s="3">
        <f t="shared" si="321"/>
        <v>0</v>
      </c>
      <c r="K116" s="3">
        <f t="shared" si="321"/>
        <v>0</v>
      </c>
      <c r="L116" s="3">
        <f t="shared" si="321"/>
        <v>0</v>
      </c>
      <c r="M116" s="3">
        <f t="shared" si="321"/>
        <v>0</v>
      </c>
      <c r="N116" s="3">
        <f t="shared" si="321"/>
        <v>0</v>
      </c>
      <c r="O116" s="3">
        <f t="shared" si="321"/>
        <v>0</v>
      </c>
      <c r="P116" s="397">
        <f t="shared" si="321"/>
        <v>0</v>
      </c>
      <c r="Q116" s="3">
        <f t="shared" si="321"/>
        <v>0</v>
      </c>
      <c r="R116" s="3">
        <f t="shared" si="321"/>
        <v>0</v>
      </c>
      <c r="S116" s="3">
        <f t="shared" si="321"/>
        <v>0</v>
      </c>
      <c r="T116" s="3">
        <f t="shared" si="321"/>
        <v>0</v>
      </c>
      <c r="U116" s="3">
        <f t="shared" si="321"/>
        <v>0</v>
      </c>
      <c r="V116" s="3">
        <f t="shared" si="321"/>
        <v>0</v>
      </c>
      <c r="W116" s="3">
        <f t="shared" si="321"/>
        <v>0</v>
      </c>
      <c r="X116" s="3">
        <f t="shared" si="321"/>
        <v>0</v>
      </c>
      <c r="Y116" s="3">
        <f t="shared" si="321"/>
        <v>0</v>
      </c>
      <c r="Z116" s="3">
        <f t="shared" si="321"/>
        <v>0</v>
      </c>
      <c r="AA116" s="3">
        <f t="shared" si="321"/>
        <v>0</v>
      </c>
      <c r="AB116" s="3">
        <f t="shared" si="321"/>
        <v>0</v>
      </c>
      <c r="AC116" s="397">
        <f t="shared" si="321"/>
        <v>0</v>
      </c>
      <c r="AD116" s="3">
        <f t="shared" si="321"/>
        <v>0</v>
      </c>
      <c r="AE116" s="3">
        <f t="shared" si="321"/>
        <v>0</v>
      </c>
      <c r="AF116" s="3">
        <f t="shared" si="321"/>
        <v>0</v>
      </c>
      <c r="AG116" s="3">
        <f t="shared" si="321"/>
        <v>0</v>
      </c>
      <c r="AH116" s="3">
        <f t="shared" si="321"/>
        <v>0</v>
      </c>
      <c r="AI116" s="3">
        <f t="shared" si="321"/>
        <v>0</v>
      </c>
      <c r="AJ116" s="3">
        <f t="shared" si="321"/>
        <v>0</v>
      </c>
      <c r="AK116" s="3">
        <f t="shared" si="321"/>
        <v>0</v>
      </c>
      <c r="AL116" s="3">
        <f t="shared" si="321"/>
        <v>0</v>
      </c>
      <c r="AM116" s="3">
        <f t="shared" si="321"/>
        <v>0</v>
      </c>
      <c r="AN116" s="3">
        <f t="shared" si="321"/>
        <v>0</v>
      </c>
      <c r="AO116" s="3">
        <f t="shared" si="321"/>
        <v>0</v>
      </c>
      <c r="AP116" s="397">
        <f t="shared" si="321"/>
        <v>0</v>
      </c>
      <c r="AQ116" s="3">
        <f t="shared" si="321"/>
        <v>0</v>
      </c>
      <c r="AR116" s="3">
        <f t="shared" si="321"/>
        <v>0</v>
      </c>
      <c r="AS116" s="3">
        <f t="shared" si="321"/>
        <v>0</v>
      </c>
      <c r="AT116" s="3">
        <f t="shared" si="321"/>
        <v>0</v>
      </c>
      <c r="AU116" s="3">
        <f t="shared" si="321"/>
        <v>0</v>
      </c>
      <c r="AV116" s="3">
        <f t="shared" si="321"/>
        <v>0</v>
      </c>
      <c r="AW116" s="3">
        <f t="shared" si="321"/>
        <v>0</v>
      </c>
      <c r="AX116" s="3">
        <f t="shared" si="321"/>
        <v>0</v>
      </c>
      <c r="AY116" s="3">
        <f t="shared" si="321"/>
        <v>0</v>
      </c>
      <c r="AZ116" s="3">
        <f t="shared" si="321"/>
        <v>0</v>
      </c>
      <c r="BA116" s="3">
        <f t="shared" si="321"/>
        <v>0</v>
      </c>
      <c r="BB116" s="3">
        <f t="shared" si="321"/>
        <v>0</v>
      </c>
      <c r="BC116" s="397">
        <f t="shared" si="321"/>
        <v>0</v>
      </c>
      <c r="BD116" s="3">
        <f t="shared" si="321"/>
        <v>0</v>
      </c>
      <c r="BE116" s="3">
        <f t="shared" si="321"/>
        <v>0</v>
      </c>
      <c r="BF116" s="3">
        <f t="shared" si="321"/>
        <v>0</v>
      </c>
      <c r="BG116" s="3">
        <f t="shared" si="321"/>
        <v>0</v>
      </c>
      <c r="BH116" s="3">
        <f t="shared" si="321"/>
        <v>0</v>
      </c>
      <c r="BI116" s="3">
        <f t="shared" si="321"/>
        <v>0</v>
      </c>
      <c r="BJ116" s="3">
        <f t="shared" si="321"/>
        <v>0</v>
      </c>
      <c r="BK116" s="3">
        <f t="shared" si="321"/>
        <v>0</v>
      </c>
      <c r="BL116" s="3">
        <f t="shared" si="321"/>
        <v>0</v>
      </c>
      <c r="BM116" s="3">
        <f t="shared" si="321"/>
        <v>0</v>
      </c>
      <c r="BN116" s="3">
        <f t="shared" si="321"/>
        <v>0</v>
      </c>
      <c r="BO116" s="3">
        <f t="shared" si="321"/>
        <v>0</v>
      </c>
      <c r="BP116" s="397">
        <f t="shared" ref="BP116" si="322">BP59/500*1000</f>
        <v>0</v>
      </c>
      <c r="BR116" s="60">
        <f t="shared" si="275"/>
        <v>0</v>
      </c>
      <c r="BS116" s="60">
        <f t="shared" si="276"/>
        <v>0</v>
      </c>
      <c r="BT116" s="60">
        <f t="shared" si="277"/>
        <v>0</v>
      </c>
      <c r="BU116" s="60">
        <f t="shared" si="278"/>
        <v>0</v>
      </c>
      <c r="BV116" s="60">
        <f t="shared" si="279"/>
        <v>0</v>
      </c>
      <c r="BW116" s="60">
        <f t="shared" si="280"/>
        <v>0</v>
      </c>
      <c r="BX116" s="60">
        <f t="shared" si="281"/>
        <v>0</v>
      </c>
      <c r="BY116" s="60">
        <f t="shared" si="282"/>
        <v>0</v>
      </c>
      <c r="BZ116" s="60">
        <f t="shared" si="283"/>
        <v>0</v>
      </c>
      <c r="CA116" s="60">
        <f t="shared" si="284"/>
        <v>0</v>
      </c>
      <c r="CB116" s="60">
        <f t="shared" si="285"/>
        <v>0</v>
      </c>
      <c r="CC116" s="60">
        <f t="shared" si="286"/>
        <v>0</v>
      </c>
      <c r="CF116" s="296" t="s">
        <v>940</v>
      </c>
      <c r="CG116" s="12" t="s">
        <v>967</v>
      </c>
    </row>
    <row r="117" spans="1:85" s="301" customFormat="1" ht="15.6">
      <c r="A117" s="301" t="s">
        <v>676</v>
      </c>
      <c r="B117" s="12" t="s">
        <v>804</v>
      </c>
      <c r="C117" s="302"/>
      <c r="D117" s="301">
        <f t="shared" ref="D117:BO117" si="323">D60/500*1000</f>
        <v>0</v>
      </c>
      <c r="E117" s="301">
        <f t="shared" si="323"/>
        <v>0</v>
      </c>
      <c r="F117" s="301">
        <f t="shared" si="323"/>
        <v>0</v>
      </c>
      <c r="G117" s="301">
        <f t="shared" si="323"/>
        <v>0</v>
      </c>
      <c r="H117" s="301">
        <f t="shared" si="323"/>
        <v>0</v>
      </c>
      <c r="I117" s="301">
        <f t="shared" si="323"/>
        <v>0</v>
      </c>
      <c r="J117" s="301">
        <f>J60/500*1000</f>
        <v>-16.755295042035407</v>
      </c>
      <c r="K117" s="301">
        <f t="shared" si="323"/>
        <v>-12.206519499740374</v>
      </c>
      <c r="L117" s="301">
        <f t="shared" si="323"/>
        <v>-1.6139174716297262</v>
      </c>
      <c r="M117" s="301">
        <f t="shared" si="323"/>
        <v>11.091100162560586</v>
      </c>
      <c r="N117" s="301">
        <f t="shared" si="323"/>
        <v>20.260239562292575</v>
      </c>
      <c r="O117" s="301">
        <f t="shared" si="323"/>
        <v>-110.59221306183326</v>
      </c>
      <c r="P117" s="389">
        <f t="shared" si="323"/>
        <v>-109.8166053503856</v>
      </c>
      <c r="Q117" s="301">
        <f t="shared" si="323"/>
        <v>37.808428319258418</v>
      </c>
      <c r="R117" s="301">
        <f t="shared" si="323"/>
        <v>-13.565521377905782</v>
      </c>
      <c r="S117" s="301">
        <f t="shared" si="323"/>
        <v>39.965810560856127</v>
      </c>
      <c r="T117" s="301">
        <f t="shared" si="323"/>
        <v>77.929343574196196</v>
      </c>
      <c r="U117" s="301">
        <f t="shared" si="323"/>
        <v>127.3789134142457</v>
      </c>
      <c r="V117" s="301">
        <f t="shared" si="323"/>
        <v>159.97714401818257</v>
      </c>
      <c r="W117" s="301">
        <f t="shared" si="323"/>
        <v>210.77193951758767</v>
      </c>
      <c r="X117" s="301">
        <f t="shared" si="323"/>
        <v>251.02823313469068</v>
      </c>
      <c r="Y117" s="301">
        <f t="shared" si="323"/>
        <v>276.0978122949399</v>
      </c>
      <c r="Z117" s="301">
        <f t="shared" si="323"/>
        <v>328.79013256286947</v>
      </c>
      <c r="AA117" s="301">
        <f t="shared" si="323"/>
        <v>349.16552314913184</v>
      </c>
      <c r="AB117" s="301">
        <f t="shared" si="323"/>
        <v>403.05100231479014</v>
      </c>
      <c r="AC117" s="389">
        <f t="shared" si="323"/>
        <v>2248.3987614828429</v>
      </c>
      <c r="AD117" s="301">
        <f t="shared" si="323"/>
        <v>229.13598982831809</v>
      </c>
      <c r="AE117" s="301">
        <f t="shared" si="323"/>
        <v>9.6320920053887988</v>
      </c>
      <c r="AF117" s="301">
        <f t="shared" si="323"/>
        <v>121.5165660295049</v>
      </c>
      <c r="AG117" s="301">
        <f t="shared" si="323"/>
        <v>201.119720425667</v>
      </c>
      <c r="AH117" s="301">
        <f t="shared" si="323"/>
        <v>304.22834269330735</v>
      </c>
      <c r="AI117" s="301">
        <f t="shared" si="323"/>
        <v>372.46553558244034</v>
      </c>
      <c r="AJ117" s="301">
        <f t="shared" si="323"/>
        <v>478.01682899106822</v>
      </c>
      <c r="AK117" s="301">
        <f t="shared" si="323"/>
        <v>561.72431914642414</v>
      </c>
      <c r="AL117" s="301">
        <f t="shared" si="323"/>
        <v>614.06755541970028</v>
      </c>
      <c r="AM117" s="301">
        <f t="shared" si="323"/>
        <v>723.07117464663008</v>
      </c>
      <c r="AN117" s="301">
        <f t="shared" si="323"/>
        <v>765.5378528676099</v>
      </c>
      <c r="AO117" s="301">
        <f t="shared" si="323"/>
        <v>876.71675235976716</v>
      </c>
      <c r="AP117" s="389">
        <f t="shared" si="323"/>
        <v>5257.232729995826</v>
      </c>
      <c r="AQ117" s="301">
        <f t="shared" si="323"/>
        <v>525.11288679164352</v>
      </c>
      <c r="AR117" s="301">
        <f t="shared" si="323"/>
        <v>45.468917634199016</v>
      </c>
      <c r="AS117" s="301">
        <f t="shared" si="323"/>
        <v>233.24928498600676</v>
      </c>
      <c r="AT117" s="301">
        <f t="shared" si="323"/>
        <v>367.2100370748351</v>
      </c>
      <c r="AU117" s="301">
        <f t="shared" si="323"/>
        <v>539.91719464659855</v>
      </c>
      <c r="AV117" s="301">
        <f t="shared" si="323"/>
        <v>654.58778202558028</v>
      </c>
      <c r="AW117" s="301">
        <f t="shared" si="323"/>
        <v>830.87592598530773</v>
      </c>
      <c r="AX117" s="301">
        <f t="shared" si="323"/>
        <v>970.75845658770595</v>
      </c>
      <c r="AY117" s="301">
        <f t="shared" si="323"/>
        <v>1058.5302137526664</v>
      </c>
      <c r="AZ117" s="301">
        <f t="shared" si="323"/>
        <v>1239.8904760414732</v>
      </c>
      <c r="BA117" s="301">
        <f t="shared" si="323"/>
        <v>1310.9938469822296</v>
      </c>
      <c r="BB117" s="301">
        <f t="shared" si="323"/>
        <v>1495.5572099033022</v>
      </c>
      <c r="BC117" s="389">
        <f t="shared" si="323"/>
        <v>9272.1522324115485</v>
      </c>
      <c r="BD117" s="301">
        <f t="shared" si="323"/>
        <v>925.83022587632013</v>
      </c>
      <c r="BE117" s="301">
        <f t="shared" si="323"/>
        <v>94.156609108302007</v>
      </c>
      <c r="BF117" s="301">
        <f t="shared" si="323"/>
        <v>348.96722260392949</v>
      </c>
      <c r="BG117" s="301">
        <f t="shared" si="323"/>
        <v>531.15986971651432</v>
      </c>
      <c r="BH117" s="301">
        <f t="shared" si="323"/>
        <v>765.11924688922863</v>
      </c>
      <c r="BI117" s="301">
        <f t="shared" si="323"/>
        <v>920.88844409107242</v>
      </c>
      <c r="BJ117" s="301">
        <f t="shared" si="323"/>
        <v>1159.1090592088131</v>
      </c>
      <c r="BK117" s="301">
        <f t="shared" si="323"/>
        <v>1348.2227360518675</v>
      </c>
      <c r="BL117" s="301">
        <f t="shared" si="323"/>
        <v>1467.2331679154538</v>
      </c>
      <c r="BM117" s="301">
        <f t="shared" si="323"/>
        <v>1711.5038701413232</v>
      </c>
      <c r="BN117" s="301">
        <f t="shared" si="323"/>
        <v>1807.7893877801821</v>
      </c>
      <c r="BO117" s="301">
        <f t="shared" si="323"/>
        <v>2055.8902664921584</v>
      </c>
      <c r="BP117" s="389">
        <f t="shared" ref="BP117" si="324">BP60/500*1000</f>
        <v>13135.870105875165</v>
      </c>
      <c r="BR117" s="60">
        <f t="shared" si="275"/>
        <v>0</v>
      </c>
      <c r="BS117" s="60">
        <f t="shared" si="276"/>
        <v>0</v>
      </c>
      <c r="BT117" s="60">
        <f t="shared" si="277"/>
        <v>-30.575732013405506</v>
      </c>
      <c r="BU117" s="60">
        <f t="shared" si="278"/>
        <v>-79.240873336980101</v>
      </c>
      <c r="BV117" s="60">
        <f t="shared" si="279"/>
        <v>429.49411850883325</v>
      </c>
      <c r="BW117" s="60">
        <f t="shared" si="280"/>
        <v>1818.9046429740097</v>
      </c>
      <c r="BX117" s="60">
        <f t="shared" si="281"/>
        <v>1238.0982465646266</v>
      </c>
      <c r="BY117" s="60">
        <f t="shared" si="282"/>
        <v>4019.1344834312004</v>
      </c>
      <c r="BZ117" s="60">
        <f t="shared" si="283"/>
        <v>2365.5461031588629</v>
      </c>
      <c r="CA117" s="60">
        <f t="shared" si="284"/>
        <v>6906.6061292526856</v>
      </c>
      <c r="CB117" s="60">
        <f t="shared" si="285"/>
        <v>3586.1216182853668</v>
      </c>
      <c r="CC117" s="60">
        <f t="shared" si="286"/>
        <v>9549.748487589799</v>
      </c>
      <c r="CF117" s="301" t="s">
        <v>940</v>
      </c>
      <c r="CG117" s="12" t="s">
        <v>967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7" tint="0.79998168889431442"/>
    <outlinePr summaryBelow="0"/>
  </sheetPr>
  <dimension ref="A1:CQ79"/>
  <sheetViews>
    <sheetView showGridLines="0" workbookViewId="0"/>
  </sheetViews>
  <sheetFormatPr defaultColWidth="9.109375" defaultRowHeight="13.8" outlineLevelRow="1" outlineLevelCol="1"/>
  <cols>
    <col min="1" max="1" width="74" style="4" bestFit="1" customWidth="1"/>
    <col min="2" max="2" width="11.6640625" style="405" customWidth="1"/>
    <col min="3" max="3" width="9.109375" style="4"/>
    <col min="4" max="4" width="11.6640625" style="4" customWidth="1"/>
    <col min="5" max="5" width="9.109375" style="4" customWidth="1"/>
    <col min="6" max="6" width="11.6640625" style="4" customWidth="1"/>
    <col min="7" max="7" width="9.109375" style="4" customWidth="1"/>
    <col min="8" max="8" width="11.6640625" style="4" customWidth="1"/>
    <col min="9" max="15" width="9.109375" style="4" customWidth="1"/>
    <col min="16" max="16" width="9.109375" style="4"/>
    <col min="17" max="28" width="9.109375" style="4" hidden="1" customWidth="1" outlineLevel="1"/>
    <col min="29" max="29" width="9.109375" style="4" collapsed="1"/>
    <col min="30" max="41" width="9.109375" style="4" hidden="1" customWidth="1" outlineLevel="1"/>
    <col min="42" max="42" width="9.109375" style="4" collapsed="1"/>
    <col min="43" max="54" width="9.109375" style="4" hidden="1" customWidth="1" outlineLevel="1"/>
    <col min="55" max="55" width="9.109375" style="4" collapsed="1"/>
    <col min="56" max="67" width="9.109375" style="4" hidden="1" customWidth="1" outlineLevel="1"/>
    <col min="68" max="68" width="9.109375" style="4" collapsed="1"/>
    <col min="69" max="92" width="0" style="4" hidden="1" customWidth="1"/>
    <col min="93" max="93" width="9.109375" style="4"/>
    <col min="94" max="94" width="70.6640625" style="4" bestFit="1" customWidth="1"/>
    <col min="95" max="16384" width="9.109375" style="4"/>
  </cols>
  <sheetData>
    <row r="1" spans="1:94">
      <c r="D1" s="484">
        <v>0.1</v>
      </c>
      <c r="F1" s="484">
        <v>0.15</v>
      </c>
      <c r="H1" s="484">
        <v>0.2</v>
      </c>
    </row>
    <row r="2" spans="1:94" s="480" customFormat="1" ht="27.6">
      <c r="A2" s="483" t="s">
        <v>793</v>
      </c>
      <c r="B2" s="482" t="s">
        <v>792</v>
      </c>
      <c r="C2" s="481" t="s">
        <v>788</v>
      </c>
      <c r="D2" s="482" t="s">
        <v>791</v>
      </c>
      <c r="E2" s="481" t="s">
        <v>788</v>
      </c>
      <c r="F2" s="482" t="s">
        <v>790</v>
      </c>
      <c r="G2" s="481" t="s">
        <v>788</v>
      </c>
      <c r="H2" s="482" t="s">
        <v>789</v>
      </c>
      <c r="I2" s="481" t="s">
        <v>788</v>
      </c>
    </row>
    <row r="3" spans="1:94">
      <c r="A3" s="4" t="s">
        <v>787</v>
      </c>
      <c r="B3" s="432"/>
      <c r="C3" s="468"/>
      <c r="D3" s="432"/>
      <c r="E3" s="468"/>
      <c r="F3" s="432"/>
      <c r="G3" s="468"/>
      <c r="H3" s="432"/>
      <c r="I3" s="468"/>
      <c r="CP3" s="4" t="s">
        <v>1119</v>
      </c>
    </row>
    <row r="4" spans="1:94">
      <c r="A4" s="100" t="s">
        <v>786</v>
      </c>
      <c r="B4" s="307">
        <v>0.08</v>
      </c>
      <c r="C4" s="306"/>
      <c r="D4" s="291">
        <f t="shared" ref="D4:D50" si="0">B4*(100%+$D$1)</f>
        <v>8.8000000000000009E-2</v>
      </c>
      <c r="E4" s="306"/>
      <c r="F4" s="291">
        <f t="shared" ref="F4:F50" si="1">B4*(100%+$F$1)</f>
        <v>9.1999999999999998E-2</v>
      </c>
      <c r="G4" s="306"/>
      <c r="H4" s="291">
        <f t="shared" ref="H4:H50" si="2">B4*(100%+$H$1)</f>
        <v>9.6000000000000002E-2</v>
      </c>
      <c r="I4" s="306"/>
      <c r="CP4" s="100" t="s">
        <v>1120</v>
      </c>
    </row>
    <row r="5" spans="1:94">
      <c r="A5" s="100" t="s">
        <v>785</v>
      </c>
      <c r="B5" s="307">
        <v>7.0000000000000007E-2</v>
      </c>
      <c r="C5" s="306">
        <v>0.05</v>
      </c>
      <c r="D5" s="291">
        <f t="shared" si="0"/>
        <v>7.7000000000000013E-2</v>
      </c>
      <c r="E5" s="306">
        <v>0.05</v>
      </c>
      <c r="F5" s="291">
        <f t="shared" si="1"/>
        <v>8.0500000000000002E-2</v>
      </c>
      <c r="G5" s="306">
        <v>0.05</v>
      </c>
      <c r="H5" s="291">
        <f t="shared" si="2"/>
        <v>8.4000000000000005E-2</v>
      </c>
      <c r="I5" s="306">
        <v>0.05</v>
      </c>
      <c r="CP5" s="100" t="s">
        <v>1121</v>
      </c>
    </row>
    <row r="6" spans="1:94">
      <c r="A6" s="4" t="s">
        <v>784</v>
      </c>
      <c r="B6" s="432"/>
      <c r="C6" s="468"/>
      <c r="D6" s="432">
        <f t="shared" si="0"/>
        <v>0</v>
      </c>
      <c r="E6" s="468"/>
      <c r="F6" s="432">
        <f t="shared" si="1"/>
        <v>0</v>
      </c>
      <c r="G6" s="468"/>
      <c r="H6" s="432">
        <f t="shared" si="2"/>
        <v>0</v>
      </c>
      <c r="I6" s="468"/>
      <c r="CP6" s="4" t="s">
        <v>1122</v>
      </c>
    </row>
    <row r="7" spans="1:94">
      <c r="A7" s="100" t="s">
        <v>783</v>
      </c>
      <c r="B7" s="307">
        <v>0.11</v>
      </c>
      <c r="C7" s="306"/>
      <c r="D7" s="291">
        <f t="shared" si="0"/>
        <v>0.12100000000000001</v>
      </c>
      <c r="E7" s="306"/>
      <c r="F7" s="291">
        <f t="shared" si="1"/>
        <v>0.1265</v>
      </c>
      <c r="G7" s="306"/>
      <c r="H7" s="291">
        <f t="shared" si="2"/>
        <v>0.13200000000000001</v>
      </c>
      <c r="I7" s="306"/>
      <c r="CP7" s="100" t="s">
        <v>1123</v>
      </c>
    </row>
    <row r="8" spans="1:94">
      <c r="A8" s="100" t="s">
        <v>782</v>
      </c>
      <c r="B8" s="307">
        <v>7.0000000000000007E-2</v>
      </c>
      <c r="C8" s="306"/>
      <c r="D8" s="291">
        <f t="shared" si="0"/>
        <v>7.7000000000000013E-2</v>
      </c>
      <c r="E8" s="306"/>
      <c r="F8" s="291">
        <f t="shared" si="1"/>
        <v>8.0500000000000002E-2</v>
      </c>
      <c r="G8" s="306"/>
      <c r="H8" s="291">
        <f t="shared" si="2"/>
        <v>8.4000000000000005E-2</v>
      </c>
      <c r="I8" s="306"/>
      <c r="CP8" s="100" t="s">
        <v>1124</v>
      </c>
    </row>
    <row r="9" spans="1:94">
      <c r="A9" s="4" t="s">
        <v>781</v>
      </c>
      <c r="B9" s="432"/>
      <c r="C9" s="468"/>
      <c r="D9" s="432">
        <f t="shared" si="0"/>
        <v>0</v>
      </c>
      <c r="E9" s="468"/>
      <c r="F9" s="432">
        <f t="shared" si="1"/>
        <v>0</v>
      </c>
      <c r="G9" s="468"/>
      <c r="H9" s="432">
        <f t="shared" si="2"/>
        <v>0</v>
      </c>
      <c r="I9" s="468"/>
      <c r="CP9" s="4" t="s">
        <v>1125</v>
      </c>
    </row>
    <row r="10" spans="1:94">
      <c r="A10" s="100" t="s">
        <v>780</v>
      </c>
      <c r="B10" s="307">
        <v>0.1</v>
      </c>
      <c r="C10" s="306">
        <v>0.01</v>
      </c>
      <c r="D10" s="291">
        <f t="shared" si="0"/>
        <v>0.11000000000000001</v>
      </c>
      <c r="E10" s="306">
        <v>0.01</v>
      </c>
      <c r="F10" s="291">
        <f t="shared" si="1"/>
        <v>0.11499999999999999</v>
      </c>
      <c r="G10" s="306">
        <v>0.01</v>
      </c>
      <c r="H10" s="291">
        <f t="shared" si="2"/>
        <v>0.12</v>
      </c>
      <c r="I10" s="306">
        <v>0.01</v>
      </c>
      <c r="CP10" s="100" t="s">
        <v>1126</v>
      </c>
    </row>
    <row r="11" spans="1:94">
      <c r="A11" s="100" t="s">
        <v>779</v>
      </c>
      <c r="B11" s="307">
        <v>7.0000000000000007E-2</v>
      </c>
      <c r="C11" s="306">
        <v>0.01</v>
      </c>
      <c r="D11" s="291">
        <f t="shared" si="0"/>
        <v>7.7000000000000013E-2</v>
      </c>
      <c r="E11" s="306">
        <v>0.01</v>
      </c>
      <c r="F11" s="291">
        <f t="shared" si="1"/>
        <v>8.0500000000000002E-2</v>
      </c>
      <c r="G11" s="306">
        <v>0.01</v>
      </c>
      <c r="H11" s="291">
        <f t="shared" si="2"/>
        <v>8.4000000000000005E-2</v>
      </c>
      <c r="I11" s="306">
        <v>0.01</v>
      </c>
      <c r="CP11" s="100" t="s">
        <v>1127</v>
      </c>
    </row>
    <row r="12" spans="1:94">
      <c r="A12" s="100" t="s">
        <v>778</v>
      </c>
      <c r="B12" s="307">
        <v>0.11</v>
      </c>
      <c r="C12" s="306">
        <v>0.01</v>
      </c>
      <c r="D12" s="291">
        <f t="shared" si="0"/>
        <v>0.12100000000000001</v>
      </c>
      <c r="E12" s="306">
        <v>0.01</v>
      </c>
      <c r="F12" s="291">
        <f t="shared" si="1"/>
        <v>0.1265</v>
      </c>
      <c r="G12" s="306">
        <v>0.01</v>
      </c>
      <c r="H12" s="291">
        <f t="shared" si="2"/>
        <v>0.13200000000000001</v>
      </c>
      <c r="I12" s="306">
        <v>0.01</v>
      </c>
      <c r="CP12" s="100" t="s">
        <v>1128</v>
      </c>
    </row>
    <row r="13" spans="1:94">
      <c r="A13" s="4" t="s">
        <v>777</v>
      </c>
      <c r="B13" s="307">
        <v>7.0000000000000007E-2</v>
      </c>
      <c r="C13" s="306">
        <v>0.2</v>
      </c>
      <c r="D13" s="291">
        <f t="shared" si="0"/>
        <v>7.7000000000000013E-2</v>
      </c>
      <c r="E13" s="306">
        <v>0.2</v>
      </c>
      <c r="F13" s="291">
        <f t="shared" si="1"/>
        <v>8.0500000000000002E-2</v>
      </c>
      <c r="G13" s="306">
        <v>0.2</v>
      </c>
      <c r="H13" s="291">
        <f t="shared" si="2"/>
        <v>8.4000000000000005E-2</v>
      </c>
      <c r="I13" s="306">
        <v>0.2</v>
      </c>
      <c r="CP13" s="4" t="s">
        <v>1129</v>
      </c>
    </row>
    <row r="14" spans="1:94">
      <c r="A14" s="4" t="s">
        <v>776</v>
      </c>
      <c r="B14" s="432"/>
      <c r="C14" s="468"/>
      <c r="D14" s="432">
        <f t="shared" si="0"/>
        <v>0</v>
      </c>
      <c r="E14" s="468"/>
      <c r="F14" s="432">
        <f t="shared" si="1"/>
        <v>0</v>
      </c>
      <c r="G14" s="468"/>
      <c r="H14" s="432">
        <f t="shared" si="2"/>
        <v>0</v>
      </c>
      <c r="I14" s="468"/>
      <c r="CP14" s="4" t="s">
        <v>1130</v>
      </c>
    </row>
    <row r="15" spans="1:94">
      <c r="A15" s="100" t="s">
        <v>775</v>
      </c>
      <c r="B15" s="307">
        <v>7.0000000000000007E-2</v>
      </c>
      <c r="C15" s="306"/>
      <c r="D15" s="291">
        <f t="shared" si="0"/>
        <v>7.7000000000000013E-2</v>
      </c>
      <c r="E15" s="306"/>
      <c r="F15" s="291">
        <f t="shared" si="1"/>
        <v>8.0500000000000002E-2</v>
      </c>
      <c r="G15" s="306"/>
      <c r="H15" s="291">
        <f t="shared" si="2"/>
        <v>8.4000000000000005E-2</v>
      </c>
      <c r="I15" s="306"/>
      <c r="CP15" s="100" t="s">
        <v>1131</v>
      </c>
    </row>
    <row r="16" spans="1:94">
      <c r="A16" s="100" t="s">
        <v>774</v>
      </c>
      <c r="B16" s="307">
        <v>0.11</v>
      </c>
      <c r="C16" s="306"/>
      <c r="D16" s="291">
        <f t="shared" si="0"/>
        <v>0.12100000000000001</v>
      </c>
      <c r="E16" s="306"/>
      <c r="F16" s="291">
        <f t="shared" si="1"/>
        <v>0.1265</v>
      </c>
      <c r="G16" s="306"/>
      <c r="H16" s="291">
        <f t="shared" si="2"/>
        <v>0.13200000000000001</v>
      </c>
      <c r="I16" s="306"/>
      <c r="CP16" s="100" t="s">
        <v>1132</v>
      </c>
    </row>
    <row r="17" spans="1:94">
      <c r="A17" s="4" t="s">
        <v>773</v>
      </c>
      <c r="B17" s="432"/>
      <c r="C17" s="468"/>
      <c r="D17" s="432">
        <f t="shared" si="0"/>
        <v>0</v>
      </c>
      <c r="E17" s="468"/>
      <c r="F17" s="432">
        <f t="shared" si="1"/>
        <v>0</v>
      </c>
      <c r="G17" s="468"/>
      <c r="H17" s="432">
        <f t="shared" si="2"/>
        <v>0</v>
      </c>
      <c r="I17" s="468"/>
      <c r="CP17" s="4" t="s">
        <v>1133</v>
      </c>
    </row>
    <row r="18" spans="1:94">
      <c r="A18" s="100" t="s">
        <v>772</v>
      </c>
      <c r="B18" s="307">
        <v>0.1</v>
      </c>
      <c r="C18" s="306"/>
      <c r="D18" s="291">
        <f t="shared" si="0"/>
        <v>0.11000000000000001</v>
      </c>
      <c r="E18" s="306"/>
      <c r="F18" s="291">
        <f t="shared" si="1"/>
        <v>0.11499999999999999</v>
      </c>
      <c r="G18" s="306"/>
      <c r="H18" s="291">
        <f t="shared" si="2"/>
        <v>0.12</v>
      </c>
      <c r="I18" s="306"/>
      <c r="CP18" s="100" t="s">
        <v>1134</v>
      </c>
    </row>
    <row r="19" spans="1:94">
      <c r="A19" s="100" t="s">
        <v>771</v>
      </c>
      <c r="B19" s="307">
        <v>7.0000000000000007E-2</v>
      </c>
      <c r="C19" s="306"/>
      <c r="D19" s="291">
        <f t="shared" si="0"/>
        <v>7.7000000000000013E-2</v>
      </c>
      <c r="E19" s="306"/>
      <c r="F19" s="291">
        <f t="shared" si="1"/>
        <v>8.0500000000000002E-2</v>
      </c>
      <c r="G19" s="306"/>
      <c r="H19" s="291">
        <f t="shared" si="2"/>
        <v>8.4000000000000005E-2</v>
      </c>
      <c r="I19" s="306"/>
      <c r="CP19" s="100" t="s">
        <v>1135</v>
      </c>
    </row>
    <row r="20" spans="1:94">
      <c r="A20" s="4" t="s">
        <v>770</v>
      </c>
      <c r="B20" s="307">
        <v>0.11</v>
      </c>
      <c r="C20" s="306">
        <v>0.03</v>
      </c>
      <c r="D20" s="291">
        <f t="shared" si="0"/>
        <v>0.12100000000000001</v>
      </c>
      <c r="E20" s="306">
        <v>0.03</v>
      </c>
      <c r="F20" s="291">
        <f t="shared" si="1"/>
        <v>0.1265</v>
      </c>
      <c r="G20" s="306">
        <v>0.03</v>
      </c>
      <c r="H20" s="291">
        <f t="shared" si="2"/>
        <v>0.13200000000000001</v>
      </c>
      <c r="I20" s="306">
        <v>0.03</v>
      </c>
      <c r="CP20" s="4" t="s">
        <v>1136</v>
      </c>
    </row>
    <row r="21" spans="1:94">
      <c r="A21" s="4" t="s">
        <v>769</v>
      </c>
      <c r="B21" s="307"/>
      <c r="C21" s="306"/>
      <c r="D21" s="291">
        <f t="shared" si="0"/>
        <v>0</v>
      </c>
      <c r="E21" s="306"/>
      <c r="F21" s="291">
        <f t="shared" si="1"/>
        <v>0</v>
      </c>
      <c r="G21" s="306"/>
      <c r="H21" s="291">
        <f t="shared" si="2"/>
        <v>0</v>
      </c>
      <c r="I21" s="306"/>
      <c r="CP21" s="4" t="s">
        <v>1137</v>
      </c>
    </row>
    <row r="22" spans="1:94">
      <c r="A22" s="100" t="s">
        <v>768</v>
      </c>
      <c r="B22" s="307">
        <v>7.0000000000000007E-2</v>
      </c>
      <c r="C22" s="306">
        <v>0.05</v>
      </c>
      <c r="D22" s="291">
        <f t="shared" si="0"/>
        <v>7.7000000000000013E-2</v>
      </c>
      <c r="E22" s="306">
        <v>0.05</v>
      </c>
      <c r="F22" s="291">
        <f t="shared" si="1"/>
        <v>8.0500000000000002E-2</v>
      </c>
      <c r="G22" s="306">
        <v>0.05</v>
      </c>
      <c r="H22" s="291">
        <f t="shared" si="2"/>
        <v>8.4000000000000005E-2</v>
      </c>
      <c r="I22" s="306">
        <v>0.05</v>
      </c>
      <c r="CP22" s="100" t="s">
        <v>1138</v>
      </c>
    </row>
    <row r="23" spans="1:94">
      <c r="A23" s="100" t="s">
        <v>767</v>
      </c>
      <c r="B23" s="307">
        <v>0.1</v>
      </c>
      <c r="C23" s="306">
        <v>0.01</v>
      </c>
      <c r="D23" s="291">
        <f t="shared" si="0"/>
        <v>0.11000000000000001</v>
      </c>
      <c r="E23" s="306">
        <v>0.01</v>
      </c>
      <c r="F23" s="291">
        <f t="shared" si="1"/>
        <v>0.11499999999999999</v>
      </c>
      <c r="G23" s="306">
        <v>0.01</v>
      </c>
      <c r="H23" s="291">
        <f t="shared" si="2"/>
        <v>0.12</v>
      </c>
      <c r="I23" s="306">
        <v>0.01</v>
      </c>
      <c r="CP23" s="100" t="s">
        <v>1139</v>
      </c>
    </row>
    <row r="24" spans="1:94">
      <c r="A24" s="4" t="s">
        <v>766</v>
      </c>
      <c r="B24" s="432"/>
      <c r="C24" s="468"/>
      <c r="D24" s="432">
        <f t="shared" si="0"/>
        <v>0</v>
      </c>
      <c r="E24" s="468"/>
      <c r="F24" s="432">
        <f t="shared" si="1"/>
        <v>0</v>
      </c>
      <c r="G24" s="468"/>
      <c r="H24" s="432">
        <f t="shared" si="2"/>
        <v>0</v>
      </c>
      <c r="I24" s="468"/>
      <c r="CP24" s="4" t="s">
        <v>1140</v>
      </c>
    </row>
    <row r="25" spans="1:94">
      <c r="A25" s="100" t="s">
        <v>765</v>
      </c>
      <c r="B25" s="307">
        <v>7.0000000000000007E-2</v>
      </c>
      <c r="C25" s="306"/>
      <c r="D25" s="291">
        <f t="shared" si="0"/>
        <v>7.7000000000000013E-2</v>
      </c>
      <c r="E25" s="306"/>
      <c r="F25" s="291">
        <f t="shared" si="1"/>
        <v>8.0500000000000002E-2</v>
      </c>
      <c r="G25" s="306"/>
      <c r="H25" s="291">
        <f t="shared" si="2"/>
        <v>8.4000000000000005E-2</v>
      </c>
      <c r="I25" s="306"/>
      <c r="CP25" s="100" t="s">
        <v>1141</v>
      </c>
    </row>
    <row r="26" spans="1:94">
      <c r="A26" s="100" t="s">
        <v>764</v>
      </c>
      <c r="B26" s="307">
        <v>0.08</v>
      </c>
      <c r="C26" s="306"/>
      <c r="D26" s="291">
        <f t="shared" si="0"/>
        <v>8.8000000000000009E-2</v>
      </c>
      <c r="E26" s="306"/>
      <c r="F26" s="291">
        <f t="shared" si="1"/>
        <v>9.1999999999999998E-2</v>
      </c>
      <c r="G26" s="306"/>
      <c r="H26" s="291">
        <f t="shared" si="2"/>
        <v>9.6000000000000002E-2</v>
      </c>
      <c r="I26" s="306"/>
      <c r="CP26" s="100" t="s">
        <v>1142</v>
      </c>
    </row>
    <row r="27" spans="1:94">
      <c r="A27" s="4" t="s">
        <v>763</v>
      </c>
      <c r="B27" s="307">
        <v>8.5000000000000006E-2</v>
      </c>
      <c r="C27" s="306">
        <v>0.1</v>
      </c>
      <c r="D27" s="291">
        <f t="shared" si="0"/>
        <v>9.3500000000000014E-2</v>
      </c>
      <c r="E27" s="306">
        <v>0.1</v>
      </c>
      <c r="F27" s="291">
        <f t="shared" si="1"/>
        <v>9.7750000000000004E-2</v>
      </c>
      <c r="G27" s="306">
        <v>0.1</v>
      </c>
      <c r="H27" s="291">
        <f t="shared" si="2"/>
        <v>0.10200000000000001</v>
      </c>
      <c r="I27" s="306">
        <v>0.1</v>
      </c>
      <c r="CP27" s="4" t="s">
        <v>1143</v>
      </c>
    </row>
    <row r="28" spans="1:94">
      <c r="A28" s="4" t="s">
        <v>762</v>
      </c>
      <c r="B28" s="307">
        <v>0.11</v>
      </c>
      <c r="C28" s="306">
        <v>0.03</v>
      </c>
      <c r="D28" s="291">
        <f t="shared" si="0"/>
        <v>0.12100000000000001</v>
      </c>
      <c r="E28" s="306">
        <v>0.03</v>
      </c>
      <c r="F28" s="291">
        <f t="shared" si="1"/>
        <v>0.1265</v>
      </c>
      <c r="G28" s="306">
        <v>0.03</v>
      </c>
      <c r="H28" s="291">
        <f t="shared" si="2"/>
        <v>0.13200000000000001</v>
      </c>
      <c r="I28" s="306">
        <v>0.03</v>
      </c>
      <c r="CP28" s="4" t="s">
        <v>1144</v>
      </c>
    </row>
    <row r="29" spans="1:94">
      <c r="A29" s="4" t="s">
        <v>761</v>
      </c>
      <c r="B29" s="307">
        <v>0.11</v>
      </c>
      <c r="C29" s="306">
        <v>0.05</v>
      </c>
      <c r="D29" s="291">
        <f t="shared" si="0"/>
        <v>0.12100000000000001</v>
      </c>
      <c r="E29" s="306">
        <v>0.05</v>
      </c>
      <c r="F29" s="291">
        <f t="shared" si="1"/>
        <v>0.1265</v>
      </c>
      <c r="G29" s="306">
        <v>0.05</v>
      </c>
      <c r="H29" s="291">
        <f t="shared" si="2"/>
        <v>0.13200000000000001</v>
      </c>
      <c r="I29" s="306">
        <v>0.05</v>
      </c>
      <c r="CP29" s="4" t="s">
        <v>1145</v>
      </c>
    </row>
    <row r="30" spans="1:94">
      <c r="A30" s="4" t="s">
        <v>760</v>
      </c>
      <c r="B30" s="307">
        <v>0.12</v>
      </c>
      <c r="C30" s="306">
        <v>0</v>
      </c>
      <c r="D30" s="291">
        <f t="shared" si="0"/>
        <v>0.13200000000000001</v>
      </c>
      <c r="E30" s="306">
        <v>0</v>
      </c>
      <c r="F30" s="291">
        <f t="shared" si="1"/>
        <v>0.13799999999999998</v>
      </c>
      <c r="G30" s="306">
        <v>0</v>
      </c>
      <c r="H30" s="291">
        <f t="shared" si="2"/>
        <v>0.14399999999999999</v>
      </c>
      <c r="I30" s="306">
        <v>0</v>
      </c>
      <c r="CP30" s="4" t="s">
        <v>1146</v>
      </c>
    </row>
    <row r="31" spans="1:94">
      <c r="A31" s="4" t="s">
        <v>759</v>
      </c>
      <c r="B31" s="307">
        <v>6.5000000000000002E-2</v>
      </c>
      <c r="C31" s="306">
        <v>0</v>
      </c>
      <c r="D31" s="291">
        <f t="shared" si="0"/>
        <v>7.1500000000000008E-2</v>
      </c>
      <c r="E31" s="306">
        <v>0</v>
      </c>
      <c r="F31" s="291">
        <f t="shared" si="1"/>
        <v>7.4749999999999997E-2</v>
      </c>
      <c r="G31" s="306">
        <v>0</v>
      </c>
      <c r="H31" s="291">
        <f t="shared" si="2"/>
        <v>7.8E-2</v>
      </c>
      <c r="I31" s="306">
        <v>0</v>
      </c>
      <c r="CP31" s="4" t="s">
        <v>1147</v>
      </c>
    </row>
    <row r="32" spans="1:94">
      <c r="A32" s="4" t="s">
        <v>758</v>
      </c>
      <c r="B32" s="307">
        <v>0.09</v>
      </c>
      <c r="C32" s="306">
        <v>0</v>
      </c>
      <c r="D32" s="291">
        <f t="shared" si="0"/>
        <v>9.9000000000000005E-2</v>
      </c>
      <c r="E32" s="306">
        <v>0</v>
      </c>
      <c r="F32" s="291">
        <f t="shared" si="1"/>
        <v>0.10349999999999999</v>
      </c>
      <c r="G32" s="306">
        <v>0</v>
      </c>
      <c r="H32" s="291">
        <f t="shared" si="2"/>
        <v>0.108</v>
      </c>
      <c r="I32" s="306">
        <v>0</v>
      </c>
      <c r="CP32" s="4" t="s">
        <v>1148</v>
      </c>
    </row>
    <row r="33" spans="1:94">
      <c r="A33" s="4" t="s">
        <v>757</v>
      </c>
      <c r="B33" s="432"/>
      <c r="C33" s="468"/>
      <c r="D33" s="432">
        <f t="shared" si="0"/>
        <v>0</v>
      </c>
      <c r="E33" s="468"/>
      <c r="F33" s="432">
        <f t="shared" si="1"/>
        <v>0</v>
      </c>
      <c r="G33" s="468"/>
      <c r="H33" s="432">
        <f t="shared" si="2"/>
        <v>0</v>
      </c>
      <c r="I33" s="468"/>
      <c r="CP33" s="4" t="s">
        <v>1149</v>
      </c>
    </row>
    <row r="34" spans="1:94">
      <c r="A34" s="100" t="s">
        <v>756</v>
      </c>
      <c r="B34" s="307">
        <v>0.1</v>
      </c>
      <c r="C34" s="306">
        <v>0</v>
      </c>
      <c r="D34" s="291">
        <f t="shared" si="0"/>
        <v>0.11000000000000001</v>
      </c>
      <c r="E34" s="306">
        <v>0</v>
      </c>
      <c r="F34" s="291">
        <f t="shared" si="1"/>
        <v>0.11499999999999999</v>
      </c>
      <c r="G34" s="306">
        <v>0</v>
      </c>
      <c r="H34" s="291">
        <f t="shared" si="2"/>
        <v>0.12</v>
      </c>
      <c r="I34" s="306">
        <v>0</v>
      </c>
      <c r="CP34" s="100" t="s">
        <v>1150</v>
      </c>
    </row>
    <row r="35" spans="1:94">
      <c r="A35" s="100" t="s">
        <v>755</v>
      </c>
      <c r="B35" s="307">
        <v>0.08</v>
      </c>
      <c r="C35" s="306">
        <v>0</v>
      </c>
      <c r="D35" s="291">
        <f t="shared" si="0"/>
        <v>8.8000000000000009E-2</v>
      </c>
      <c r="E35" s="306">
        <v>0</v>
      </c>
      <c r="F35" s="291">
        <f t="shared" si="1"/>
        <v>9.1999999999999998E-2</v>
      </c>
      <c r="G35" s="306">
        <v>0</v>
      </c>
      <c r="H35" s="291">
        <f t="shared" si="2"/>
        <v>9.6000000000000002E-2</v>
      </c>
      <c r="I35" s="306">
        <v>0</v>
      </c>
      <c r="CP35" s="100" t="s">
        <v>1142</v>
      </c>
    </row>
    <row r="36" spans="1:94">
      <c r="A36" s="4" t="s">
        <v>754</v>
      </c>
      <c r="B36" s="432"/>
      <c r="C36" s="468"/>
      <c r="D36" s="432">
        <f t="shared" si="0"/>
        <v>0</v>
      </c>
      <c r="E36" s="468"/>
      <c r="F36" s="432">
        <f t="shared" si="1"/>
        <v>0</v>
      </c>
      <c r="G36" s="468"/>
      <c r="H36" s="432">
        <f t="shared" si="2"/>
        <v>0</v>
      </c>
      <c r="I36" s="468"/>
      <c r="CP36" s="4" t="s">
        <v>1151</v>
      </c>
    </row>
    <row r="37" spans="1:94">
      <c r="A37" s="100" t="s">
        <v>753</v>
      </c>
      <c r="B37" s="307">
        <v>0.15</v>
      </c>
      <c r="C37" s="306">
        <v>0.01</v>
      </c>
      <c r="D37" s="291">
        <f t="shared" si="0"/>
        <v>0.16500000000000001</v>
      </c>
      <c r="E37" s="306">
        <v>0.01</v>
      </c>
      <c r="F37" s="291">
        <f t="shared" si="1"/>
        <v>0.17249999999999999</v>
      </c>
      <c r="G37" s="306">
        <v>0.01</v>
      </c>
      <c r="H37" s="291">
        <f t="shared" si="2"/>
        <v>0.18</v>
      </c>
      <c r="I37" s="306">
        <v>0.01</v>
      </c>
      <c r="CP37" s="100" t="s">
        <v>1152</v>
      </c>
    </row>
    <row r="38" spans="1:94">
      <c r="A38" s="100" t="s">
        <v>752</v>
      </c>
      <c r="B38" s="307">
        <v>0.1</v>
      </c>
      <c r="C38" s="306">
        <v>0</v>
      </c>
      <c r="D38" s="291">
        <f t="shared" si="0"/>
        <v>0.11000000000000001</v>
      </c>
      <c r="E38" s="306">
        <v>0</v>
      </c>
      <c r="F38" s="291">
        <f t="shared" si="1"/>
        <v>0.11499999999999999</v>
      </c>
      <c r="G38" s="306">
        <v>0</v>
      </c>
      <c r="H38" s="291">
        <f t="shared" si="2"/>
        <v>0.12</v>
      </c>
      <c r="I38" s="306">
        <v>0</v>
      </c>
      <c r="CP38" s="100" t="s">
        <v>1153</v>
      </c>
    </row>
    <row r="39" spans="1:94">
      <c r="A39" s="100" t="s">
        <v>751</v>
      </c>
      <c r="B39" s="307">
        <v>7.0000000000000007E-2</v>
      </c>
      <c r="C39" s="306">
        <v>0.05</v>
      </c>
      <c r="D39" s="291">
        <f t="shared" si="0"/>
        <v>7.7000000000000013E-2</v>
      </c>
      <c r="E39" s="306">
        <v>0.05</v>
      </c>
      <c r="F39" s="291">
        <f t="shared" si="1"/>
        <v>8.0500000000000002E-2</v>
      </c>
      <c r="G39" s="306">
        <v>0.05</v>
      </c>
      <c r="H39" s="291">
        <f t="shared" si="2"/>
        <v>8.4000000000000005E-2</v>
      </c>
      <c r="I39" s="306">
        <v>0.05</v>
      </c>
      <c r="CP39" s="100" t="s">
        <v>1154</v>
      </c>
    </row>
    <row r="40" spans="1:94">
      <c r="A40" s="4" t="s">
        <v>750</v>
      </c>
      <c r="B40" s="432"/>
      <c r="C40" s="468"/>
      <c r="D40" s="432">
        <f t="shared" si="0"/>
        <v>0</v>
      </c>
      <c r="E40" s="468"/>
      <c r="F40" s="432">
        <f t="shared" si="1"/>
        <v>0</v>
      </c>
      <c r="G40" s="468"/>
      <c r="H40" s="432">
        <f t="shared" si="2"/>
        <v>0</v>
      </c>
      <c r="I40" s="468"/>
      <c r="CP40" s="4" t="s">
        <v>1155</v>
      </c>
    </row>
    <row r="41" spans="1:94">
      <c r="A41" s="100" t="s">
        <v>749</v>
      </c>
      <c r="B41" s="307">
        <v>7.0000000000000007E-2</v>
      </c>
      <c r="C41" s="306">
        <v>0.35</v>
      </c>
      <c r="D41" s="291">
        <f t="shared" si="0"/>
        <v>7.7000000000000013E-2</v>
      </c>
      <c r="E41" s="306">
        <v>0.35</v>
      </c>
      <c r="F41" s="291">
        <f t="shared" si="1"/>
        <v>8.0500000000000002E-2</v>
      </c>
      <c r="G41" s="306">
        <v>0.35</v>
      </c>
      <c r="H41" s="291">
        <f t="shared" si="2"/>
        <v>8.4000000000000005E-2</v>
      </c>
      <c r="I41" s="306">
        <v>0.35</v>
      </c>
      <c r="CP41" s="100" t="s">
        <v>1156</v>
      </c>
    </row>
    <row r="42" spans="1:94">
      <c r="A42" s="100" t="s">
        <v>748</v>
      </c>
      <c r="B42" s="307">
        <v>0.15</v>
      </c>
      <c r="C42" s="306">
        <v>0.03</v>
      </c>
      <c r="D42" s="291">
        <f t="shared" si="0"/>
        <v>0.16500000000000001</v>
      </c>
      <c r="E42" s="306">
        <v>0.03</v>
      </c>
      <c r="F42" s="291">
        <f t="shared" si="1"/>
        <v>0.17249999999999999</v>
      </c>
      <c r="G42" s="306">
        <v>0.03</v>
      </c>
      <c r="H42" s="291">
        <f t="shared" si="2"/>
        <v>0.18</v>
      </c>
      <c r="I42" s="306">
        <v>0.03</v>
      </c>
      <c r="CP42" s="100" t="s">
        <v>1157</v>
      </c>
    </row>
    <row r="43" spans="1:94">
      <c r="A43" s="4" t="s">
        <v>747</v>
      </c>
      <c r="B43" s="432"/>
      <c r="C43" s="468"/>
      <c r="D43" s="432">
        <f t="shared" si="0"/>
        <v>0</v>
      </c>
      <c r="E43" s="468"/>
      <c r="F43" s="432">
        <f t="shared" si="1"/>
        <v>0</v>
      </c>
      <c r="G43" s="468"/>
      <c r="H43" s="432">
        <f t="shared" si="2"/>
        <v>0</v>
      </c>
      <c r="I43" s="468"/>
      <c r="CP43" s="4" t="s">
        <v>1158</v>
      </c>
    </row>
    <row r="44" spans="1:94">
      <c r="A44" s="100" t="s">
        <v>746</v>
      </c>
      <c r="B44" s="307">
        <v>0.1</v>
      </c>
      <c r="C44" s="306">
        <v>0</v>
      </c>
      <c r="D44" s="291">
        <f t="shared" si="0"/>
        <v>0.11000000000000001</v>
      </c>
      <c r="E44" s="306">
        <v>0</v>
      </c>
      <c r="F44" s="291">
        <f t="shared" si="1"/>
        <v>0.11499999999999999</v>
      </c>
      <c r="G44" s="306">
        <v>0</v>
      </c>
      <c r="H44" s="291">
        <f t="shared" si="2"/>
        <v>0.12</v>
      </c>
      <c r="I44" s="306">
        <v>0</v>
      </c>
      <c r="CP44" s="100" t="s">
        <v>1159</v>
      </c>
    </row>
    <row r="45" spans="1:94">
      <c r="A45" s="100" t="s">
        <v>745</v>
      </c>
      <c r="B45" s="307">
        <v>0.12</v>
      </c>
      <c r="C45" s="306">
        <v>0</v>
      </c>
      <c r="D45" s="291">
        <f t="shared" si="0"/>
        <v>0.13200000000000001</v>
      </c>
      <c r="E45" s="306">
        <v>0</v>
      </c>
      <c r="F45" s="291">
        <f t="shared" si="1"/>
        <v>0.13799999999999998</v>
      </c>
      <c r="G45" s="306">
        <v>0</v>
      </c>
      <c r="H45" s="291">
        <f t="shared" si="2"/>
        <v>0.14399999999999999</v>
      </c>
      <c r="I45" s="306">
        <v>0</v>
      </c>
      <c r="CP45" s="100" t="s">
        <v>1160</v>
      </c>
    </row>
    <row r="46" spans="1:94">
      <c r="A46" s="100" t="s">
        <v>744</v>
      </c>
      <c r="B46" s="307">
        <v>7.0000000000000007E-2</v>
      </c>
      <c r="C46" s="306">
        <v>0</v>
      </c>
      <c r="D46" s="291">
        <f t="shared" si="0"/>
        <v>7.7000000000000013E-2</v>
      </c>
      <c r="E46" s="306">
        <v>0</v>
      </c>
      <c r="F46" s="291">
        <f t="shared" si="1"/>
        <v>8.0500000000000002E-2</v>
      </c>
      <c r="G46" s="306">
        <v>0</v>
      </c>
      <c r="H46" s="291">
        <f t="shared" si="2"/>
        <v>8.4000000000000005E-2</v>
      </c>
      <c r="I46" s="306">
        <v>0</v>
      </c>
      <c r="CP46" s="100" t="s">
        <v>1161</v>
      </c>
    </row>
    <row r="47" spans="1:94">
      <c r="A47" s="4" t="s">
        <v>743</v>
      </c>
      <c r="B47" s="432"/>
      <c r="C47" s="468"/>
      <c r="D47" s="432">
        <f t="shared" si="0"/>
        <v>0</v>
      </c>
      <c r="E47" s="468"/>
      <c r="F47" s="432">
        <f t="shared" si="1"/>
        <v>0</v>
      </c>
      <c r="G47" s="468"/>
      <c r="H47" s="432">
        <f t="shared" si="2"/>
        <v>0</v>
      </c>
      <c r="I47" s="468"/>
      <c r="CP47" s="4" t="s">
        <v>1162</v>
      </c>
    </row>
    <row r="48" spans="1:94">
      <c r="A48" s="100" t="s">
        <v>742</v>
      </c>
      <c r="B48" s="307">
        <v>0.11</v>
      </c>
      <c r="C48" s="306">
        <v>0</v>
      </c>
      <c r="D48" s="291">
        <f t="shared" si="0"/>
        <v>0.12100000000000001</v>
      </c>
      <c r="E48" s="306">
        <v>0</v>
      </c>
      <c r="F48" s="291">
        <f t="shared" si="1"/>
        <v>0.1265</v>
      </c>
      <c r="G48" s="306">
        <v>0</v>
      </c>
      <c r="H48" s="291">
        <f t="shared" si="2"/>
        <v>0.13200000000000001</v>
      </c>
      <c r="I48" s="306">
        <v>0</v>
      </c>
      <c r="CP48" s="100" t="s">
        <v>1163</v>
      </c>
    </row>
    <row r="49" spans="1:95">
      <c r="A49" s="100" t="s">
        <v>741</v>
      </c>
      <c r="B49" s="307">
        <v>7.0000000000000007E-2</v>
      </c>
      <c r="C49" s="306">
        <v>0</v>
      </c>
      <c r="D49" s="291">
        <f t="shared" si="0"/>
        <v>7.7000000000000013E-2</v>
      </c>
      <c r="E49" s="306">
        <v>0</v>
      </c>
      <c r="F49" s="291">
        <f t="shared" si="1"/>
        <v>8.0500000000000002E-2</v>
      </c>
      <c r="G49" s="306">
        <v>0</v>
      </c>
      <c r="H49" s="291">
        <f t="shared" si="2"/>
        <v>8.4000000000000005E-2</v>
      </c>
      <c r="I49" s="306">
        <v>0</v>
      </c>
      <c r="CP49" s="100" t="s">
        <v>1131</v>
      </c>
    </row>
    <row r="50" spans="1:95">
      <c r="A50" s="4" t="s">
        <v>740</v>
      </c>
      <c r="B50" s="307">
        <v>0.105</v>
      </c>
      <c r="C50" s="306">
        <v>0.01</v>
      </c>
      <c r="D50" s="291">
        <f t="shared" si="0"/>
        <v>0.11550000000000001</v>
      </c>
      <c r="E50" s="306">
        <v>0.01</v>
      </c>
      <c r="F50" s="291">
        <f t="shared" si="1"/>
        <v>0.12074999999999998</v>
      </c>
      <c r="G50" s="306">
        <v>0.01</v>
      </c>
      <c r="H50" s="291">
        <f t="shared" si="2"/>
        <v>0.126</v>
      </c>
      <c r="I50" s="306">
        <v>0.01</v>
      </c>
      <c r="CP50" s="4" t="s">
        <v>1164</v>
      </c>
    </row>
    <row r="51" spans="1:95" s="17" customFormat="1" ht="15.6">
      <c r="A51" s="18" t="s">
        <v>910</v>
      </c>
      <c r="B51" s="478">
        <f>SUMPRODUCT(B4:B50,C4:C50)</f>
        <v>8.0450000000000008E-2</v>
      </c>
      <c r="C51" s="479">
        <f>SUM(C3:C50)</f>
        <v>1.0000000000000002</v>
      </c>
      <c r="D51" s="478">
        <f>SUMPRODUCT(D4:D50,E4:E50)</f>
        <v>8.8495000000000018E-2</v>
      </c>
      <c r="E51" s="479">
        <f>SUM(E3:E50)</f>
        <v>1.0000000000000002</v>
      </c>
      <c r="F51" s="478">
        <f>SUMPRODUCT(F4:F50,G4:G50)</f>
        <v>9.2517499999999989E-2</v>
      </c>
      <c r="G51" s="479">
        <f>SUM(G3:G50)</f>
        <v>1.0000000000000002</v>
      </c>
      <c r="H51" s="478">
        <f>SUMPRODUCT(H4:H50,I4:I50)</f>
        <v>9.6540000000000015E-2</v>
      </c>
      <c r="I51" s="479">
        <f>SUM(I3:I50)</f>
        <v>1.0000000000000002</v>
      </c>
      <c r="CP51" s="18" t="s">
        <v>1117</v>
      </c>
    </row>
    <row r="52" spans="1:95" s="17" customFormat="1" ht="15.6">
      <c r="A52" s="18"/>
      <c r="B52" s="307">
        <v>0.1</v>
      </c>
      <c r="C52" s="478"/>
      <c r="D52" s="307">
        <v>0.1</v>
      </c>
      <c r="E52" s="478"/>
      <c r="F52" s="307">
        <v>0.1</v>
      </c>
      <c r="G52" s="478"/>
      <c r="H52" s="307">
        <v>0.1</v>
      </c>
      <c r="I52" s="478"/>
      <c r="CP52" s="18"/>
    </row>
    <row r="53" spans="1:95" s="17" customFormat="1" ht="15.6">
      <c r="A53" s="18" t="s">
        <v>911</v>
      </c>
      <c r="B53" s="478">
        <f>B51*(1-B52)</f>
        <v>7.2405000000000011E-2</v>
      </c>
      <c r="C53" s="478"/>
      <c r="D53" s="478">
        <f>D51*(1-D52)</f>
        <v>7.9645500000000022E-2</v>
      </c>
      <c r="E53" s="478"/>
      <c r="F53" s="478">
        <f>F51*(1-F52)</f>
        <v>8.3265749999999986E-2</v>
      </c>
      <c r="G53" s="478"/>
      <c r="H53" s="478">
        <f>H51*(1-H52)</f>
        <v>8.6886000000000019E-2</v>
      </c>
      <c r="I53" s="478"/>
      <c r="J53" s="478"/>
      <c r="CP53" s="18" t="s">
        <v>1118</v>
      </c>
    </row>
    <row r="54" spans="1:95">
      <c r="BR54" s="148">
        <v>2025</v>
      </c>
      <c r="BS54" s="148">
        <v>2025</v>
      </c>
      <c r="BT54" s="148">
        <v>2025</v>
      </c>
      <c r="BU54" s="148">
        <v>2025</v>
      </c>
      <c r="BV54" s="148">
        <v>2026</v>
      </c>
      <c r="BW54" s="148">
        <v>2026</v>
      </c>
      <c r="BX54" s="148">
        <v>2027</v>
      </c>
      <c r="BY54" s="148">
        <v>2027</v>
      </c>
      <c r="BZ54" s="148">
        <v>2028</v>
      </c>
      <c r="CA54" s="148">
        <v>2028</v>
      </c>
      <c r="CB54" s="148">
        <v>2029</v>
      </c>
      <c r="CC54" s="148">
        <v>2029</v>
      </c>
    </row>
    <row r="55" spans="1:95" s="1" customFormat="1">
      <c r="A55" s="415"/>
      <c r="B55" s="416" t="s">
        <v>665</v>
      </c>
      <c r="C55" s="416"/>
      <c r="D55" s="415" t="s">
        <v>107</v>
      </c>
      <c r="E55" s="415" t="s">
        <v>135</v>
      </c>
      <c r="F55" s="415" t="s">
        <v>136</v>
      </c>
      <c r="G55" s="415" t="s">
        <v>137</v>
      </c>
      <c r="H55" s="415" t="s">
        <v>138</v>
      </c>
      <c r="I55" s="415" t="s">
        <v>139</v>
      </c>
      <c r="J55" s="415" t="s">
        <v>140</v>
      </c>
      <c r="K55" s="415" t="s">
        <v>141</v>
      </c>
      <c r="L55" s="415" t="s">
        <v>142</v>
      </c>
      <c r="M55" s="415" t="s">
        <v>143</v>
      </c>
      <c r="N55" s="415" t="s">
        <v>144</v>
      </c>
      <c r="O55" s="415" t="s">
        <v>145</v>
      </c>
      <c r="P55" s="414" t="s">
        <v>146</v>
      </c>
      <c r="Q55" s="415" t="s">
        <v>107</v>
      </c>
      <c r="R55" s="415" t="s">
        <v>135</v>
      </c>
      <c r="S55" s="415" t="s">
        <v>136</v>
      </c>
      <c r="T55" s="415" t="s">
        <v>137</v>
      </c>
      <c r="U55" s="415" t="s">
        <v>138</v>
      </c>
      <c r="V55" s="415" t="s">
        <v>139</v>
      </c>
      <c r="W55" s="415" t="s">
        <v>140</v>
      </c>
      <c r="X55" s="415" t="s">
        <v>141</v>
      </c>
      <c r="Y55" s="415" t="s">
        <v>142</v>
      </c>
      <c r="Z55" s="415" t="s">
        <v>143</v>
      </c>
      <c r="AA55" s="415" t="s">
        <v>144</v>
      </c>
      <c r="AB55" s="415" t="s">
        <v>145</v>
      </c>
      <c r="AC55" s="414" t="s">
        <v>151</v>
      </c>
      <c r="AD55" s="415" t="s">
        <v>107</v>
      </c>
      <c r="AE55" s="415" t="s">
        <v>135</v>
      </c>
      <c r="AF55" s="415" t="s">
        <v>136</v>
      </c>
      <c r="AG55" s="415" t="s">
        <v>137</v>
      </c>
      <c r="AH55" s="415" t="s">
        <v>138</v>
      </c>
      <c r="AI55" s="415" t="s">
        <v>139</v>
      </c>
      <c r="AJ55" s="415" t="s">
        <v>140</v>
      </c>
      <c r="AK55" s="415" t="s">
        <v>141</v>
      </c>
      <c r="AL55" s="415" t="s">
        <v>142</v>
      </c>
      <c r="AM55" s="415" t="s">
        <v>143</v>
      </c>
      <c r="AN55" s="415" t="s">
        <v>144</v>
      </c>
      <c r="AO55" s="415" t="s">
        <v>145</v>
      </c>
      <c r="AP55" s="414" t="s">
        <v>152</v>
      </c>
      <c r="AQ55" s="415" t="s">
        <v>107</v>
      </c>
      <c r="AR55" s="415" t="s">
        <v>135</v>
      </c>
      <c r="AS55" s="415" t="s">
        <v>136</v>
      </c>
      <c r="AT55" s="415" t="s">
        <v>137</v>
      </c>
      <c r="AU55" s="415" t="s">
        <v>138</v>
      </c>
      <c r="AV55" s="415" t="s">
        <v>139</v>
      </c>
      <c r="AW55" s="415" t="s">
        <v>140</v>
      </c>
      <c r="AX55" s="415" t="s">
        <v>141</v>
      </c>
      <c r="AY55" s="415" t="s">
        <v>142</v>
      </c>
      <c r="AZ55" s="415" t="s">
        <v>143</v>
      </c>
      <c r="BA55" s="415" t="s">
        <v>144</v>
      </c>
      <c r="BB55" s="415" t="s">
        <v>145</v>
      </c>
      <c r="BC55" s="414" t="s">
        <v>153</v>
      </c>
      <c r="BD55" s="415" t="s">
        <v>107</v>
      </c>
      <c r="BE55" s="415" t="s">
        <v>135</v>
      </c>
      <c r="BF55" s="415" t="s">
        <v>136</v>
      </c>
      <c r="BG55" s="415" t="s">
        <v>137</v>
      </c>
      <c r="BH55" s="415" t="s">
        <v>138</v>
      </c>
      <c r="BI55" s="415" t="s">
        <v>139</v>
      </c>
      <c r="BJ55" s="415" t="s">
        <v>140</v>
      </c>
      <c r="BK55" s="415" t="s">
        <v>141</v>
      </c>
      <c r="BL55" s="415" t="s">
        <v>142</v>
      </c>
      <c r="BM55" s="415" t="s">
        <v>143</v>
      </c>
      <c r="BN55" s="415" t="s">
        <v>144</v>
      </c>
      <c r="BO55" s="415" t="s">
        <v>145</v>
      </c>
      <c r="BP55" s="414" t="s">
        <v>154</v>
      </c>
      <c r="BR55" s="151" t="s">
        <v>431</v>
      </c>
      <c r="BS55" s="151" t="s">
        <v>432</v>
      </c>
      <c r="BT55" s="151" t="s">
        <v>433</v>
      </c>
      <c r="BU55" s="151" t="s">
        <v>434</v>
      </c>
      <c r="BV55" s="151" t="s">
        <v>435</v>
      </c>
      <c r="BW55" s="151" t="s">
        <v>436</v>
      </c>
      <c r="BX55" s="151" t="s">
        <v>435</v>
      </c>
      <c r="BY55" s="151" t="s">
        <v>436</v>
      </c>
      <c r="BZ55" s="151" t="s">
        <v>435</v>
      </c>
      <c r="CA55" s="151" t="s">
        <v>436</v>
      </c>
      <c r="CB55" s="151" t="s">
        <v>435</v>
      </c>
      <c r="CC55" s="151" t="s">
        <v>436</v>
      </c>
    </row>
    <row r="56" spans="1:95" s="17" customFormat="1" ht="15.6">
      <c r="A56" s="17" t="s">
        <v>739</v>
      </c>
      <c r="B56" s="295" t="s">
        <v>231</v>
      </c>
      <c r="C56" s="477">
        <v>0.1</v>
      </c>
      <c r="D56" s="476">
        <f>(P56-C56)/12+C56</f>
        <v>0.10250000000000001</v>
      </c>
      <c r="E56" s="476">
        <f>(P56-C56)/12+D56</f>
        <v>0.10500000000000001</v>
      </c>
      <c r="F56" s="476">
        <f>(P56-C56)/12+E56</f>
        <v>0.10750000000000001</v>
      </c>
      <c r="G56" s="476">
        <f>(P56-C56)/12+F56</f>
        <v>0.11000000000000001</v>
      </c>
      <c r="H56" s="476">
        <f>(P56-C56)/12+G56</f>
        <v>0.11250000000000002</v>
      </c>
      <c r="I56" s="476">
        <f>(P56-C56)/12+H56</f>
        <v>0.11500000000000002</v>
      </c>
      <c r="J56" s="476">
        <f>(P56-C56)/12+I56</f>
        <v>0.11750000000000002</v>
      </c>
      <c r="K56" s="476">
        <f>(P56-C56)/12+J56</f>
        <v>0.12000000000000002</v>
      </c>
      <c r="L56" s="476">
        <f>(P56-C56)/12+K56</f>
        <v>0.12250000000000003</v>
      </c>
      <c r="M56" s="476">
        <f>(P56-C56)/12+L56</f>
        <v>0.12500000000000003</v>
      </c>
      <c r="N56" s="476">
        <f>(P56-C56)/12+M56</f>
        <v>0.12750000000000003</v>
      </c>
      <c r="O56" s="476">
        <f>(P56-C56)/12+N56</f>
        <v>0.13000000000000003</v>
      </c>
      <c r="P56" s="475">
        <f>C56*(1+30%)</f>
        <v>0.13</v>
      </c>
      <c r="Q56" s="476">
        <f>(AC56-P56)/12+P56</f>
        <v>0.13325000000000001</v>
      </c>
      <c r="R56" s="476">
        <f>(AC56-P56)/12+Q56</f>
        <v>0.13650000000000001</v>
      </c>
      <c r="S56" s="476">
        <f>(AC56-P56)/12+R56</f>
        <v>0.13975000000000001</v>
      </c>
      <c r="T56" s="476">
        <f>(AC56-P56)/12+S56</f>
        <v>0.14300000000000002</v>
      </c>
      <c r="U56" s="476">
        <f>(AC56-P56)/12+T56</f>
        <v>0.14625000000000002</v>
      </c>
      <c r="V56" s="476">
        <f>(AC56-P56)/12+U56</f>
        <v>0.14950000000000002</v>
      </c>
      <c r="W56" s="476">
        <f>(AC56-P56)/12+V56</f>
        <v>0.15275000000000002</v>
      </c>
      <c r="X56" s="476">
        <f>(AC56-P56)/12+W56</f>
        <v>0.15600000000000003</v>
      </c>
      <c r="Y56" s="476">
        <f>(AC56-P56)/12+X56</f>
        <v>0.15925000000000003</v>
      </c>
      <c r="Z56" s="476">
        <f>(AC56-P56)/12+Y56</f>
        <v>0.16250000000000003</v>
      </c>
      <c r="AA56" s="476">
        <f>(AC56-P56)/12+Z56</f>
        <v>0.16575000000000004</v>
      </c>
      <c r="AB56" s="476">
        <f>(AC56-P56)/12+AA56</f>
        <v>0.16900000000000004</v>
      </c>
      <c r="AC56" s="475">
        <f>P56*(1+30%)</f>
        <v>0.16900000000000001</v>
      </c>
      <c r="AD56" s="476">
        <f>(AP56-AC56)/12+AC56</f>
        <v>0.17322500000000002</v>
      </c>
      <c r="AE56" s="476">
        <f>(AP56-AC56)/12+AD56</f>
        <v>0.17745000000000002</v>
      </c>
      <c r="AF56" s="476">
        <f>(AP56-AC56)/12+AE56</f>
        <v>0.18167500000000003</v>
      </c>
      <c r="AG56" s="476">
        <f>(AP56-AC56)/12+AF56</f>
        <v>0.18590000000000004</v>
      </c>
      <c r="AH56" s="476">
        <f>(AP56-AC56)/12+AG56</f>
        <v>0.19012500000000004</v>
      </c>
      <c r="AI56" s="476">
        <f>(AP56-AC56)/12+AH56</f>
        <v>0.19435000000000005</v>
      </c>
      <c r="AJ56" s="476">
        <f>(AP56-AC56)/12+AI56</f>
        <v>0.19857500000000006</v>
      </c>
      <c r="AK56" s="476">
        <f>(AP56-AC56)/12+AJ56</f>
        <v>0.20280000000000006</v>
      </c>
      <c r="AL56" s="476">
        <f>(AP56-AC56)/12+AK56</f>
        <v>0.20702500000000007</v>
      </c>
      <c r="AM56" s="476">
        <f>(AP56-AC56)/12+AL56</f>
        <v>0.21125000000000008</v>
      </c>
      <c r="AN56" s="476">
        <f>(AP56-AC56)/12+AM56</f>
        <v>0.21547500000000008</v>
      </c>
      <c r="AO56" s="476">
        <f>(AP56-AC56)/12+AN56</f>
        <v>0.21970000000000009</v>
      </c>
      <c r="AP56" s="475">
        <f>AC56*(1+30%)</f>
        <v>0.21970000000000003</v>
      </c>
      <c r="AQ56" s="476">
        <f>(BC56-AP56)/12+AP56</f>
        <v>0.21970000000000003</v>
      </c>
      <c r="AR56" s="476">
        <f>(BC56-AP56)/12+AQ56</f>
        <v>0.21970000000000003</v>
      </c>
      <c r="AS56" s="476">
        <f>(BC56-AP56)/12+AR56</f>
        <v>0.21970000000000003</v>
      </c>
      <c r="AT56" s="476">
        <f>(BC56-AP56)/12+AS56</f>
        <v>0.21970000000000003</v>
      </c>
      <c r="AU56" s="476">
        <f>(BC56-AP56)/12+AT56</f>
        <v>0.21970000000000003</v>
      </c>
      <c r="AV56" s="476">
        <f>(BC56-AP56)/12+AU56</f>
        <v>0.21970000000000003</v>
      </c>
      <c r="AW56" s="476">
        <f>(BC56-AP56)/12+AV56</f>
        <v>0.21970000000000003</v>
      </c>
      <c r="AX56" s="476">
        <f>(BC56-AP56)/12+AW56</f>
        <v>0.21970000000000003</v>
      </c>
      <c r="AY56" s="476">
        <f>(BC56-AP56)/12+AX56</f>
        <v>0.21970000000000003</v>
      </c>
      <c r="AZ56" s="476">
        <f>(BC56-AP56)/12+AY56</f>
        <v>0.21970000000000003</v>
      </c>
      <c r="BA56" s="476">
        <f>(BC56-AP56)/12+AZ56</f>
        <v>0.21970000000000003</v>
      </c>
      <c r="BB56" s="476">
        <f>(BC56-AP56)/12+BA56</f>
        <v>0.21970000000000003</v>
      </c>
      <c r="BC56" s="475">
        <f>AP56</f>
        <v>0.21970000000000003</v>
      </c>
      <c r="BD56" s="476">
        <f>(BP56-BC56)/12+BC56</f>
        <v>0.21970000000000003</v>
      </c>
      <c r="BE56" s="476">
        <f>(BP56-BC56)/12+BD56</f>
        <v>0.21970000000000003</v>
      </c>
      <c r="BF56" s="476">
        <f>(BP56-BC56)/12+BE56</f>
        <v>0.21970000000000003</v>
      </c>
      <c r="BG56" s="476">
        <f>(BP56-BC56)/12+BF56</f>
        <v>0.21970000000000003</v>
      </c>
      <c r="BH56" s="476">
        <f>(BP56-BC56)/12+BG56</f>
        <v>0.21970000000000003</v>
      </c>
      <c r="BI56" s="476">
        <f>(BP56-BC56)/12+BH56</f>
        <v>0.21970000000000003</v>
      </c>
      <c r="BJ56" s="476">
        <f>(BP56-BC56)/12+BI56</f>
        <v>0.21970000000000003</v>
      </c>
      <c r="BK56" s="476">
        <f>(BP56-BC56)/12+BJ56</f>
        <v>0.21970000000000003</v>
      </c>
      <c r="BL56" s="476">
        <f>(BP56-BC56)/12+BK56</f>
        <v>0.21970000000000003</v>
      </c>
      <c r="BM56" s="476">
        <f>(BP56-BC56)/12+BL56</f>
        <v>0.21970000000000003</v>
      </c>
      <c r="BN56" s="476">
        <f>(BP56-BC56)/12+BM56</f>
        <v>0.21970000000000003</v>
      </c>
      <c r="BO56" s="476">
        <f>(BP56-BC56)/12+BN56</f>
        <v>0.21970000000000003</v>
      </c>
      <c r="BP56" s="475">
        <f>BC56</f>
        <v>0.21970000000000003</v>
      </c>
      <c r="CP56" s="17" t="s">
        <v>1165</v>
      </c>
      <c r="CQ56" s="295" t="s">
        <v>231</v>
      </c>
    </row>
    <row r="57" spans="1:95">
      <c r="A57" s="4" t="s">
        <v>738</v>
      </c>
      <c r="B57" s="408"/>
      <c r="P57" s="349"/>
      <c r="AC57" s="349"/>
      <c r="AP57" s="349"/>
      <c r="BC57" s="349"/>
      <c r="BP57" s="349"/>
      <c r="CQ57" s="408"/>
    </row>
    <row r="58" spans="1:95" s="3" customFormat="1" outlineLevel="1">
      <c r="A58" s="398" t="s">
        <v>735</v>
      </c>
      <c r="B58" s="12" t="s">
        <v>502</v>
      </c>
      <c r="C58" s="5"/>
      <c r="D58" s="3">
        <f t="shared" ref="D58:O58" si="3">SUM(D59:D62)</f>
        <v>0</v>
      </c>
      <c r="E58" s="3">
        <f t="shared" si="3"/>
        <v>0</v>
      </c>
      <c r="F58" s="3">
        <f t="shared" si="3"/>
        <v>0</v>
      </c>
      <c r="G58" s="3">
        <f t="shared" si="3"/>
        <v>0</v>
      </c>
      <c r="H58" s="3">
        <f t="shared" si="3"/>
        <v>0</v>
      </c>
      <c r="I58" s="3">
        <f t="shared" si="3"/>
        <v>0</v>
      </c>
      <c r="J58" s="3">
        <f t="shared" si="3"/>
        <v>0</v>
      </c>
      <c r="K58" s="3">
        <f t="shared" si="3"/>
        <v>0</v>
      </c>
      <c r="L58" s="3">
        <f t="shared" si="3"/>
        <v>48.500001220230004</v>
      </c>
      <c r="M58" s="3">
        <f t="shared" si="3"/>
        <v>54.036203153416579</v>
      </c>
      <c r="N58" s="3">
        <f t="shared" si="3"/>
        <v>59.573397047180741</v>
      </c>
      <c r="O58" s="3">
        <f t="shared" si="3"/>
        <v>62.34316884890017</v>
      </c>
      <c r="P58" s="397">
        <f t="shared" ref="P58:P63" si="4">SUM(D58:O58)</f>
        <v>224.45277026972749</v>
      </c>
      <c r="Q58" s="3">
        <f t="shared" ref="Q58:AB58" si="5">SUM(Q59:Q62)</f>
        <v>417.36727897828871</v>
      </c>
      <c r="R58" s="3">
        <f t="shared" si="5"/>
        <v>446.53700204366919</v>
      </c>
      <c r="S58" s="3">
        <f t="shared" si="5"/>
        <v>494.85777554200763</v>
      </c>
      <c r="T58" s="3">
        <f t="shared" si="5"/>
        <v>543.78278665142352</v>
      </c>
      <c r="U58" s="3">
        <f t="shared" si="5"/>
        <v>593.23827262822556</v>
      </c>
      <c r="V58" s="3">
        <f t="shared" si="5"/>
        <v>643.15078518123676</v>
      </c>
      <c r="W58" s="3">
        <f t="shared" si="5"/>
        <v>693.44734356302456</v>
      </c>
      <c r="X58" s="3">
        <f t="shared" si="5"/>
        <v>744.05558408745583</v>
      </c>
      <c r="Y58" s="3">
        <f t="shared" si="5"/>
        <v>794.90390564760332</v>
      </c>
      <c r="Z58" s="3">
        <f t="shared" si="5"/>
        <v>845.92161082917096</v>
      </c>
      <c r="AA58" s="3">
        <f t="shared" si="5"/>
        <v>897.03904223711811</v>
      </c>
      <c r="AB58" s="3">
        <f t="shared" si="5"/>
        <v>923.53833515529061</v>
      </c>
      <c r="AC58" s="397">
        <f t="shared" ref="AC58:AC63" si="6">SUM(Q58:AB58)</f>
        <v>8037.8397225445151</v>
      </c>
      <c r="AD58" s="3">
        <f t="shared" ref="AD58:AO58" si="7">SUM(AD59:AD62)</f>
        <v>1557.8480579269412</v>
      </c>
      <c r="AE58" s="3">
        <f t="shared" si="7"/>
        <v>1093.445529276401</v>
      </c>
      <c r="AF58" s="3">
        <f t="shared" si="7"/>
        <v>1158.7823329419234</v>
      </c>
      <c r="AG58" s="3">
        <f t="shared" si="7"/>
        <v>1224.7062730161813</v>
      </c>
      <c r="AH58" s="3">
        <f t="shared" si="7"/>
        <v>1291.1136542306563</v>
      </c>
      <c r="AI58" s="3">
        <f t="shared" si="7"/>
        <v>1357.9023149853701</v>
      </c>
      <c r="AJ58" s="3">
        <f t="shared" si="7"/>
        <v>1424.9718144439926</v>
      </c>
      <c r="AK58" s="3">
        <f t="shared" si="7"/>
        <v>1492.2236109724217</v>
      </c>
      <c r="AL58" s="3">
        <f t="shared" si="7"/>
        <v>1559.5612315304552</v>
      </c>
      <c r="AM58" s="3">
        <f t="shared" si="7"/>
        <v>1626.8904316681339</v>
      </c>
      <c r="AN58" s="3">
        <f t="shared" si="7"/>
        <v>1694.1193458207983</v>
      </c>
      <c r="AO58" s="3">
        <f t="shared" si="7"/>
        <v>1721.0374944497835</v>
      </c>
      <c r="AP58" s="397">
        <f t="shared" ref="AP58:AP63" si="8">SUM(AD58:AO58)</f>
        <v>17202.602091263059</v>
      </c>
      <c r="AQ58" s="3">
        <f t="shared" ref="AQ58:BB58" si="9">SUM(AQ59:AQ62)</f>
        <v>2899.8898066061638</v>
      </c>
      <c r="AR58" s="3">
        <f t="shared" si="9"/>
        <v>1684.2675837051684</v>
      </c>
      <c r="AS58" s="3">
        <f t="shared" si="9"/>
        <v>1742.2744065575432</v>
      </c>
      <c r="AT58" s="3">
        <f t="shared" si="9"/>
        <v>1800.8733682842667</v>
      </c>
      <c r="AU58" s="3">
        <f t="shared" si="9"/>
        <v>1859.9597583574882</v>
      </c>
      <c r="AV58" s="3">
        <f t="shared" si="9"/>
        <v>1919.4310961178662</v>
      </c>
      <c r="AW58" s="3">
        <f t="shared" si="9"/>
        <v>1979.1872900133358</v>
      </c>
      <c r="AX58" s="3">
        <f t="shared" si="9"/>
        <v>2039.1307859323615</v>
      </c>
      <c r="AY58" s="3">
        <f t="shared" si="9"/>
        <v>2099.1667044533797</v>
      </c>
      <c r="AZ58" s="3">
        <f t="shared" si="9"/>
        <v>2159.2029668783125</v>
      </c>
      <c r="BA58" s="3">
        <f t="shared" si="9"/>
        <v>2219.1504099639842</v>
      </c>
      <c r="BB58" s="3">
        <f t="shared" si="9"/>
        <v>2230.9807908783237</v>
      </c>
      <c r="BC58" s="397">
        <f t="shared" ref="BC58:BC63" si="10">SUM(AQ58:BB58)</f>
        <v>24633.514967748193</v>
      </c>
      <c r="BD58" s="3">
        <f t="shared" ref="BD58:BO58" si="11">SUM(BD59:BD62)</f>
        <v>4102.3963153880968</v>
      </c>
      <c r="BE58" s="3">
        <f t="shared" si="11"/>
        <v>2177.5574859717126</v>
      </c>
      <c r="BF58" s="3">
        <f t="shared" si="11"/>
        <v>2229.0569306637899</v>
      </c>
      <c r="BG58" s="3">
        <f t="shared" si="11"/>
        <v>2281.4289320042312</v>
      </c>
      <c r="BH58" s="3">
        <f t="shared" si="11"/>
        <v>2334.5548941065517</v>
      </c>
      <c r="BI58" s="3">
        <f t="shared" si="11"/>
        <v>2388.3191933414346</v>
      </c>
      <c r="BJ58" s="3">
        <f t="shared" si="11"/>
        <v>2442.6093270959864</v>
      </c>
      <c r="BK58" s="3">
        <f t="shared" si="11"/>
        <v>2497.3160489357751</v>
      </c>
      <c r="BL58" s="3">
        <f t="shared" si="11"/>
        <v>2552.3334901930862</v>
      </c>
      <c r="BM58" s="3">
        <f t="shared" si="11"/>
        <v>2607.5592680552481</v>
      </c>
      <c r="BN58" s="3">
        <f t="shared" si="11"/>
        <v>2662.8945802752905</v>
      </c>
      <c r="BO58" s="3">
        <f t="shared" si="11"/>
        <v>2660.2050465737884</v>
      </c>
      <c r="BP58" s="397">
        <f t="shared" ref="BP58:BP63" si="12">SUM(BD58:BO58)</f>
        <v>30936.231512604991</v>
      </c>
      <c r="CP58" s="398" t="s">
        <v>1064</v>
      </c>
      <c r="CQ58" s="12" t="s">
        <v>965</v>
      </c>
    </row>
    <row r="59" spans="1:95" s="440" customFormat="1" ht="10.199999999999999" outlineLevel="1">
      <c r="A59" s="442" t="s">
        <v>138</v>
      </c>
      <c r="B59" s="12" t="s">
        <v>502</v>
      </c>
      <c r="D59" s="373">
        <f>'Installment card_150 (indiv)'!D55</f>
        <v>0</v>
      </c>
      <c r="E59" s="373">
        <f>'Installment card_150 (indiv)'!E55</f>
        <v>0</v>
      </c>
      <c r="F59" s="373">
        <f>'Installment card_150 (indiv)'!F55</f>
        <v>0</v>
      </c>
      <c r="G59" s="373">
        <f>'Installment card_150 (indiv)'!G55</f>
        <v>0</v>
      </c>
      <c r="H59" s="373">
        <f>'Installment card_150 (indiv)'!H55</f>
        <v>0</v>
      </c>
      <c r="I59" s="373">
        <f>'Installment card_150 (indiv)'!I55</f>
        <v>0</v>
      </c>
      <c r="J59" s="373">
        <f>'Installment card_150 (indiv)'!J55</f>
        <v>0</v>
      </c>
      <c r="K59" s="373">
        <f>'Installment card_150 (indiv)'!K55</f>
        <v>0</v>
      </c>
      <c r="L59" s="373">
        <f>'Installment card_150 (indiv)'!L55</f>
        <v>4.8500001220230038</v>
      </c>
      <c r="M59" s="373">
        <f>'Installment card_150 (indiv)'!M55</f>
        <v>5.9869675522405394</v>
      </c>
      <c r="N59" s="373">
        <f>'Installment card_150 (indiv)'!N55</f>
        <v>7.1441166470483353</v>
      </c>
      <c r="O59" s="373">
        <f>'Installment card_150 (indiv)'!O55</f>
        <v>8.0430169132464293</v>
      </c>
      <c r="P59" s="458">
        <f t="shared" si="4"/>
        <v>26.024101234558309</v>
      </c>
      <c r="Q59" s="373">
        <f>'Installment card_150 (indiv)'!Q55</f>
        <v>44.151084121468386</v>
      </c>
      <c r="R59" s="373">
        <f>'Installment card_150 (indiv)'!R55</f>
        <v>51.895579467888496</v>
      </c>
      <c r="S59" s="373">
        <f>'Installment card_150 (indiv)'!S55</f>
        <v>61.521165939905728</v>
      </c>
      <c r="T59" s="373">
        <f>'Installment card_150 (indiv)'!T55</f>
        <v>71.406218499256113</v>
      </c>
      <c r="U59" s="373">
        <f>'Installment card_150 (indiv)'!U55</f>
        <v>81.534760410718533</v>
      </c>
      <c r="V59" s="373">
        <f>'Installment card_150 (indiv)'!V55</f>
        <v>91.890644830285254</v>
      </c>
      <c r="W59" s="373">
        <f>'Installment card_150 (indiv)'!W55</f>
        <v>102.45758996478551</v>
      </c>
      <c r="X59" s="373">
        <f>'Installment card_150 (indiv)'!X55</f>
        <v>113.21921413296313</v>
      </c>
      <c r="Y59" s="373">
        <f>'Installment card_150 (indiv)'!Y55</f>
        <v>124.15907062179359</v>
      </c>
      <c r="Z59" s="373">
        <f>'Installment card_150 (indiv)'!Z55</f>
        <v>135.26068223388722</v>
      </c>
      <c r="AA59" s="373">
        <f>'Installment card_150 (indiv)'!AA55</f>
        <v>146.5075754242859</v>
      </c>
      <c r="AB59" s="373">
        <f>'Installment card_150 (indiv)'!AB55</f>
        <v>155.41837607563178</v>
      </c>
      <c r="AC59" s="458">
        <f t="shared" si="6"/>
        <v>1179.4219617228696</v>
      </c>
      <c r="AD59" s="373">
        <f>'Installment card_150 (indiv)'!AD55</f>
        <v>224.92981674098428</v>
      </c>
      <c r="AE59" s="373">
        <f>'Installment card_150 (indiv)'!AE55</f>
        <v>191.71462019984054</v>
      </c>
      <c r="AF59" s="373">
        <f>'Installment card_150 (indiv)'!AF55</f>
        <v>204.83329559710029</v>
      </c>
      <c r="AG59" s="373">
        <f>'Installment card_150 (indiv)'!AG55</f>
        <v>218.2715707532623</v>
      </c>
      <c r="AH59" s="373">
        <f>'Installment card_150 (indiv)'!AH55</f>
        <v>232.00533966664841</v>
      </c>
      <c r="AI59" s="373">
        <f>'Installment card_150 (indiv)'!AI55</f>
        <v>246.0104975810863</v>
      </c>
      <c r="AJ59" s="373">
        <f>'Installment card_150 (indiv)'!AJ55</f>
        <v>260.2629902694971</v>
      </c>
      <c r="AK59" s="373">
        <f>'Installment card_150 (indiv)'!AK55</f>
        <v>274.73886226473496</v>
      </c>
      <c r="AL59" s="373">
        <f>'Installment card_150 (indiv)'!AL55</f>
        <v>289.41430390943708</v>
      </c>
      <c r="AM59" s="373">
        <f>'Installment card_150 (indiv)'!AM55</f>
        <v>304.26569710325646</v>
      </c>
      <c r="AN59" s="373">
        <f>'Installment card_150 (indiv)'!AN55</f>
        <v>319.26965963281998</v>
      </c>
      <c r="AO59" s="373">
        <f>'Installment card_150 (indiv)'!AO55</f>
        <v>330.39097465807367</v>
      </c>
      <c r="AP59" s="458">
        <f t="shared" si="8"/>
        <v>3096.1076283767416</v>
      </c>
      <c r="AQ59" s="373">
        <f>'Installment card_150 (indiv)'!AQ55</f>
        <v>456.35745306079997</v>
      </c>
      <c r="AR59" s="373">
        <f>'Installment card_150 (indiv)'!AR55</f>
        <v>356.41119661714316</v>
      </c>
      <c r="AS59" s="373">
        <f>'Installment card_150 (indiv)'!AS55</f>
        <v>367.48333795728411</v>
      </c>
      <c r="AT59" s="373">
        <f>'Installment card_150 (indiv)'!AT55</f>
        <v>378.89213392951291</v>
      </c>
      <c r="AU59" s="373">
        <f>'Installment card_150 (indiv)'!AU55</f>
        <v>390.61211740313979</v>
      </c>
      <c r="AV59" s="373">
        <f>'Installment card_150 (indiv)'!AV55</f>
        <v>402.61798032002122</v>
      </c>
      <c r="AW59" s="373">
        <f>'Installment card_150 (indiv)'!AW55</f>
        <v>414.8846215341905</v>
      </c>
      <c r="AX59" s="373">
        <f>'Installment card_150 (indiv)'!AX55</f>
        <v>427.38719293182857</v>
      </c>
      <c r="AY59" s="373">
        <f>'Installment card_150 (indiv)'!AY55</f>
        <v>440.10114373273501</v>
      </c>
      <c r="AZ59" s="373">
        <f>'Installment card_150 (indiv)'!AZ55</f>
        <v>453.00226288338035</v>
      </c>
      <c r="BA59" s="373">
        <f>'Installment card_150 (indiv)'!BA55</f>
        <v>466.06671946075568</v>
      </c>
      <c r="BB59" s="373">
        <f>'Installment card_150 (indiv)'!BB55</f>
        <v>474.47689117223666</v>
      </c>
      <c r="BC59" s="458">
        <f t="shared" si="10"/>
        <v>5028.2930510030283</v>
      </c>
      <c r="BD59" s="373">
        <f>'Installment card_150 (indiv)'!BD55</f>
        <v>668.41170728343855</v>
      </c>
      <c r="BE59" s="373">
        <f>'Installment card_150 (indiv)'!BE55</f>
        <v>504.68848398557731</v>
      </c>
      <c r="BF59" s="373">
        <f>'Installment card_150 (indiv)'!BF55</f>
        <v>513.15469070092422</v>
      </c>
      <c r="BG59" s="373">
        <f>'Installment card_150 (indiv)'!BG55</f>
        <v>522.06319716180928</v>
      </c>
      <c r="BH59" s="373">
        <f>'Installment card_150 (indiv)'!BH55</f>
        <v>531.38433379394849</v>
      </c>
      <c r="BI59" s="373">
        <f>'Installment card_150 (indiv)'!BI55</f>
        <v>541.08872165543937</v>
      </c>
      <c r="BJ59" s="373">
        <f>'Installment card_150 (indiv)'!BJ55</f>
        <v>551.14732358796994</v>
      </c>
      <c r="BK59" s="373">
        <f>'Installment card_150 (indiv)'!BK55</f>
        <v>561.53149290560543</v>
      </c>
      <c r="BL59" s="373">
        <f>'Installment card_150 (indiv)'!BL55</f>
        <v>572.2130195478552</v>
      </c>
      <c r="BM59" s="373">
        <f>'Installment card_150 (indiv)'!BM55</f>
        <v>583.16417363509026</v>
      </c>
      <c r="BN59" s="373">
        <f>'Installment card_150 (indiv)'!BN55</f>
        <v>594.35774637562429</v>
      </c>
      <c r="BO59" s="373">
        <f>'Installment card_150 (indiv)'!BO55</f>
        <v>599.9631642749232</v>
      </c>
      <c r="BP59" s="458">
        <f t="shared" si="12"/>
        <v>6743.1680549082048</v>
      </c>
      <c r="CP59" s="442" t="s">
        <v>1002</v>
      </c>
      <c r="CQ59" s="12" t="s">
        <v>965</v>
      </c>
    </row>
    <row r="60" spans="1:95" s="440" customFormat="1" ht="10.199999999999999" outlineLevel="1">
      <c r="A60" s="442" t="s">
        <v>142</v>
      </c>
      <c r="B60" s="12" t="s">
        <v>502</v>
      </c>
      <c r="D60" s="373">
        <f>'Installment card_150 (indiv)'!D56</f>
        <v>0</v>
      </c>
      <c r="E60" s="373">
        <f>'Installment card_150 (indiv)'!E56</f>
        <v>0</v>
      </c>
      <c r="F60" s="373">
        <f>'Installment card_150 (indiv)'!F56</f>
        <v>0</v>
      </c>
      <c r="G60" s="373">
        <f>'Installment card_150 (indiv)'!G56</f>
        <v>0</v>
      </c>
      <c r="H60" s="373">
        <f>'Installment card_150 (indiv)'!H56</f>
        <v>0</v>
      </c>
      <c r="I60" s="373">
        <f>'Installment card_150 (indiv)'!I56</f>
        <v>0</v>
      </c>
      <c r="J60" s="373">
        <f>'Installment card_150 (indiv)'!J56</f>
        <v>0</v>
      </c>
      <c r="K60" s="373">
        <f>'Installment card_150 (indiv)'!K56</f>
        <v>0</v>
      </c>
      <c r="L60" s="373">
        <f>'Installment card_150 (indiv)'!L56</f>
        <v>9.7000002440460005</v>
      </c>
      <c r="M60" s="373">
        <f>'Installment card_150 (indiv)'!M56</f>
        <v>11.11171286056587</v>
      </c>
      <c r="N60" s="373">
        <f>'Installment card_150 (indiv)'!N56</f>
        <v>12.534105711899516</v>
      </c>
      <c r="O60" s="373">
        <f>'Installment card_150 (indiv)'!O56</f>
        <v>13.412666579037644</v>
      </c>
      <c r="P60" s="458">
        <f t="shared" si="4"/>
        <v>46.75848539554903</v>
      </c>
      <c r="Q60" s="373">
        <f>'Installment card_150 (indiv)'!Q56</f>
        <v>84.733604771506521</v>
      </c>
      <c r="R60" s="373">
        <f>'Installment card_150 (indiv)'!R56</f>
        <v>93.087226537038376</v>
      </c>
      <c r="S60" s="373">
        <f>'Installment card_150 (indiv)'!S56</f>
        <v>105.25330516652923</v>
      </c>
      <c r="T60" s="373">
        <f>'Installment card_150 (indiv)'!T56</f>
        <v>117.64411946079206</v>
      </c>
      <c r="U60" s="373">
        <f>'Installment card_150 (indiv)'!U56</f>
        <v>130.24042794694873</v>
      </c>
      <c r="V60" s="373">
        <f>'Installment card_150 (indiv)'!V56</f>
        <v>143.0229468435187</v>
      </c>
      <c r="W60" s="373">
        <f>'Installment card_150 (indiv)'!W56</f>
        <v>155.97239103943437</v>
      </c>
      <c r="X60" s="373">
        <f>'Installment card_150 (indiv)'!X56</f>
        <v>169.06951449341071</v>
      </c>
      <c r="Y60" s="373">
        <f>'Installment card_150 (indiv)'!Y56</f>
        <v>182.29514993527005</v>
      </c>
      <c r="Z60" s="373">
        <f>'Installment card_150 (indiv)'!Z56</f>
        <v>195.63024775502402</v>
      </c>
      <c r="AA60" s="373">
        <f>'Installment card_150 (indiv)'!AA56</f>
        <v>209.05591397012518</v>
      </c>
      <c r="AB60" s="373">
        <f>'Installment card_150 (indiv)'!AB56</f>
        <v>217.62357146196592</v>
      </c>
      <c r="AC60" s="458">
        <f t="shared" si="6"/>
        <v>1803.6284193815636</v>
      </c>
      <c r="AD60" s="373">
        <f>'Installment card_150 (indiv)'!AD56</f>
        <v>347.65915540597371</v>
      </c>
      <c r="AE60" s="373">
        <f>'Installment card_150 (indiv)'!AE56</f>
        <v>261.68133496271037</v>
      </c>
      <c r="AF60" s="373">
        <f>'Installment card_150 (indiv)'!AF56</f>
        <v>278.18566769798542</v>
      </c>
      <c r="AG60" s="373">
        <f>'Installment card_150 (indiv)'!AG56</f>
        <v>294.94359460340144</v>
      </c>
      <c r="AH60" s="373">
        <f>'Installment card_150 (indiv)'!AH56</f>
        <v>311.92720701021813</v>
      </c>
      <c r="AI60" s="373">
        <f>'Installment card_150 (indiv)'!AI56</f>
        <v>329.10882358519422</v>
      </c>
      <c r="AJ60" s="373">
        <f>'Installment card_150 (indiv)'!AJ56</f>
        <v>346.46104370744047</v>
      </c>
      <c r="AK60" s="373">
        <f>'Installment card_150 (indiv)'!AK56</f>
        <v>363.95679901631649</v>
      </c>
      <c r="AL60" s="373">
        <f>'Installment card_150 (indiv)'!AL56</f>
        <v>381.56940300573189</v>
      </c>
      <c r="AM60" s="373">
        <f>'Installment card_150 (indiv)'!AM56</f>
        <v>399.27259854987602</v>
      </c>
      <c r="AN60" s="373">
        <f>'Installment card_150 (indiv)'!AN56</f>
        <v>417.0406032553081</v>
      </c>
      <c r="AO60" s="373">
        <f>'Installment card_150 (indiv)'!AO56</f>
        <v>426.82392590649124</v>
      </c>
      <c r="AP60" s="458">
        <f t="shared" si="8"/>
        <v>4158.6301567066475</v>
      </c>
      <c r="AQ60" s="373">
        <f>'Installment card_150 (indiv)'!AQ56</f>
        <v>666.81231412132843</v>
      </c>
      <c r="AR60" s="373">
        <f>'Installment card_150 (indiv)'!AR56</f>
        <v>434.97010575659402</v>
      </c>
      <c r="AS60" s="373">
        <f>'Installment card_150 (indiv)'!AS56</f>
        <v>449.32285542269915</v>
      </c>
      <c r="AT60" s="373">
        <f>'Installment card_150 (indiv)'!AT56</f>
        <v>463.93884027312475</v>
      </c>
      <c r="AU60" s="373">
        <f>'Installment card_150 (indiv)'!AU56</f>
        <v>478.78929115008924</v>
      </c>
      <c r="AV60" s="373">
        <f>'Installment card_150 (indiv)'!AV56</f>
        <v>493.84585151008821</v>
      </c>
      <c r="AW60" s="373">
        <f>'Installment card_150 (indiv)'!AW56</f>
        <v>509.08062592974716</v>
      </c>
      <c r="AX60" s="373">
        <f>'Installment card_150 (indiv)'!AX56</f>
        <v>524.46622610222721</v>
      </c>
      <c r="AY60" s="373">
        <f>'Installment card_150 (indiv)'!AY56</f>
        <v>539.9758142462224</v>
      </c>
      <c r="AZ60" s="373">
        <f>'Installment card_150 (indiv)'!AZ56</f>
        <v>555.58314386109964</v>
      </c>
      <c r="BA60" s="373">
        <f>'Installment card_150 (indiv)'!BA56</f>
        <v>571.26259777326936</v>
      </c>
      <c r="BB60" s="373">
        <f>'Installment card_150 (indiv)'!BB56</f>
        <v>577.4008037439678</v>
      </c>
      <c r="BC60" s="458">
        <f t="shared" si="10"/>
        <v>6265.448469890458</v>
      </c>
      <c r="BD60" s="373">
        <f>'Installment card_150 (indiv)'!BD56</f>
        <v>955.22958436696376</v>
      </c>
      <c r="BE60" s="373">
        <f>'Installment card_150 (indiv)'!BE56</f>
        <v>585.27315584972212</v>
      </c>
      <c r="BF60" s="373">
        <f>'Installment card_150 (indiv)'!BF56</f>
        <v>597.30393455171111</v>
      </c>
      <c r="BG60" s="373">
        <f>'Installment card_150 (indiv)'!BG56</f>
        <v>609.69453627445637</v>
      </c>
      <c r="BH60" s="373">
        <f>'Installment card_150 (indiv)'!BH56</f>
        <v>622.41194609757883</v>
      </c>
      <c r="BI60" s="373">
        <f>'Installment card_150 (indiv)'!BI56</f>
        <v>635.42374011081017</v>
      </c>
      <c r="BJ60" s="373">
        <f>'Installment card_150 (indiv)'!BJ56</f>
        <v>648.69813409936296</v>
      </c>
      <c r="BK60" s="373">
        <f>'Installment card_150 (indiv)'!BK56</f>
        <v>662.20402893431094</v>
      </c>
      <c r="BL60" s="373">
        <f>'Installment card_150 (indiv)'!BL56</f>
        <v>675.91105263319309</v>
      </c>
      <c r="BM60" s="373">
        <f>'Installment card_150 (indiv)'!BM56</f>
        <v>689.78959906943692</v>
      </c>
      <c r="BN60" s="373">
        <f>'Installment card_150 (indiv)'!BN56</f>
        <v>703.81086332219297</v>
      </c>
      <c r="BO60" s="373">
        <f>'Installment card_150 (indiv)'!BO56</f>
        <v>706.33902565093535</v>
      </c>
      <c r="BP60" s="458">
        <f t="shared" si="12"/>
        <v>8092.0896009606759</v>
      </c>
      <c r="CP60" s="442" t="s">
        <v>1003</v>
      </c>
      <c r="CQ60" s="12" t="s">
        <v>965</v>
      </c>
    </row>
    <row r="61" spans="1:95" s="440" customFormat="1" ht="10.199999999999999" outlineLevel="1">
      <c r="A61" s="442" t="s">
        <v>145</v>
      </c>
      <c r="B61" s="12" t="s">
        <v>502</v>
      </c>
      <c r="D61" s="373">
        <f>'Installment card_150 (indiv)'!D57</f>
        <v>0</v>
      </c>
      <c r="E61" s="373">
        <f>'Installment card_150 (indiv)'!E57</f>
        <v>0</v>
      </c>
      <c r="F61" s="373">
        <f>'Installment card_150 (indiv)'!F57</f>
        <v>0</v>
      </c>
      <c r="G61" s="373">
        <f>'Installment card_150 (indiv)'!G57</f>
        <v>0</v>
      </c>
      <c r="H61" s="373">
        <f>'Installment card_150 (indiv)'!H57</f>
        <v>0</v>
      </c>
      <c r="I61" s="373">
        <f>'Installment card_150 (indiv)'!I57</f>
        <v>0</v>
      </c>
      <c r="J61" s="373">
        <f>'Installment card_150 (indiv)'!J57</f>
        <v>0</v>
      </c>
      <c r="K61" s="373">
        <f>'Installment card_150 (indiv)'!K57</f>
        <v>0</v>
      </c>
      <c r="L61" s="373">
        <f>'Installment card_150 (indiv)'!L57</f>
        <v>9.7000002440460005</v>
      </c>
      <c r="M61" s="373">
        <f>'Installment card_150 (indiv)'!M57</f>
        <v>10.84226840934237</v>
      </c>
      <c r="N61" s="373">
        <f>'Installment card_150 (indiv)'!N57</f>
        <v>11.985940842462904</v>
      </c>
      <c r="O61" s="373">
        <f>'Installment card_150 (indiv)'!O57</f>
        <v>12.577239314207903</v>
      </c>
      <c r="P61" s="458">
        <f t="shared" si="4"/>
        <v>45.105448810059173</v>
      </c>
      <c r="Q61" s="373">
        <f>'Installment card_150 (indiv)'!Q57</f>
        <v>83.618428686684595</v>
      </c>
      <c r="R61" s="373">
        <f>'Installment card_150 (indiv)'!R57</f>
        <v>89.742247662432561</v>
      </c>
      <c r="S61" s="373">
        <f>'Installment card_150 (indiv)'!S57</f>
        <v>99.694234318628617</v>
      </c>
      <c r="T61" s="373">
        <f>'Installment card_150 (indiv)'!T57</f>
        <v>109.77902023025455</v>
      </c>
      <c r="U61" s="373">
        <f>'Installment card_150 (indiv)'!U57</f>
        <v>119.98133642367117</v>
      </c>
      <c r="V61" s="373">
        <f>'Installment card_150 (indiv)'!V57</f>
        <v>130.28596471319008</v>
      </c>
      <c r="W61" s="373">
        <f>'Installment card_150 (indiv)'!W57</f>
        <v>140.67776951126663</v>
      </c>
      <c r="X61" s="373">
        <f>'Installment card_150 (indiv)'!X57</f>
        <v>151.14172893949964</v>
      </c>
      <c r="Y61" s="373">
        <f>'Installment card_150 (indiv)'!Y57</f>
        <v>161.66296515142102</v>
      </c>
      <c r="Z61" s="373">
        <f>'Installment card_150 (indiv)'!Z57</f>
        <v>172.22677378228968</v>
      </c>
      <c r="AA61" s="373">
        <f>'Installment card_150 (indiv)'!AA57</f>
        <v>182.81865244561058</v>
      </c>
      <c r="AB61" s="373">
        <f>'Installment card_150 (indiv)'!AB57</f>
        <v>188.4944524965608</v>
      </c>
      <c r="AC61" s="458">
        <f t="shared" si="6"/>
        <v>1630.12357436151</v>
      </c>
      <c r="AD61" s="373">
        <f>'Installment card_150 (indiv)'!AD57</f>
        <v>315.72150600722546</v>
      </c>
      <c r="AE61" s="373">
        <f>'Installment card_150 (indiv)'!AE57</f>
        <v>223.6351145136571</v>
      </c>
      <c r="AF61" s="373">
        <f>'Installment card_150 (indiv)'!AF57</f>
        <v>237.09787910541834</v>
      </c>
      <c r="AG61" s="373">
        <f>'Installment card_150 (indiv)'!AG57</f>
        <v>250.69373619617556</v>
      </c>
      <c r="AH61" s="373">
        <f>'Installment card_150 (indiv)'!AH57</f>
        <v>264.40112190925635</v>
      </c>
      <c r="AI61" s="373">
        <f>'Installment card_150 (indiv)'!AI57</f>
        <v>278.19876996738867</v>
      </c>
      <c r="AJ61" s="373">
        <f>'Installment card_150 (indiv)'!AJ57</f>
        <v>292.06575094758028</v>
      </c>
      <c r="AK61" s="373">
        <f>'Installment card_150 (indiv)'!AK57</f>
        <v>305.98150979345621</v>
      </c>
      <c r="AL61" s="373">
        <f>'Installment card_150 (indiv)'!AL57</f>
        <v>319.92590150162505</v>
      </c>
      <c r="AM61" s="373">
        <f>'Installment card_150 (indiv)'!AM57</f>
        <v>333.87922490717733</v>
      </c>
      <c r="AN61" s="373">
        <f>'Installment card_150 (indiv)'!AN57</f>
        <v>347.82225450207983</v>
      </c>
      <c r="AO61" s="373">
        <f>'Installment card_150 (indiv)'!AO57</f>
        <v>353.71204359097385</v>
      </c>
      <c r="AP61" s="458">
        <f t="shared" si="8"/>
        <v>3523.1348129420139</v>
      </c>
      <c r="AQ61" s="373">
        <f>'Installment card_150 (indiv)'!AQ57</f>
        <v>589.96775412124384</v>
      </c>
      <c r="AR61" s="373">
        <f>'Installment card_150 (indiv)'!AR57</f>
        <v>348.14126591981477</v>
      </c>
      <c r="AS61" s="373">
        <f>'Installment card_150 (indiv)'!AS57</f>
        <v>360.05916151899038</v>
      </c>
      <c r="AT61" s="373">
        <f>'Installment card_150 (indiv)'!AT57</f>
        <v>372.1121441525305</v>
      </c>
      <c r="AU61" s="373">
        <f>'Installment card_150 (indiv)'!AU57</f>
        <v>384.27837125753013</v>
      </c>
      <c r="AV61" s="373">
        <f>'Installment card_150 (indiv)'!AV57</f>
        <v>396.53644240697759</v>
      </c>
      <c r="AW61" s="373">
        <f>'Installment card_150 (indiv)'!AW57</f>
        <v>408.86543307392418</v>
      </c>
      <c r="AX61" s="373">
        <f>'Installment card_150 (indiv)'!AX57</f>
        <v>421.2449261767801</v>
      </c>
      <c r="AY61" s="373">
        <f>'Installment card_150 (indiv)'!AY57</f>
        <v>433.65504136520758</v>
      </c>
      <c r="AZ61" s="373">
        <f>'Installment card_150 (indiv)'!AZ57</f>
        <v>446.0764620155802</v>
      </c>
      <c r="BA61" s="373">
        <f>'Installment card_150 (indiv)'!BA57</f>
        <v>458.4904599144437</v>
      </c>
      <c r="BB61" s="373">
        <f>'Installment card_150 (indiv)'!BB57</f>
        <v>461.29049793131009</v>
      </c>
      <c r="BC61" s="458">
        <f t="shared" si="10"/>
        <v>5080.7179598543325</v>
      </c>
      <c r="BD61" s="373">
        <f>'Installment card_150 (indiv)'!BD57</f>
        <v>835.9815124294912</v>
      </c>
      <c r="BE61" s="373">
        <f>'Installment card_150 (indiv)'!BE57</f>
        <v>452.74071456177523</v>
      </c>
      <c r="BF61" s="373">
        <f>'Installment card_150 (indiv)'!BF57</f>
        <v>463.23973241104466</v>
      </c>
      <c r="BG61" s="373">
        <f>'Installment card_150 (indiv)'!BG57</f>
        <v>473.93458063409344</v>
      </c>
      <c r="BH61" s="373">
        <f>'Installment card_150 (indiv)'!BH57</f>
        <v>484.80047063185464</v>
      </c>
      <c r="BI61" s="373">
        <f>'Installment card_150 (indiv)'!BI57</f>
        <v>495.81320786078925</v>
      </c>
      <c r="BJ61" s="373">
        <f>'Installment card_150 (indiv)'!BJ57</f>
        <v>506.949223762933</v>
      </c>
      <c r="BK61" s="373">
        <f>'Installment card_150 (indiv)'!BK57</f>
        <v>518.18560491027893</v>
      </c>
      <c r="BL61" s="373">
        <f>'Installment card_150 (indiv)'!BL57</f>
        <v>529.50011936365672</v>
      </c>
      <c r="BM61" s="373">
        <f>'Installment card_150 (indiv)'!BM57</f>
        <v>540.87124025670482</v>
      </c>
      <c r="BN61" s="373">
        <f>'Installment card_150 (indiv)'!BN57</f>
        <v>552.27816662561258</v>
      </c>
      <c r="BO61" s="373">
        <f>'Installment card_150 (indiv)'!BO57</f>
        <v>552.09299349502589</v>
      </c>
      <c r="BP61" s="458">
        <f t="shared" si="12"/>
        <v>6406.38756694326</v>
      </c>
      <c r="CP61" s="442" t="s">
        <v>1004</v>
      </c>
      <c r="CQ61" s="12" t="s">
        <v>965</v>
      </c>
    </row>
    <row r="62" spans="1:95" s="440" customFormat="1" ht="10.199999999999999" outlineLevel="1">
      <c r="A62" s="442" t="s">
        <v>620</v>
      </c>
      <c r="B62" s="12" t="s">
        <v>502</v>
      </c>
      <c r="D62" s="373">
        <f>'Installment card_150 (indiv)'!D58</f>
        <v>0</v>
      </c>
      <c r="E62" s="373">
        <f>'Installment card_150 (indiv)'!E58</f>
        <v>0</v>
      </c>
      <c r="F62" s="373">
        <f>'Installment card_150 (indiv)'!F58</f>
        <v>0</v>
      </c>
      <c r="G62" s="373">
        <f>'Installment card_150 (indiv)'!G58</f>
        <v>0</v>
      </c>
      <c r="H62" s="373">
        <f>'Installment card_150 (indiv)'!H58</f>
        <v>0</v>
      </c>
      <c r="I62" s="373">
        <f>'Installment card_150 (indiv)'!I58</f>
        <v>0</v>
      </c>
      <c r="J62" s="373">
        <f>'Installment card_150 (indiv)'!J58</f>
        <v>0</v>
      </c>
      <c r="K62" s="373">
        <f>'Installment card_150 (indiv)'!K58</f>
        <v>0</v>
      </c>
      <c r="L62" s="373">
        <f>'Installment card_150 (indiv)'!L58</f>
        <v>24.250000610114999</v>
      </c>
      <c r="M62" s="373">
        <f>'Installment card_150 (indiv)'!M58</f>
        <v>26.095254331267796</v>
      </c>
      <c r="N62" s="373">
        <f>'Installment card_150 (indiv)'!N58</f>
        <v>27.90923384576999</v>
      </c>
      <c r="O62" s="373">
        <f>'Installment card_150 (indiv)'!O58</f>
        <v>28.310246042408195</v>
      </c>
      <c r="P62" s="458">
        <f t="shared" si="4"/>
        <v>106.56473482956098</v>
      </c>
      <c r="Q62" s="373">
        <f>'Installment card_150 (indiv)'!Q58</f>
        <v>204.86416139862922</v>
      </c>
      <c r="R62" s="373">
        <f>'Installment card_150 (indiv)'!R58</f>
        <v>211.81194837630974</v>
      </c>
      <c r="S62" s="373">
        <f>'Installment card_150 (indiv)'!S58</f>
        <v>228.38907011694405</v>
      </c>
      <c r="T62" s="373">
        <f>'Installment card_150 (indiv)'!T58</f>
        <v>244.95342846112075</v>
      </c>
      <c r="U62" s="373">
        <f>'Installment card_150 (indiv)'!U58</f>
        <v>261.48174784688706</v>
      </c>
      <c r="V62" s="373">
        <f>'Installment card_150 (indiv)'!V58</f>
        <v>277.95122879424275</v>
      </c>
      <c r="W62" s="373">
        <f>'Installment card_150 (indiv)'!W58</f>
        <v>294.33959304753802</v>
      </c>
      <c r="X62" s="373">
        <f>'Installment card_150 (indiv)'!X58</f>
        <v>310.62512652158244</v>
      </c>
      <c r="Y62" s="373">
        <f>'Installment card_150 (indiv)'!Y58</f>
        <v>326.78671993911871</v>
      </c>
      <c r="Z62" s="373">
        <f>'Installment card_150 (indiv)'!Z58</f>
        <v>342.80390705797004</v>
      </c>
      <c r="AA62" s="373">
        <f>'Installment card_150 (indiv)'!AA58</f>
        <v>358.65690039709642</v>
      </c>
      <c r="AB62" s="373">
        <f>'Installment card_150 (indiv)'!AB58</f>
        <v>362.00193512113208</v>
      </c>
      <c r="AC62" s="458">
        <f t="shared" si="6"/>
        <v>3424.6657670785708</v>
      </c>
      <c r="AD62" s="373">
        <f>'Installment card_150 (indiv)'!AD58</f>
        <v>669.53757977275768</v>
      </c>
      <c r="AE62" s="373">
        <f>'Installment card_150 (indiv)'!AE58</f>
        <v>416.41445960019303</v>
      </c>
      <c r="AF62" s="373">
        <f>'Installment card_150 (indiv)'!AF58</f>
        <v>438.66549054141933</v>
      </c>
      <c r="AG62" s="373">
        <f>'Installment card_150 (indiv)'!AG58</f>
        <v>460.7973714633419</v>
      </c>
      <c r="AH62" s="373">
        <f>'Installment card_150 (indiv)'!AH58</f>
        <v>482.77998564453321</v>
      </c>
      <c r="AI62" s="373">
        <f>'Installment card_150 (indiv)'!AI58</f>
        <v>504.58422385170081</v>
      </c>
      <c r="AJ62" s="373">
        <f>'Installment card_150 (indiv)'!AJ58</f>
        <v>526.18202951947467</v>
      </c>
      <c r="AK62" s="373">
        <f>'Installment card_150 (indiv)'!AK58</f>
        <v>547.54643989791407</v>
      </c>
      <c r="AL62" s="373">
        <f>'Installment card_150 (indiv)'!AL58</f>
        <v>568.65162311366123</v>
      </c>
      <c r="AM62" s="373">
        <f>'Installment card_150 (indiv)'!AM58</f>
        <v>589.47291110782407</v>
      </c>
      <c r="AN62" s="373">
        <f>'Installment card_150 (indiv)'!AN58</f>
        <v>609.98682843059032</v>
      </c>
      <c r="AO62" s="373">
        <f>'Installment card_150 (indiv)'!AO58</f>
        <v>610.1105502942446</v>
      </c>
      <c r="AP62" s="458">
        <f t="shared" si="8"/>
        <v>6424.7294932376553</v>
      </c>
      <c r="AQ62" s="373">
        <f>'Installment card_150 (indiv)'!AQ58</f>
        <v>1186.7522853027917</v>
      </c>
      <c r="AR62" s="373">
        <f>'Installment card_150 (indiv)'!AR58</f>
        <v>544.74501541161635</v>
      </c>
      <c r="AS62" s="373">
        <f>'Installment card_150 (indiv)'!AS58</f>
        <v>565.40905165856952</v>
      </c>
      <c r="AT62" s="373">
        <f>'Installment card_150 (indiv)'!AT58</f>
        <v>585.93024992909841</v>
      </c>
      <c r="AU62" s="373">
        <f>'Installment card_150 (indiv)'!AU58</f>
        <v>606.27997854672913</v>
      </c>
      <c r="AV62" s="373">
        <f>'Installment card_150 (indiv)'!AV58</f>
        <v>626.43082188077904</v>
      </c>
      <c r="AW62" s="373">
        <f>'Installment card_150 (indiv)'!AW58</f>
        <v>646.35660947547399</v>
      </c>
      <c r="AX62" s="373">
        <f>'Installment card_150 (indiv)'!AX58</f>
        <v>666.03244072152563</v>
      </c>
      <c r="AY62" s="373">
        <f>'Installment card_150 (indiv)'!AY58</f>
        <v>685.43470510921452</v>
      </c>
      <c r="AZ62" s="373">
        <f>'Installment card_150 (indiv)'!AZ58</f>
        <v>704.54109811825231</v>
      </c>
      <c r="BA62" s="373">
        <f>'Installment card_150 (indiv)'!BA58</f>
        <v>723.33063281551551</v>
      </c>
      <c r="BB62" s="373">
        <f>'Installment card_150 (indiv)'!BB58</f>
        <v>717.81259803080923</v>
      </c>
      <c r="BC62" s="458">
        <f t="shared" si="10"/>
        <v>8259.0554870003762</v>
      </c>
      <c r="BD62" s="373">
        <f>'Installment card_150 (indiv)'!BD58</f>
        <v>1642.7735113082038</v>
      </c>
      <c r="BE62" s="373">
        <f>'Installment card_150 (indiv)'!BE58</f>
        <v>634.85513157463811</v>
      </c>
      <c r="BF62" s="373">
        <f>'Installment card_150 (indiv)'!BF58</f>
        <v>655.3585730001098</v>
      </c>
      <c r="BG62" s="373">
        <f>'Installment card_150 (indiv)'!BG58</f>
        <v>675.73661793387214</v>
      </c>
      <c r="BH62" s="373">
        <f>'Installment card_150 (indiv)'!BH58</f>
        <v>695.95814358316966</v>
      </c>
      <c r="BI62" s="373">
        <f>'Installment card_150 (indiv)'!BI58</f>
        <v>715.99352371439568</v>
      </c>
      <c r="BJ62" s="373">
        <f>'Installment card_150 (indiv)'!BJ58</f>
        <v>735.81464564572059</v>
      </c>
      <c r="BK62" s="373">
        <f>'Installment card_150 (indiv)'!BK58</f>
        <v>755.39492218557962</v>
      </c>
      <c r="BL62" s="373">
        <f>'Installment card_150 (indiv)'!BL58</f>
        <v>774.70929864838115</v>
      </c>
      <c r="BM62" s="373">
        <f>'Installment card_150 (indiv)'!BM58</f>
        <v>793.73425509401613</v>
      </c>
      <c r="BN62" s="373">
        <f>'Installment card_150 (indiv)'!BN58</f>
        <v>812.44780395186035</v>
      </c>
      <c r="BO62" s="373">
        <f>'Installment card_150 (indiv)'!BO58</f>
        <v>801.80986315290409</v>
      </c>
      <c r="BP62" s="458">
        <f t="shared" si="12"/>
        <v>9694.5862897928509</v>
      </c>
      <c r="CP62" s="442" t="s">
        <v>1005</v>
      </c>
      <c r="CQ62" s="12" t="s">
        <v>965</v>
      </c>
    </row>
    <row r="63" spans="1:95" s="60" customFormat="1" ht="15.6">
      <c r="A63" s="60" t="s">
        <v>734</v>
      </c>
      <c r="B63" s="402" t="s">
        <v>502</v>
      </c>
      <c r="D63" s="60">
        <f t="shared" ref="D63:O63" si="13">D59*D56*$B$53+D60*D56*$D$53+D61*D56*$F$53+D62*D56*$H$53</f>
        <v>0</v>
      </c>
      <c r="E63" s="60">
        <f t="shared" si="13"/>
        <v>0</v>
      </c>
      <c r="F63" s="60">
        <f t="shared" si="13"/>
        <v>0</v>
      </c>
      <c r="G63" s="60">
        <f t="shared" si="13"/>
        <v>0</v>
      </c>
      <c r="H63" s="60">
        <f t="shared" si="13"/>
        <v>0</v>
      </c>
      <c r="I63" s="60">
        <f t="shared" si="13"/>
        <v>0</v>
      </c>
      <c r="J63" s="60">
        <f t="shared" si="13"/>
        <v>0</v>
      </c>
      <c r="K63" s="60">
        <f t="shared" si="13"/>
        <v>0</v>
      </c>
      <c r="L63" s="60">
        <f t="shared" si="13"/>
        <v>0.49470264963391253</v>
      </c>
      <c r="M63" s="60">
        <f t="shared" si="13"/>
        <v>0.56107327386098871</v>
      </c>
      <c r="N63" s="60">
        <f t="shared" si="13"/>
        <v>0.62965810331152205</v>
      </c>
      <c r="O63" s="60">
        <f t="shared" si="13"/>
        <v>0.67049196209996487</v>
      </c>
      <c r="P63" s="372">
        <f t="shared" si="4"/>
        <v>2.3559259889063879</v>
      </c>
      <c r="Q63" s="60">
        <f t="shared" ref="Q63:AB63" si="14">Q59*Q56*$B$53+Q60*Q56*$D$53+Q61*Q56*$F$53+Q62*Q56*$H$53</f>
        <v>4.6248127870232789</v>
      </c>
      <c r="R63" s="60">
        <f t="shared" si="14"/>
        <v>5.0569737360119813</v>
      </c>
      <c r="S63" s="60">
        <f t="shared" si="14"/>
        <v>5.727279230329879</v>
      </c>
      <c r="T63" s="60">
        <f t="shared" si="14"/>
        <v>6.4298302648527681</v>
      </c>
      <c r="U63" s="60">
        <f t="shared" si="14"/>
        <v>7.1642065128558681</v>
      </c>
      <c r="V63" s="60">
        <f t="shared" si="14"/>
        <v>7.9299143398228775</v>
      </c>
      <c r="W63" s="60">
        <f t="shared" si="14"/>
        <v>8.7263891805568008</v>
      </c>
      <c r="X63" s="60">
        <f t="shared" si="14"/>
        <v>9.5529981105437614</v>
      </c>
      <c r="Y63" s="60">
        <f t="shared" si="14"/>
        <v>10.409042599230144</v>
      </c>
      <c r="Z63" s="60">
        <f t="shared" si="14"/>
        <v>11.293761432268067</v>
      </c>
      <c r="AA63" s="60">
        <f t="shared" si="14"/>
        <v>12.206333789248273</v>
      </c>
      <c r="AB63" s="60">
        <f t="shared" si="14"/>
        <v>12.799018583726628</v>
      </c>
      <c r="AC63" s="372">
        <f t="shared" si="6"/>
        <v>101.92056056647033</v>
      </c>
      <c r="AD63" s="60">
        <f t="shared" ref="AD63:AO63" si="15">AD59*AD56*$B$53+AD60*AD56*$D$53+AD61*AD56*$F$53+AD62*AD56*$H$53</f>
        <v>22.248631112496874</v>
      </c>
      <c r="AE63" s="60">
        <f t="shared" si="15"/>
        <v>15.886134966459565</v>
      </c>
      <c r="AF63" s="60">
        <f t="shared" si="15"/>
        <v>17.230640885764252</v>
      </c>
      <c r="AG63" s="60">
        <f t="shared" si="15"/>
        <v>18.628281555286343</v>
      </c>
      <c r="AH63" s="60">
        <f t="shared" si="15"/>
        <v>20.078022201993026</v>
      </c>
      <c r="AI63" s="60">
        <f t="shared" si="15"/>
        <v>21.578711788446178</v>
      </c>
      <c r="AJ63" s="60">
        <f t="shared" si="15"/>
        <v>23.129088751228952</v>
      </c>
      <c r="AK63" s="60">
        <f t="shared" si="15"/>
        <v>24.727786974493657</v>
      </c>
      <c r="AL63" s="60">
        <f t="shared" si="15"/>
        <v>26.373341971027465</v>
      </c>
      <c r="AM63" s="60">
        <f t="shared" si="15"/>
        <v>28.064197242918382</v>
      </c>
      <c r="AN63" s="60">
        <f t="shared" si="15"/>
        <v>29.798710793728226</v>
      </c>
      <c r="AO63" s="60">
        <f t="shared" si="15"/>
        <v>30.841206404815708</v>
      </c>
      <c r="AP63" s="372">
        <f t="shared" si="8"/>
        <v>278.58475464865859</v>
      </c>
      <c r="AQ63" s="60">
        <f t="shared" ref="AQ63:BB63" si="16">AQ59*AQ56*$B$53+AQ60*AQ56*$D$53+AQ61*AQ56*$F$53+AQ62*AQ56*$H$53</f>
        <v>52.37371796164549</v>
      </c>
      <c r="AR63" s="60">
        <f t="shared" si="16"/>
        <v>30.048000622620599</v>
      </c>
      <c r="AS63" s="60">
        <f t="shared" si="16"/>
        <v>31.087748072077762</v>
      </c>
      <c r="AT63" s="60">
        <f t="shared" si="16"/>
        <v>32.137201533441782</v>
      </c>
      <c r="AU63" s="60">
        <f t="shared" si="16"/>
        <v>33.194506362854732</v>
      </c>
      <c r="AV63" s="60">
        <f t="shared" si="16"/>
        <v>34.25784896798578</v>
      </c>
      <c r="AW63" s="60">
        <f t="shared" si="16"/>
        <v>35.325459591501158</v>
      </c>
      <c r="AX63" s="60">
        <f t="shared" si="16"/>
        <v>36.395614897588047</v>
      </c>
      <c r="AY63" s="60">
        <f t="shared" si="16"/>
        <v>37.466640358599648</v>
      </c>
      <c r="AZ63" s="60">
        <f t="shared" si="16"/>
        <v>38.536912439716076</v>
      </c>
      <c r="BA63" s="60">
        <f t="shared" si="16"/>
        <v>39.604860580337451</v>
      </c>
      <c r="BB63" s="60">
        <f t="shared" si="16"/>
        <v>39.791940900012712</v>
      </c>
      <c r="BC63" s="372">
        <f t="shared" si="10"/>
        <v>440.22045228838124</v>
      </c>
      <c r="BD63" s="60">
        <f t="shared" ref="BD63:BO63" si="17">BD59*BD56*$B$53+BD60*BD56*$D$53+BD61*BD56*$F$53+BD62*BD56*$H$53</f>
        <v>73.999075958589628</v>
      </c>
      <c r="BE63" s="60">
        <f t="shared" si="17"/>
        <v>38.6703111569188</v>
      </c>
      <c r="BF63" s="60">
        <f t="shared" si="17"/>
        <v>39.598953109504208</v>
      </c>
      <c r="BG63" s="60">
        <f t="shared" si="17"/>
        <v>40.542115861346652</v>
      </c>
      <c r="BH63" s="60">
        <f t="shared" si="17"/>
        <v>41.497702180054752</v>
      </c>
      <c r="BI63" s="60">
        <f t="shared" si="17"/>
        <v>42.463669232945556</v>
      </c>
      <c r="BJ63" s="60">
        <f t="shared" si="17"/>
        <v>43.438031161110104</v>
      </c>
      <c r="BK63" s="60">
        <f t="shared" si="17"/>
        <v>44.418861409214912</v>
      </c>
      <c r="BL63" s="60">
        <f t="shared" si="17"/>
        <v>45.40429481177523</v>
      </c>
      <c r="BM63" s="60">
        <f t="shared" si="17"/>
        <v>46.392529437532268</v>
      </c>
      <c r="BN63" s="60">
        <f t="shared" si="17"/>
        <v>47.381828194426639</v>
      </c>
      <c r="BO63" s="60">
        <f t="shared" si="17"/>
        <v>47.30878021434426</v>
      </c>
      <c r="BP63" s="372">
        <f t="shared" si="12"/>
        <v>551.11615272776294</v>
      </c>
      <c r="CP63" s="60" t="s">
        <v>1166</v>
      </c>
      <c r="CQ63" s="402" t="s">
        <v>965</v>
      </c>
    </row>
    <row r="64" spans="1:95">
      <c r="B64" s="408"/>
      <c r="P64" s="349"/>
      <c r="AC64" s="349"/>
      <c r="AP64" s="349"/>
      <c r="BC64" s="349"/>
      <c r="BP64" s="349"/>
      <c r="CQ64" s="408"/>
    </row>
    <row r="65" spans="1:95" s="17" customFormat="1" ht="15.6">
      <c r="A65" s="17" t="s">
        <v>737</v>
      </c>
      <c r="B65" s="295" t="s">
        <v>231</v>
      </c>
      <c r="C65" s="477">
        <v>0.1</v>
      </c>
      <c r="D65" s="476">
        <f>(P65-C65)/12+C65</f>
        <v>0.10250000000000001</v>
      </c>
      <c r="E65" s="476">
        <f>(P65-C65)/12+D65</f>
        <v>0.10500000000000001</v>
      </c>
      <c r="F65" s="476">
        <f>(P65-C65)/12+E65</f>
        <v>0.10750000000000001</v>
      </c>
      <c r="G65" s="476">
        <f>(P65-C65)/12+F65</f>
        <v>0.11000000000000001</v>
      </c>
      <c r="H65" s="476">
        <f>(P65-C65)/12+G65</f>
        <v>0.11250000000000002</v>
      </c>
      <c r="I65" s="476">
        <f>(P65-C65)/12+H65</f>
        <v>0.11500000000000002</v>
      </c>
      <c r="J65" s="476">
        <f>(P65-C65)/12+I65</f>
        <v>0.11750000000000002</v>
      </c>
      <c r="K65" s="476">
        <f>(P65-C65)/12+J65</f>
        <v>0.12000000000000002</v>
      </c>
      <c r="L65" s="476">
        <f>(P65-C65)/12+K65</f>
        <v>0.12250000000000003</v>
      </c>
      <c r="M65" s="476">
        <f>(P65-C65)/12+L65</f>
        <v>0.12500000000000003</v>
      </c>
      <c r="N65" s="476">
        <f>(P65-C65)/12+M65</f>
        <v>0.12750000000000003</v>
      </c>
      <c r="O65" s="476">
        <f>(P65-C65)/12+N65</f>
        <v>0.13000000000000003</v>
      </c>
      <c r="P65" s="475">
        <f>C65*(1+30%)</f>
        <v>0.13</v>
      </c>
      <c r="Q65" s="476">
        <f>(AC65-P65)/12+P65</f>
        <v>0.13325000000000001</v>
      </c>
      <c r="R65" s="476">
        <f>(AC65-P65)/12+Q65</f>
        <v>0.13650000000000001</v>
      </c>
      <c r="S65" s="476">
        <f>(AC65-P65)/12+R65</f>
        <v>0.13975000000000001</v>
      </c>
      <c r="T65" s="476">
        <f>(AC65-P65)/12+S65</f>
        <v>0.14300000000000002</v>
      </c>
      <c r="U65" s="476">
        <f>(AC65-P65)/12+T65</f>
        <v>0.14625000000000002</v>
      </c>
      <c r="V65" s="476">
        <f>(AC65-P65)/12+U65</f>
        <v>0.14950000000000002</v>
      </c>
      <c r="W65" s="476">
        <f>(AC65-P65)/12+V65</f>
        <v>0.15275000000000002</v>
      </c>
      <c r="X65" s="476">
        <f>(AC65-P65)/12+W65</f>
        <v>0.15600000000000003</v>
      </c>
      <c r="Y65" s="476">
        <f>(AC65-P65)/12+X65</f>
        <v>0.15925000000000003</v>
      </c>
      <c r="Z65" s="476">
        <f>(AC65-P65)/12+Y65</f>
        <v>0.16250000000000003</v>
      </c>
      <c r="AA65" s="476">
        <f>(AC65-P65)/12+Z65</f>
        <v>0.16575000000000004</v>
      </c>
      <c r="AB65" s="476">
        <f>(AC65-P65)/12+AA65</f>
        <v>0.16900000000000004</v>
      </c>
      <c r="AC65" s="475">
        <f>P65*(1+30%)</f>
        <v>0.16900000000000001</v>
      </c>
      <c r="AD65" s="476">
        <f>(AP65-AC65)/12+AC65</f>
        <v>0.17322500000000002</v>
      </c>
      <c r="AE65" s="476">
        <f>(AP65-AC65)/12+AD65</f>
        <v>0.17745000000000002</v>
      </c>
      <c r="AF65" s="476">
        <f>(AP65-AC65)/12+AE65</f>
        <v>0.18167500000000003</v>
      </c>
      <c r="AG65" s="476">
        <f>(AP65-AC65)/12+AF65</f>
        <v>0.18590000000000004</v>
      </c>
      <c r="AH65" s="476">
        <f>(AP65-AC65)/12+AG65</f>
        <v>0.19012500000000004</v>
      </c>
      <c r="AI65" s="476">
        <f>(AP65-AC65)/12+AH65</f>
        <v>0.19435000000000005</v>
      </c>
      <c r="AJ65" s="476">
        <f>(AP65-AC65)/12+AI65</f>
        <v>0.19857500000000006</v>
      </c>
      <c r="AK65" s="476">
        <f>(AP65-AC65)/12+AJ65</f>
        <v>0.20280000000000006</v>
      </c>
      <c r="AL65" s="476">
        <f>(AP65-AC65)/12+AK65</f>
        <v>0.20702500000000007</v>
      </c>
      <c r="AM65" s="476">
        <f>(AP65-AC65)/12+AL65</f>
        <v>0.21125000000000008</v>
      </c>
      <c r="AN65" s="476">
        <f>(AP65-AC65)/12+AM65</f>
        <v>0.21547500000000008</v>
      </c>
      <c r="AO65" s="476">
        <f>(AP65-AC65)/12+AN65</f>
        <v>0.21970000000000009</v>
      </c>
      <c r="AP65" s="475">
        <f>AC65*(1+30%)</f>
        <v>0.21970000000000003</v>
      </c>
      <c r="AQ65" s="476">
        <f>(BC65-AP65)/12+AP65</f>
        <v>0.21970000000000003</v>
      </c>
      <c r="AR65" s="476">
        <f>(BC65-AP65)/12+AQ65</f>
        <v>0.21970000000000003</v>
      </c>
      <c r="AS65" s="476">
        <f>(BC65-AP65)/12+AR65</f>
        <v>0.21970000000000003</v>
      </c>
      <c r="AT65" s="476">
        <f>(BC65-AP65)/12+AS65</f>
        <v>0.21970000000000003</v>
      </c>
      <c r="AU65" s="476">
        <f>(BC65-AP65)/12+AT65</f>
        <v>0.21970000000000003</v>
      </c>
      <c r="AV65" s="476">
        <f>(BC65-AP65)/12+AU65</f>
        <v>0.21970000000000003</v>
      </c>
      <c r="AW65" s="476">
        <f>(BC65-AP65)/12+AV65</f>
        <v>0.21970000000000003</v>
      </c>
      <c r="AX65" s="476">
        <f>(BC65-AP65)/12+AW65</f>
        <v>0.21970000000000003</v>
      </c>
      <c r="AY65" s="476">
        <f>(BC65-AP65)/12+AX65</f>
        <v>0.21970000000000003</v>
      </c>
      <c r="AZ65" s="476">
        <f>(BC65-AP65)/12+AY65</f>
        <v>0.21970000000000003</v>
      </c>
      <c r="BA65" s="476">
        <f>(BC65-AP65)/12+AZ65</f>
        <v>0.21970000000000003</v>
      </c>
      <c r="BB65" s="476">
        <f>(BC65-AP65)/12+BA65</f>
        <v>0.21970000000000003</v>
      </c>
      <c r="BC65" s="475">
        <f>AP65</f>
        <v>0.21970000000000003</v>
      </c>
      <c r="BD65" s="476">
        <f>(BP65-BC65)/12+BC65</f>
        <v>0.21970000000000003</v>
      </c>
      <c r="BE65" s="476">
        <f>(BP65-BC65)/12+BD65</f>
        <v>0.21970000000000003</v>
      </c>
      <c r="BF65" s="476">
        <f>(BP65-BC65)/12+BE65</f>
        <v>0.21970000000000003</v>
      </c>
      <c r="BG65" s="476">
        <f>(BP65-BC65)/12+BF65</f>
        <v>0.21970000000000003</v>
      </c>
      <c r="BH65" s="476">
        <f>(BP65-BC65)/12+BG65</f>
        <v>0.21970000000000003</v>
      </c>
      <c r="BI65" s="476">
        <f>(BP65-BC65)/12+BH65</f>
        <v>0.21970000000000003</v>
      </c>
      <c r="BJ65" s="476">
        <f>(BP65-BC65)/12+BI65</f>
        <v>0.21970000000000003</v>
      </c>
      <c r="BK65" s="476">
        <f>(BP65-BC65)/12+BJ65</f>
        <v>0.21970000000000003</v>
      </c>
      <c r="BL65" s="476">
        <f>(BP65-BC65)/12+BK65</f>
        <v>0.21970000000000003</v>
      </c>
      <c r="BM65" s="476">
        <f>(BP65-BC65)/12+BL65</f>
        <v>0.21970000000000003</v>
      </c>
      <c r="BN65" s="476">
        <f>(BP65-BC65)/12+BM65</f>
        <v>0.21970000000000003</v>
      </c>
      <c r="BO65" s="476">
        <f>(BP65-BC65)/12+BN65</f>
        <v>0.21970000000000003</v>
      </c>
      <c r="BP65" s="475">
        <f>BC65</f>
        <v>0.21970000000000003</v>
      </c>
      <c r="CP65" s="17" t="s">
        <v>1169</v>
      </c>
      <c r="CQ65" s="295" t="s">
        <v>231</v>
      </c>
    </row>
    <row r="66" spans="1:95">
      <c r="A66" s="4" t="s">
        <v>736</v>
      </c>
      <c r="B66" s="408"/>
      <c r="P66" s="349"/>
      <c r="AC66" s="349"/>
      <c r="AP66" s="349"/>
      <c r="BC66" s="349"/>
      <c r="BP66" s="349"/>
      <c r="CQ66" s="408"/>
    </row>
    <row r="67" spans="1:95" s="3" customFormat="1" outlineLevel="1">
      <c r="A67" s="398" t="s">
        <v>735</v>
      </c>
      <c r="B67" s="12" t="s">
        <v>502</v>
      </c>
      <c r="C67" s="5"/>
      <c r="D67" s="3">
        <f t="shared" ref="D67:O67" si="18">SUM(D68:D71)</f>
        <v>0</v>
      </c>
      <c r="E67" s="3">
        <f t="shared" si="18"/>
        <v>0</v>
      </c>
      <c r="F67" s="3">
        <f t="shared" si="18"/>
        <v>0</v>
      </c>
      <c r="G67" s="3">
        <f t="shared" si="18"/>
        <v>0</v>
      </c>
      <c r="H67" s="3">
        <f t="shared" si="18"/>
        <v>0</v>
      </c>
      <c r="I67" s="3">
        <f t="shared" si="18"/>
        <v>0</v>
      </c>
      <c r="J67" s="3">
        <f t="shared" si="18"/>
        <v>0</v>
      </c>
      <c r="K67" s="3">
        <f t="shared" si="18"/>
        <v>0</v>
      </c>
      <c r="L67" s="3">
        <f t="shared" si="18"/>
        <v>0</v>
      </c>
      <c r="M67" s="3">
        <f t="shared" si="18"/>
        <v>0</v>
      </c>
      <c r="N67" s="3">
        <f t="shared" si="18"/>
        <v>0</v>
      </c>
      <c r="O67" s="3">
        <f t="shared" si="18"/>
        <v>0</v>
      </c>
      <c r="P67" s="397">
        <f t="shared" ref="P67:P72" si="19">SUM(D67:O67)</f>
        <v>0</v>
      </c>
      <c r="Q67" s="3">
        <f t="shared" ref="Q67:AB67" si="20">SUM(Q68:Q71)</f>
        <v>0</v>
      </c>
      <c r="R67" s="3">
        <f t="shared" si="20"/>
        <v>0</v>
      </c>
      <c r="S67" s="3">
        <f t="shared" si="20"/>
        <v>0</v>
      </c>
      <c r="T67" s="3">
        <f t="shared" si="20"/>
        <v>0</v>
      </c>
      <c r="U67" s="3">
        <f t="shared" si="20"/>
        <v>0</v>
      </c>
      <c r="V67" s="3">
        <f t="shared" si="20"/>
        <v>0</v>
      </c>
      <c r="W67" s="3">
        <f t="shared" si="20"/>
        <v>771.51363685344938</v>
      </c>
      <c r="X67" s="3">
        <f t="shared" si="20"/>
        <v>853.85087610959681</v>
      </c>
      <c r="Y67" s="3">
        <f t="shared" si="20"/>
        <v>936.59040609681642</v>
      </c>
      <c r="Z67" s="3">
        <f t="shared" si="20"/>
        <v>1019.6181793819408</v>
      </c>
      <c r="AA67" s="3">
        <f t="shared" si="20"/>
        <v>1102.8218019239664</v>
      </c>
      <c r="AB67" s="3">
        <f t="shared" si="20"/>
        <v>1148.7432019731018</v>
      </c>
      <c r="AC67" s="397">
        <f t="shared" ref="AC67:AC72" si="21">SUM(Q67:AB67)</f>
        <v>5833.1381023388712</v>
      </c>
      <c r="AD67" s="3">
        <f t="shared" ref="AD67:AO67" si="22">SUM(AD68:AD71)</f>
        <v>1455.4155575361838</v>
      </c>
      <c r="AE67" s="3">
        <f t="shared" si="22"/>
        <v>1330.4921410552397</v>
      </c>
      <c r="AF67" s="3">
        <f t="shared" si="22"/>
        <v>1431.0622390473084</v>
      </c>
      <c r="AG67" s="3">
        <f t="shared" si="22"/>
        <v>1532.4732064599111</v>
      </c>
      <c r="AH67" s="3">
        <f t="shared" si="22"/>
        <v>1634.5686401475355</v>
      </c>
      <c r="AI67" s="3">
        <f t="shared" si="22"/>
        <v>1737.1945229780672</v>
      </c>
      <c r="AJ67" s="3">
        <f t="shared" si="22"/>
        <v>1840.1995042740759</v>
      </c>
      <c r="AK67" s="3">
        <f t="shared" si="22"/>
        <v>1943.4351670442586</v>
      </c>
      <c r="AL67" s="3">
        <f t="shared" si="22"/>
        <v>2046.7562814255841</v>
      </c>
      <c r="AM67" s="3">
        <f t="shared" si="22"/>
        <v>2150.0210438202344</v>
      </c>
      <c r="AN67" s="3">
        <f t="shared" si="22"/>
        <v>2253.0913012760284</v>
      </c>
      <c r="AO67" s="3">
        <f t="shared" si="22"/>
        <v>2297.8063284241612</v>
      </c>
      <c r="AP67" s="397">
        <f t="shared" ref="AP67:AP72" si="23">SUM(AD67:AO67)</f>
        <v>21652.51593348859</v>
      </c>
      <c r="AQ67" s="3">
        <f t="shared" ref="AQ67:BB67" si="24">SUM(AQ68:AQ71)</f>
        <v>2824.0141714542578</v>
      </c>
      <c r="AR67" s="3">
        <f t="shared" si="24"/>
        <v>2136.2921006643255</v>
      </c>
      <c r="AS67" s="3">
        <f t="shared" si="24"/>
        <v>2222.2445106888426</v>
      </c>
      <c r="AT67" s="3">
        <f t="shared" si="24"/>
        <v>2308.9381992420158</v>
      </c>
      <c r="AU67" s="3">
        <f t="shared" si="24"/>
        <v>2396.2244903339042</v>
      </c>
      <c r="AV67" s="3">
        <f t="shared" si="24"/>
        <v>2483.9580370497856</v>
      </c>
      <c r="AW67" s="3">
        <f t="shared" si="24"/>
        <v>2571.997042668022</v>
      </c>
      <c r="AX67" s="3">
        <f t="shared" si="24"/>
        <v>2660.2034660060267</v>
      </c>
      <c r="AY67" s="3">
        <f t="shared" si="24"/>
        <v>2748.4432107659222</v>
      </c>
      <c r="AZ67" s="3">
        <f t="shared" si="24"/>
        <v>2836.5862987175678</v>
      </c>
      <c r="BA67" s="3">
        <f t="shared" si="24"/>
        <v>2924.5070266220791</v>
      </c>
      <c r="BB67" s="3">
        <f t="shared" si="24"/>
        <v>2945.8980769090163</v>
      </c>
      <c r="BC67" s="397">
        <f t="shared" ref="BC67:BC72" si="25">SUM(AQ67:BB67)</f>
        <v>31059.30663112177</v>
      </c>
      <c r="BD67" s="3">
        <f t="shared" ref="BD67:BO67" si="26">SUM(BD68:BD71)</f>
        <v>3916.0853159229441</v>
      </c>
      <c r="BE67" s="3">
        <f t="shared" si="26"/>
        <v>2739.0891818774226</v>
      </c>
      <c r="BF67" s="3">
        <f t="shared" si="26"/>
        <v>2811.9323032311722</v>
      </c>
      <c r="BG67" s="3">
        <f t="shared" si="26"/>
        <v>2885.8106807131248</v>
      </c>
      <c r="BH67" s="3">
        <f t="shared" si="26"/>
        <v>2960.5667976846253</v>
      </c>
      <c r="BI67" s="3">
        <f t="shared" si="26"/>
        <v>3036.047289124147</v>
      </c>
      <c r="BJ67" s="3">
        <f t="shared" si="26"/>
        <v>3112.103131635</v>
      </c>
      <c r="BK67" s="3">
        <f t="shared" si="26"/>
        <v>3188.5898151211168</v>
      </c>
      <c r="BL67" s="3">
        <f t="shared" si="26"/>
        <v>3265.3674961962561</v>
      </c>
      <c r="BM67" s="3">
        <f t="shared" si="26"/>
        <v>3342.3011334593534</v>
      </c>
      <c r="BN67" s="3">
        <f t="shared" si="26"/>
        <v>3419.2606048324546</v>
      </c>
      <c r="BO67" s="3">
        <f t="shared" si="26"/>
        <v>3419.6373300876267</v>
      </c>
      <c r="BP67" s="397">
        <f t="shared" ref="BP67:BP72" si="27">SUM(BD67:BO67)</f>
        <v>38096.791079885246</v>
      </c>
      <c r="CP67" s="398" t="s">
        <v>1064</v>
      </c>
      <c r="CQ67" s="12" t="s">
        <v>965</v>
      </c>
    </row>
    <row r="68" spans="1:95" s="440" customFormat="1" ht="10.199999999999999" outlineLevel="1">
      <c r="A68" s="442" t="s">
        <v>138</v>
      </c>
      <c r="B68" s="12" t="s">
        <v>502</v>
      </c>
      <c r="D68" s="373">
        <f>'Installment card_1000 (indiv)'!D55</f>
        <v>0</v>
      </c>
      <c r="E68" s="373">
        <f>'Installment card_1000 (indiv)'!E55</f>
        <v>0</v>
      </c>
      <c r="F68" s="373">
        <f>'Installment card_1000 (indiv)'!F55</f>
        <v>0</v>
      </c>
      <c r="G68" s="373">
        <f>'Installment card_1000 (indiv)'!G55</f>
        <v>0</v>
      </c>
      <c r="H68" s="373">
        <f>'Installment card_1000 (indiv)'!H55</f>
        <v>0</v>
      </c>
      <c r="I68" s="373">
        <f>'Installment card_1000 (indiv)'!I55</f>
        <v>0</v>
      </c>
      <c r="J68" s="373">
        <f>'Installment card_1000 (indiv)'!J55</f>
        <v>0</v>
      </c>
      <c r="K68" s="373">
        <f>'Installment card_1000 (indiv)'!K55</f>
        <v>0</v>
      </c>
      <c r="L68" s="373">
        <f>'Installment card_1000 (indiv)'!L55</f>
        <v>0</v>
      </c>
      <c r="M68" s="373">
        <f>'Installment card_1000 (indiv)'!M55</f>
        <v>0</v>
      </c>
      <c r="N68" s="373">
        <f>'Installment card_1000 (indiv)'!N55</f>
        <v>0</v>
      </c>
      <c r="O68" s="373">
        <f>'Installment card_1000 (indiv)'!O55</f>
        <v>0</v>
      </c>
      <c r="P68" s="458">
        <f t="shared" si="19"/>
        <v>0</v>
      </c>
      <c r="Q68" s="373">
        <f>'Installment card_1000 (indiv)'!Q55</f>
        <v>0</v>
      </c>
      <c r="R68" s="373">
        <f>'Installment card_1000 (indiv)'!R55</f>
        <v>0</v>
      </c>
      <c r="S68" s="373">
        <f>'Installment card_1000 (indiv)'!S55</f>
        <v>0</v>
      </c>
      <c r="T68" s="373">
        <f>'Installment card_1000 (indiv)'!T55</f>
        <v>0</v>
      </c>
      <c r="U68" s="373">
        <f>'Installment card_1000 (indiv)'!U55</f>
        <v>0</v>
      </c>
      <c r="V68" s="373">
        <f>'Installment card_1000 (indiv)'!V55</f>
        <v>0</v>
      </c>
      <c r="W68" s="373">
        <f>'Installment card_1000 (indiv)'!W55</f>
        <v>77.15136368534499</v>
      </c>
      <c r="X68" s="373">
        <f>'Installment card_1000 (indiv)'!X55</f>
        <v>94.664682187558213</v>
      </c>
      <c r="Y68" s="373">
        <f>'Installment card_1000 (indiv)'!Y55</f>
        <v>112.46877387851954</v>
      </c>
      <c r="Z68" s="373">
        <f>'Installment card_1000 (indiv)'!Z55</f>
        <v>130.53709874476411</v>
      </c>
      <c r="AA68" s="373">
        <f>'Installment card_1000 (indiv)'!AA55</f>
        <v>148.84311699223133</v>
      </c>
      <c r="AB68" s="373">
        <f>'Installment card_1000 (indiv)'!AB55</f>
        <v>163.62558898652128</v>
      </c>
      <c r="AC68" s="458">
        <f t="shared" si="21"/>
        <v>727.29062447493948</v>
      </c>
      <c r="AD68" s="373">
        <f>'Installment card_1000 (indiv)'!AD55</f>
        <v>204.22309301586611</v>
      </c>
      <c r="AE68" s="373">
        <f>'Installment card_1000 (indiv)'!AE55</f>
        <v>204.557943714175</v>
      </c>
      <c r="AF68" s="373">
        <f>'Installment card_1000 (indiv)'!AF55</f>
        <v>224.91698248838432</v>
      </c>
      <c r="AG68" s="373">
        <f>'Installment card_1000 (indiv)'!AG55</f>
        <v>245.74844235110027</v>
      </c>
      <c r="AH68" s="373">
        <f>'Installment card_1000 (indiv)'!AH55</f>
        <v>267.01583791718156</v>
      </c>
      <c r="AI68" s="373">
        <f>'Installment card_1000 (indiv)'!AI55</f>
        <v>288.68270303589907</v>
      </c>
      <c r="AJ68" s="373">
        <f>'Installment card_1000 (indiv)'!AJ55</f>
        <v>310.71266502192145</v>
      </c>
      <c r="AK68" s="373">
        <f>'Installment card_1000 (indiv)'!AK55</f>
        <v>333.06951725628494</v>
      </c>
      <c r="AL68" s="373">
        <f>'Installment card_1000 (indiv)'!AL55</f>
        <v>355.71728996514895</v>
      </c>
      <c r="AM68" s="373">
        <f>'Installment card_1000 (indiv)'!AM55</f>
        <v>378.62031899423715</v>
      </c>
      <c r="AN68" s="373">
        <f>'Installment card_1000 (indiv)'!AN55</f>
        <v>401.74331240751405</v>
      </c>
      <c r="AO68" s="373">
        <f>'Installment card_1000 (indiv)'!AO55</f>
        <v>419.24877151980479</v>
      </c>
      <c r="AP68" s="458">
        <f t="shared" si="23"/>
        <v>3634.2568776875182</v>
      </c>
      <c r="AQ68" s="373">
        <f>'Installment card_1000 (indiv)'!AQ55</f>
        <v>484.40223866180185</v>
      </c>
      <c r="AR68" s="373">
        <f>'Installment card_1000 (indiv)'!AR55</f>
        <v>433.492692096356</v>
      </c>
      <c r="AS68" s="373">
        <f>'Installment card_1000 (indiv)'!AS55</f>
        <v>450.25477438107902</v>
      </c>
      <c r="AT68" s="373">
        <f>'Installment card_1000 (indiv)'!AT55</f>
        <v>467.47372227034811</v>
      </c>
      <c r="AU68" s="373">
        <f>'Installment card_1000 (indiv)'!AU55</f>
        <v>485.1130713944915</v>
      </c>
      <c r="AV68" s="373">
        <f>'Installment card_1000 (indiv)'!AV55</f>
        <v>503.13662379214134</v>
      </c>
      <c r="AW68" s="373">
        <f>'Installment card_1000 (indiv)'!AW55</f>
        <v>521.50851536486516</v>
      </c>
      <c r="AX68" s="373">
        <f>'Installment card_1000 (indiv)'!AX55</f>
        <v>540.19328079932666</v>
      </c>
      <c r="AY68" s="373">
        <f>'Installment card_1000 (indiv)'!AY55</f>
        <v>559.15591582060188</v>
      </c>
      <c r="AZ68" s="373">
        <f>'Installment card_1000 (indiv)'!AZ55</f>
        <v>578.36193665316455</v>
      </c>
      <c r="BA68" s="373">
        <f>'Installment card_1000 (indiv)'!BA55</f>
        <v>597.7774365792294</v>
      </c>
      <c r="BB68" s="373">
        <f>'Installment card_1000 (indiv)'!BB55</f>
        <v>610.75053650196446</v>
      </c>
      <c r="BC68" s="458">
        <f t="shared" si="25"/>
        <v>6231.6207443153689</v>
      </c>
      <c r="BD68" s="373">
        <f>'Installment card_1000 (indiv)'!BD55</f>
        <v>717.9968319481867</v>
      </c>
      <c r="BE68" s="373">
        <f>'Installment card_1000 (indiv)'!BE55</f>
        <v>621.37862187066855</v>
      </c>
      <c r="BF68" s="373">
        <f>'Installment card_1000 (indiv)'!BF55</f>
        <v>633.90703306668036</v>
      </c>
      <c r="BG68" s="373">
        <f>'Installment card_1000 (indiv)'!BG55</f>
        <v>646.99703952112793</v>
      </c>
      <c r="BH68" s="373">
        <f>'Installment card_1000 (indiv)'!BH55</f>
        <v>660.60882307071699</v>
      </c>
      <c r="BI68" s="373">
        <f>'Installment card_1000 (indiv)'!BI55</f>
        <v>674.70300477355727</v>
      </c>
      <c r="BJ68" s="373">
        <f>'Installment card_1000 (indiv)'!BJ55</f>
        <v>689.24071192656675</v>
      </c>
      <c r="BK68" s="373">
        <f>'Installment card_1000 (indiv)'!BK55</f>
        <v>704.1836417070665</v>
      </c>
      <c r="BL68" s="373">
        <f>'Installment card_1000 (indiv)'!BL55</f>
        <v>719.49412134757802</v>
      </c>
      <c r="BM68" s="373">
        <f>'Installment card_1000 (indiv)'!BM55</f>
        <v>735.13516476815926</v>
      </c>
      <c r="BN68" s="373">
        <f>'Installment card_1000 (indiv)'!BN55</f>
        <v>751.07052560563909</v>
      </c>
      <c r="BO68" s="373">
        <f>'Installment card_1000 (indiv)'!BO55</f>
        <v>759.61639888091167</v>
      </c>
      <c r="BP68" s="458">
        <f t="shared" si="27"/>
        <v>8314.3319184868596</v>
      </c>
      <c r="CP68" s="442" t="s">
        <v>1002</v>
      </c>
      <c r="CQ68" s="12" t="s">
        <v>965</v>
      </c>
    </row>
    <row r="69" spans="1:95" s="440" customFormat="1" ht="10.199999999999999" outlineLevel="1">
      <c r="A69" s="442" t="s">
        <v>142</v>
      </c>
      <c r="B69" s="12" t="s">
        <v>502</v>
      </c>
      <c r="D69" s="373">
        <f>'Installment card_1000 (indiv)'!D56</f>
        <v>0</v>
      </c>
      <c r="E69" s="373">
        <f>'Installment card_1000 (indiv)'!E56</f>
        <v>0</v>
      </c>
      <c r="F69" s="373">
        <f>'Installment card_1000 (indiv)'!F56</f>
        <v>0</v>
      </c>
      <c r="G69" s="373">
        <f>'Installment card_1000 (indiv)'!G56</f>
        <v>0</v>
      </c>
      <c r="H69" s="373">
        <f>'Installment card_1000 (indiv)'!H56</f>
        <v>0</v>
      </c>
      <c r="I69" s="373">
        <f>'Installment card_1000 (indiv)'!I56</f>
        <v>0</v>
      </c>
      <c r="J69" s="373">
        <f>'Installment card_1000 (indiv)'!J56</f>
        <v>0</v>
      </c>
      <c r="K69" s="373">
        <f>'Installment card_1000 (indiv)'!K56</f>
        <v>0</v>
      </c>
      <c r="L69" s="373">
        <f>'Installment card_1000 (indiv)'!L56</f>
        <v>0</v>
      </c>
      <c r="M69" s="373">
        <f>'Installment card_1000 (indiv)'!M56</f>
        <v>0</v>
      </c>
      <c r="N69" s="373">
        <f>'Installment card_1000 (indiv)'!N56</f>
        <v>0</v>
      </c>
      <c r="O69" s="373">
        <f>'Installment card_1000 (indiv)'!O56</f>
        <v>0</v>
      </c>
      <c r="P69" s="458">
        <f t="shared" si="19"/>
        <v>0</v>
      </c>
      <c r="Q69" s="373">
        <f>'Installment card_1000 (indiv)'!Q56</f>
        <v>0</v>
      </c>
      <c r="R69" s="373">
        <f>'Installment card_1000 (indiv)'!R56</f>
        <v>0</v>
      </c>
      <c r="S69" s="373">
        <f>'Installment card_1000 (indiv)'!S56</f>
        <v>0</v>
      </c>
      <c r="T69" s="373">
        <f>'Installment card_1000 (indiv)'!T56</f>
        <v>0</v>
      </c>
      <c r="U69" s="373">
        <f>'Installment card_1000 (indiv)'!U56</f>
        <v>0</v>
      </c>
      <c r="V69" s="373">
        <f>'Installment card_1000 (indiv)'!V56</f>
        <v>0</v>
      </c>
      <c r="W69" s="373">
        <f>'Installment card_1000 (indiv)'!W56</f>
        <v>154.30272737068987</v>
      </c>
      <c r="X69" s="373">
        <f>'Installment card_1000 (indiv)'!X56</f>
        <v>175.61356638661044</v>
      </c>
      <c r="Y69" s="373">
        <f>'Installment card_1000 (indiv)'!Y56</f>
        <v>197.13563253289064</v>
      </c>
      <c r="Z69" s="373">
        <f>'Installment card_1000 (indiv)'!Z56</f>
        <v>218.83821662069485</v>
      </c>
      <c r="AA69" s="373">
        <f>'Installment card_1000 (indiv)'!AA56</f>
        <v>240.69085395699324</v>
      </c>
      <c r="AB69" s="373">
        <f>'Installment card_1000 (indiv)'!AB56</f>
        <v>255.19387537467043</v>
      </c>
      <c r="AC69" s="458">
        <f t="shared" si="21"/>
        <v>1241.7748722425495</v>
      </c>
      <c r="AD69" s="373">
        <f>'Installment card_1000 (indiv)'!AD56</f>
        <v>321.7113503554308</v>
      </c>
      <c r="AE69" s="373">
        <f>'Installment card_1000 (indiv)'!AE56</f>
        <v>303.42169124004329</v>
      </c>
      <c r="AF69" s="373">
        <f>'Installment card_1000 (indiv)'!AF56</f>
        <v>328.91275136582601</v>
      </c>
      <c r="AG69" s="373">
        <f>'Installment card_1000 (indiv)'!AG56</f>
        <v>354.77467248217761</v>
      </c>
      <c r="AH69" s="373">
        <f>'Installment card_1000 (indiv)'!AH56</f>
        <v>380.9652940848157</v>
      </c>
      <c r="AI69" s="373">
        <f>'Installment card_1000 (indiv)'!AI56</f>
        <v>407.44281837577228</v>
      </c>
      <c r="AJ69" s="373">
        <f>'Installment card_1000 (indiv)'!AJ56</f>
        <v>434.16589045841818</v>
      </c>
      <c r="AK69" s="373">
        <f>'Installment card_1000 (indiv)'!AK56</f>
        <v>461.09367572922133</v>
      </c>
      <c r="AL69" s="373">
        <f>'Installment card_1000 (indiv)'!AL56</f>
        <v>488.18593428027941</v>
      </c>
      <c r="AM69" s="373">
        <f>'Installment card_1000 (indiv)'!AM56</f>
        <v>515.40309214132219</v>
      </c>
      <c r="AN69" s="373">
        <f>'Installment card_1000 (indiv)'!AN56</f>
        <v>542.70630920499752</v>
      </c>
      <c r="AO69" s="373">
        <f>'Installment card_1000 (indiv)'!AO56</f>
        <v>558.45225723469275</v>
      </c>
      <c r="AP69" s="458">
        <f t="shared" si="23"/>
        <v>5097.2357369529964</v>
      </c>
      <c r="AQ69" s="373">
        <f>'Installment card_1000 (indiv)'!AQ56</f>
        <v>670.23513374281652</v>
      </c>
      <c r="AR69" s="373">
        <f>'Installment card_1000 (indiv)'!AR56</f>
        <v>542.01395578820598</v>
      </c>
      <c r="AS69" s="373">
        <f>'Installment card_1000 (indiv)'!AS56</f>
        <v>563.46703855475698</v>
      </c>
      <c r="AT69" s="373">
        <f>'Installment card_1000 (indiv)'!AT56</f>
        <v>585.26814315147294</v>
      </c>
      <c r="AU69" s="373">
        <f>'Installment card_1000 (indiv)'!AU56</f>
        <v>607.3762621628747</v>
      </c>
      <c r="AV69" s="373">
        <f>'Installment card_1000 (indiv)'!AV56</f>
        <v>629.75101927993114</v>
      </c>
      <c r="AW69" s="373">
        <f>'Installment card_1000 (indiv)'!AW56</f>
        <v>652.35273718986741</v>
      </c>
      <c r="AX69" s="373">
        <f>'Installment card_1000 (indiv)'!AX56</f>
        <v>675.14250181301054</v>
      </c>
      <c r="AY69" s="373">
        <f>'Installment card_1000 (indiv)'!AY56</f>
        <v>698.08222278169728</v>
      </c>
      <c r="AZ69" s="373">
        <f>'Installment card_1000 (indiv)'!AZ56</f>
        <v>721.13469007283936</v>
      </c>
      <c r="BA69" s="373">
        <f>'Installment card_1000 (indiv)'!BA56</f>
        <v>744.26362672221364</v>
      </c>
      <c r="BB69" s="373">
        <f>'Installment card_1000 (indiv)'!BB56</f>
        <v>754.19653157418202</v>
      </c>
      <c r="BC69" s="458">
        <f t="shared" si="25"/>
        <v>7843.2838628338677</v>
      </c>
      <c r="BD69" s="373">
        <f>'Installment card_1000 (indiv)'!BD56</f>
        <v>953.57215759667099</v>
      </c>
      <c r="BE69" s="373">
        <f>'Installment card_1000 (indiv)'!BE56</f>
        <v>729.17615746634181</v>
      </c>
      <c r="BF69" s="373">
        <f>'Installment card_1000 (indiv)'!BF56</f>
        <v>746.48188655857882</v>
      </c>
      <c r="BG69" s="373">
        <f>'Installment card_1000 (indiv)'!BG56</f>
        <v>764.23375172613078</v>
      </c>
      <c r="BH69" s="373">
        <f>'Installment card_1000 (indiv)'!BH56</f>
        <v>782.38768837366717</v>
      </c>
      <c r="BI69" s="373">
        <f>'Installment card_1000 (indiv)'!BI56</f>
        <v>800.90047478699569</v>
      </c>
      <c r="BJ69" s="373">
        <f>'Installment card_1000 (indiv)'!BJ56</f>
        <v>819.72979519640683</v>
      </c>
      <c r="BK69" s="373">
        <f>'Installment card_1000 (indiv)'!BK56</f>
        <v>838.83429836847142</v>
      </c>
      <c r="BL69" s="373">
        <f>'Installment card_1000 (indiv)'!BL56</f>
        <v>858.1736516884821</v>
      </c>
      <c r="BM69" s="373">
        <f>'Installment card_1000 (indiv)'!BM56</f>
        <v>877.70859071363111</v>
      </c>
      <c r="BN69" s="373">
        <f>'Installment card_1000 (indiv)'!BN56</f>
        <v>897.40096419434508</v>
      </c>
      <c r="BO69" s="373">
        <f>'Installment card_1000 (indiv)'!BO56</f>
        <v>901.91707915171764</v>
      </c>
      <c r="BP69" s="458">
        <f t="shared" si="27"/>
        <v>9970.5164958214391</v>
      </c>
      <c r="CP69" s="442" t="s">
        <v>1003</v>
      </c>
      <c r="CQ69" s="12" t="s">
        <v>965</v>
      </c>
    </row>
    <row r="70" spans="1:95" s="440" customFormat="1" ht="10.199999999999999" outlineLevel="1">
      <c r="A70" s="442" t="s">
        <v>145</v>
      </c>
      <c r="B70" s="12" t="s">
        <v>502</v>
      </c>
      <c r="D70" s="373">
        <f>'Installment card_1000 (indiv)'!D57</f>
        <v>0</v>
      </c>
      <c r="E70" s="373">
        <f>'Installment card_1000 (indiv)'!E57</f>
        <v>0</v>
      </c>
      <c r="F70" s="373">
        <f>'Installment card_1000 (indiv)'!F57</f>
        <v>0</v>
      </c>
      <c r="G70" s="373">
        <f>'Installment card_1000 (indiv)'!G57</f>
        <v>0</v>
      </c>
      <c r="H70" s="373">
        <f>'Installment card_1000 (indiv)'!H57</f>
        <v>0</v>
      </c>
      <c r="I70" s="373">
        <f>'Installment card_1000 (indiv)'!I57</f>
        <v>0</v>
      </c>
      <c r="J70" s="373">
        <f>'Installment card_1000 (indiv)'!J57</f>
        <v>0</v>
      </c>
      <c r="K70" s="373">
        <f>'Installment card_1000 (indiv)'!K57</f>
        <v>0</v>
      </c>
      <c r="L70" s="373">
        <f>'Installment card_1000 (indiv)'!L57</f>
        <v>0</v>
      </c>
      <c r="M70" s="373">
        <f>'Installment card_1000 (indiv)'!M57</f>
        <v>0</v>
      </c>
      <c r="N70" s="373">
        <f>'Installment card_1000 (indiv)'!N57</f>
        <v>0</v>
      </c>
      <c r="O70" s="373">
        <f>'Installment card_1000 (indiv)'!O57</f>
        <v>0</v>
      </c>
      <c r="P70" s="458">
        <f t="shared" si="19"/>
        <v>0</v>
      </c>
      <c r="Q70" s="373">
        <f>'Installment card_1000 (indiv)'!Q57</f>
        <v>0</v>
      </c>
      <c r="R70" s="373">
        <f>'Installment card_1000 (indiv)'!R57</f>
        <v>0</v>
      </c>
      <c r="S70" s="373">
        <f>'Installment card_1000 (indiv)'!S57</f>
        <v>0</v>
      </c>
      <c r="T70" s="373">
        <f>'Installment card_1000 (indiv)'!T57</f>
        <v>0</v>
      </c>
      <c r="U70" s="373">
        <f>'Installment card_1000 (indiv)'!U57</f>
        <v>0</v>
      </c>
      <c r="V70" s="373">
        <f>'Installment card_1000 (indiv)'!V57</f>
        <v>0</v>
      </c>
      <c r="W70" s="373">
        <f>'Installment card_1000 (indiv)'!W57</f>
        <v>154.30272737068987</v>
      </c>
      <c r="X70" s="373">
        <f>'Installment card_1000 (indiv)'!X57</f>
        <v>171.32737951520241</v>
      </c>
      <c r="Y70" s="373">
        <f>'Installment card_1000 (indiv)'!Y57</f>
        <v>188.44753402534431</v>
      </c>
      <c r="Z70" s="373">
        <f>'Installment card_1000 (indiv)'!Z57</f>
        <v>205.63947259918447</v>
      </c>
      <c r="AA70" s="373">
        <f>'Installment card_1000 (indiv)'!AA57</f>
        <v>222.87979769840916</v>
      </c>
      <c r="AB70" s="373">
        <f>'Installment card_1000 (indiv)'!AB57</f>
        <v>232.67596831267934</v>
      </c>
      <c r="AC70" s="458">
        <f t="shared" si="21"/>
        <v>1175.2728795215096</v>
      </c>
      <c r="AD70" s="373">
        <f>'Installment card_1000 (indiv)'!AD57</f>
        <v>294.60671420658639</v>
      </c>
      <c r="AE70" s="373">
        <f>'Installment card_1000 (indiv)'!AE57</f>
        <v>270.39225493119784</v>
      </c>
      <c r="AF70" s="373">
        <f>'Installment card_1000 (indiv)'!AF57</f>
        <v>291.12487211240625</v>
      </c>
      <c r="AG70" s="373">
        <f>'Installment card_1000 (indiv)'!AG57</f>
        <v>312.04898116342042</v>
      </c>
      <c r="AH70" s="373">
        <f>'Installment card_1000 (indiv)'!AH57</f>
        <v>333.13204978808233</v>
      </c>
      <c r="AI70" s="373">
        <f>'Installment card_1000 (indiv)'!AI57</f>
        <v>354.34200972076439</v>
      </c>
      <c r="AJ70" s="373">
        <f>'Installment card_1000 (indiv)'!AJ57</f>
        <v>375.64731558797303</v>
      </c>
      <c r="AK70" s="373">
        <f>'Installment card_1000 (indiv)'!AK57</f>
        <v>397.01700110942517</v>
      </c>
      <c r="AL70" s="373">
        <f>'Installment card_1000 (indiv)'!AL57</f>
        <v>418.42073251464848</v>
      </c>
      <c r="AM70" s="373">
        <f>'Installment card_1000 (indiv)'!AM57</f>
        <v>439.82885906408728</v>
      </c>
      <c r="AN70" s="373">
        <f>'Installment card_1000 (indiv)'!AN57</f>
        <v>461.21246057686312</v>
      </c>
      <c r="AO70" s="373">
        <f>'Installment card_1000 (indiv)'!AO57</f>
        <v>470.93810542065677</v>
      </c>
      <c r="AP70" s="458">
        <f t="shared" si="23"/>
        <v>4418.7113561961114</v>
      </c>
      <c r="AQ70" s="373">
        <f>'Installment card_1000 (indiv)'!AQ57</f>
        <v>576.93221387382084</v>
      </c>
      <c r="AR70" s="373">
        <f>'Installment card_1000 (indiv)'!AR57</f>
        <v>440.46038441179826</v>
      </c>
      <c r="AS70" s="373">
        <f>'Installment card_1000 (indiv)'!AS57</f>
        <v>458.14125411494388</v>
      </c>
      <c r="AT70" s="373">
        <f>'Installment card_1000 (indiv)'!AT57</f>
        <v>475.99336146734038</v>
      </c>
      <c r="AU70" s="373">
        <f>'Installment card_1000 (indiv)'!AU57</f>
        <v>493.9856744672162</v>
      </c>
      <c r="AV70" s="373">
        <f>'Installment card_1000 (indiv)'!AV57</f>
        <v>512.08782293482147</v>
      </c>
      <c r="AW70" s="373">
        <f>'Installment card_1000 (indiv)'!AW57</f>
        <v>530.27014545866086</v>
      </c>
      <c r="AX70" s="373">
        <f>'Installment card_1000 (indiv)'!AX57</f>
        <v>548.50373312999795</v>
      </c>
      <c r="AY70" s="373">
        <f>'Installment card_1000 (indiv)'!AY57</f>
        <v>566.76047001310189</v>
      </c>
      <c r="AZ70" s="373">
        <f>'Installment card_1000 (indiv)'!AZ57</f>
        <v>585.01307031237479</v>
      </c>
      <c r="BA70" s="373">
        <f>'Installment card_1000 (indiv)'!BA57</f>
        <v>603.23511221088779</v>
      </c>
      <c r="BB70" s="373">
        <f>'Installment card_1000 (indiv)'!BB57</f>
        <v>608.16386237738652</v>
      </c>
      <c r="BC70" s="458">
        <f t="shared" si="25"/>
        <v>6399.5471047723513</v>
      </c>
      <c r="BD70" s="373">
        <f>'Installment card_1000 (indiv)'!BD57</f>
        <v>802.81543687801343</v>
      </c>
      <c r="BE70" s="373">
        <f>'Installment card_1000 (indiv)'!BE57</f>
        <v>568.68206800540611</v>
      </c>
      <c r="BF70" s="373">
        <f>'Installment card_1000 (indiv)'!BF57</f>
        <v>583.56558044145982</v>
      </c>
      <c r="BG70" s="373">
        <f>'Installment card_1000 (indiv)'!BG57</f>
        <v>598.68364943984227</v>
      </c>
      <c r="BH70" s="373">
        <f>'Installment card_1000 (indiv)'!BH57</f>
        <v>614.00332657124045</v>
      </c>
      <c r="BI70" s="373">
        <f>'Installment card_1000 (indiv)'!BI57</f>
        <v>629.4924951744589</v>
      </c>
      <c r="BJ70" s="373">
        <f>'Installment card_1000 (indiv)'!BJ57</f>
        <v>645.11991124117981</v>
      </c>
      <c r="BK70" s="373">
        <f>'Installment card_1000 (indiv)'!BK57</f>
        <v>660.85524054170276</v>
      </c>
      <c r="BL70" s="373">
        <f>'Installment card_1000 (indiv)'!BL57</f>
        <v>676.66909199889687</v>
      </c>
      <c r="BM70" s="373">
        <f>'Installment card_1000 (indiv)'!BM57</f>
        <v>692.53304733154198</v>
      </c>
      <c r="BN70" s="373">
        <f>'Installment card_1000 (indiv)'!BN57</f>
        <v>708.41968700155394</v>
      </c>
      <c r="BO70" s="373">
        <f>'Installment card_1000 (indiv)'!BO57</f>
        <v>709.00591708606032</v>
      </c>
      <c r="BP70" s="458">
        <f t="shared" si="27"/>
        <v>7889.8454517113569</v>
      </c>
      <c r="CP70" s="442" t="s">
        <v>1004</v>
      </c>
      <c r="CQ70" s="12" t="s">
        <v>965</v>
      </c>
    </row>
    <row r="71" spans="1:95" s="440" customFormat="1" ht="10.199999999999999" outlineLevel="1">
      <c r="A71" s="442" t="s">
        <v>620</v>
      </c>
      <c r="B71" s="12" t="s">
        <v>502</v>
      </c>
      <c r="D71" s="373">
        <f>'Installment card_1000 (indiv)'!D58</f>
        <v>0</v>
      </c>
      <c r="E71" s="373">
        <f>'Installment card_1000 (indiv)'!E58</f>
        <v>0</v>
      </c>
      <c r="F71" s="373">
        <f>'Installment card_1000 (indiv)'!F58</f>
        <v>0</v>
      </c>
      <c r="G71" s="373">
        <f>'Installment card_1000 (indiv)'!G58</f>
        <v>0</v>
      </c>
      <c r="H71" s="373">
        <f>'Installment card_1000 (indiv)'!H58</f>
        <v>0</v>
      </c>
      <c r="I71" s="373">
        <f>'Installment card_1000 (indiv)'!I58</f>
        <v>0</v>
      </c>
      <c r="J71" s="373">
        <f>'Installment card_1000 (indiv)'!J58</f>
        <v>0</v>
      </c>
      <c r="K71" s="373">
        <f>'Installment card_1000 (indiv)'!K58</f>
        <v>0</v>
      </c>
      <c r="L71" s="373">
        <f>'Installment card_1000 (indiv)'!L58</f>
        <v>0</v>
      </c>
      <c r="M71" s="373">
        <f>'Installment card_1000 (indiv)'!M58</f>
        <v>0</v>
      </c>
      <c r="N71" s="373">
        <f>'Installment card_1000 (indiv)'!N58</f>
        <v>0</v>
      </c>
      <c r="O71" s="373">
        <f>'Installment card_1000 (indiv)'!O58</f>
        <v>0</v>
      </c>
      <c r="P71" s="458">
        <f t="shared" si="19"/>
        <v>0</v>
      </c>
      <c r="Q71" s="373">
        <f>'Installment card_1000 (indiv)'!Q58</f>
        <v>0</v>
      </c>
      <c r="R71" s="373">
        <f>'Installment card_1000 (indiv)'!R58</f>
        <v>0</v>
      </c>
      <c r="S71" s="373">
        <f>'Installment card_1000 (indiv)'!S58</f>
        <v>0</v>
      </c>
      <c r="T71" s="373">
        <f>'Installment card_1000 (indiv)'!T58</f>
        <v>0</v>
      </c>
      <c r="U71" s="373">
        <f>'Installment card_1000 (indiv)'!U58</f>
        <v>0</v>
      </c>
      <c r="V71" s="373">
        <f>'Installment card_1000 (indiv)'!V58</f>
        <v>0</v>
      </c>
      <c r="W71" s="373">
        <f>'Installment card_1000 (indiv)'!W58</f>
        <v>385.75681842672464</v>
      </c>
      <c r="X71" s="373">
        <f>'Installment card_1000 (indiv)'!X58</f>
        <v>412.2452480202258</v>
      </c>
      <c r="Y71" s="373">
        <f>'Installment card_1000 (indiv)'!Y58</f>
        <v>438.53846566006189</v>
      </c>
      <c r="Z71" s="373">
        <f>'Installment card_1000 (indiv)'!Z58</f>
        <v>464.60339141729725</v>
      </c>
      <c r="AA71" s="373">
        <f>'Installment card_1000 (indiv)'!AA58</f>
        <v>490.40803327633267</v>
      </c>
      <c r="AB71" s="373">
        <f>'Installment card_1000 (indiv)'!AB58</f>
        <v>497.24776929923081</v>
      </c>
      <c r="AC71" s="458">
        <f t="shared" si="21"/>
        <v>2688.7997260998732</v>
      </c>
      <c r="AD71" s="373">
        <f>'Installment card_1000 (indiv)'!AD58</f>
        <v>634.87439995830061</v>
      </c>
      <c r="AE71" s="373">
        <f>'Installment card_1000 (indiv)'!AE58</f>
        <v>552.12025116982363</v>
      </c>
      <c r="AF71" s="373">
        <f>'Installment card_1000 (indiv)'!AF58</f>
        <v>586.10763308069181</v>
      </c>
      <c r="AG71" s="373">
        <f>'Installment card_1000 (indiv)'!AG58</f>
        <v>619.90111046321294</v>
      </c>
      <c r="AH71" s="373">
        <f>'Installment card_1000 (indiv)'!AH58</f>
        <v>653.45545835745577</v>
      </c>
      <c r="AI71" s="373">
        <f>'Installment card_1000 (indiv)'!AI58</f>
        <v>686.72699184563135</v>
      </c>
      <c r="AJ71" s="373">
        <f>'Installment card_1000 (indiv)'!AJ58</f>
        <v>719.67363320576317</v>
      </c>
      <c r="AK71" s="373">
        <f>'Installment card_1000 (indiv)'!AK58</f>
        <v>752.25497294932711</v>
      </c>
      <c r="AL71" s="373">
        <f>'Installment card_1000 (indiv)'!AL58</f>
        <v>784.43232466550717</v>
      </c>
      <c r="AM71" s="373">
        <f>'Installment card_1000 (indiv)'!AM58</f>
        <v>816.16877362058767</v>
      </c>
      <c r="AN71" s="373">
        <f>'Installment card_1000 (indiv)'!AN58</f>
        <v>847.4292190866538</v>
      </c>
      <c r="AO71" s="373">
        <f>'Installment card_1000 (indiv)'!AO58</f>
        <v>849.16719424900691</v>
      </c>
      <c r="AP71" s="458">
        <f t="shared" si="23"/>
        <v>8502.3119626519619</v>
      </c>
      <c r="AQ71" s="373">
        <f>'Installment card_1000 (indiv)'!AQ58</f>
        <v>1092.4445851758187</v>
      </c>
      <c r="AR71" s="373">
        <f>'Installment card_1000 (indiv)'!AR58</f>
        <v>720.32506836796551</v>
      </c>
      <c r="AS71" s="373">
        <f>'Installment card_1000 (indiv)'!AS58</f>
        <v>750.38144363806282</v>
      </c>
      <c r="AT71" s="373">
        <f>'Installment card_1000 (indiv)'!AT58</f>
        <v>780.2029723528542</v>
      </c>
      <c r="AU71" s="373">
        <f>'Installment card_1000 (indiv)'!AU58</f>
        <v>809.74948230932216</v>
      </c>
      <c r="AV71" s="373">
        <f>'Installment card_1000 (indiv)'!AV58</f>
        <v>838.98257104289178</v>
      </c>
      <c r="AW71" s="373">
        <f>'Installment card_1000 (indiv)'!AW58</f>
        <v>867.86564465462857</v>
      </c>
      <c r="AX71" s="373">
        <f>'Installment card_1000 (indiv)'!AX58</f>
        <v>896.36395026369166</v>
      </c>
      <c r="AY71" s="373">
        <f>'Installment card_1000 (indiv)'!AY58</f>
        <v>924.44460215052118</v>
      </c>
      <c r="AZ71" s="373">
        <f>'Installment card_1000 (indiv)'!AZ58</f>
        <v>952.07660167918948</v>
      </c>
      <c r="BA71" s="373">
        <f>'Installment card_1000 (indiv)'!BA58</f>
        <v>979.23085110974853</v>
      </c>
      <c r="BB71" s="373">
        <f>'Installment card_1000 (indiv)'!BB58</f>
        <v>972.78714645548325</v>
      </c>
      <c r="BC71" s="458">
        <f t="shared" si="25"/>
        <v>10584.854919200177</v>
      </c>
      <c r="BD71" s="373">
        <f>'Installment card_1000 (indiv)'!BD58</f>
        <v>1441.7008895000731</v>
      </c>
      <c r="BE71" s="373">
        <f>'Installment card_1000 (indiv)'!BE58</f>
        <v>819.85233453500609</v>
      </c>
      <c r="BF71" s="373">
        <f>'Installment card_1000 (indiv)'!BF58</f>
        <v>847.97780316445346</v>
      </c>
      <c r="BG71" s="373">
        <f>'Installment card_1000 (indiv)'!BG58</f>
        <v>875.89624002602375</v>
      </c>
      <c r="BH71" s="373">
        <f>'Installment card_1000 (indiv)'!BH58</f>
        <v>903.56695966900065</v>
      </c>
      <c r="BI71" s="373">
        <f>'Installment card_1000 (indiv)'!BI58</f>
        <v>930.95131438913529</v>
      </c>
      <c r="BJ71" s="373">
        <f>'Installment card_1000 (indiv)'!BJ58</f>
        <v>958.01271327084658</v>
      </c>
      <c r="BK71" s="373">
        <f>'Installment card_1000 (indiv)'!BK58</f>
        <v>984.71663450387632</v>
      </c>
      <c r="BL71" s="373">
        <f>'Installment card_1000 (indiv)'!BL58</f>
        <v>1011.0306311612989</v>
      </c>
      <c r="BM71" s="373">
        <f>'Installment card_1000 (indiv)'!BM58</f>
        <v>1036.9243306460212</v>
      </c>
      <c r="BN71" s="373">
        <f>'Installment card_1000 (indiv)'!BN58</f>
        <v>1062.3694280309164</v>
      </c>
      <c r="BO71" s="373">
        <f>'Installment card_1000 (indiv)'!BO58</f>
        <v>1049.0979349689367</v>
      </c>
      <c r="BP71" s="458">
        <f t="shared" si="27"/>
        <v>11922.097213865589</v>
      </c>
      <c r="CP71" s="442" t="s">
        <v>1005</v>
      </c>
      <c r="CQ71" s="12" t="s">
        <v>965</v>
      </c>
    </row>
    <row r="72" spans="1:95" s="60" customFormat="1" ht="15.6">
      <c r="A72" s="60" t="s">
        <v>734</v>
      </c>
      <c r="B72" s="402" t="s">
        <v>502</v>
      </c>
      <c r="D72" s="60">
        <f t="shared" ref="D72:O72" si="28">D68*D65*$B$53+D69*D65*$D$53+D70*D65*$F$53+D71*D65*$H$53</f>
        <v>0</v>
      </c>
      <c r="E72" s="60">
        <f t="shared" si="28"/>
        <v>0</v>
      </c>
      <c r="F72" s="60">
        <f t="shared" si="28"/>
        <v>0</v>
      </c>
      <c r="G72" s="60">
        <f t="shared" si="28"/>
        <v>0</v>
      </c>
      <c r="H72" s="60">
        <f t="shared" si="28"/>
        <v>0</v>
      </c>
      <c r="I72" s="60">
        <f t="shared" si="28"/>
        <v>0</v>
      </c>
      <c r="J72" s="60">
        <f t="shared" si="28"/>
        <v>0</v>
      </c>
      <c r="K72" s="60">
        <f t="shared" si="28"/>
        <v>0</v>
      </c>
      <c r="L72" s="60">
        <f t="shared" si="28"/>
        <v>0</v>
      </c>
      <c r="M72" s="60">
        <f t="shared" si="28"/>
        <v>0</v>
      </c>
      <c r="N72" s="60">
        <f t="shared" si="28"/>
        <v>0</v>
      </c>
      <c r="O72" s="60">
        <f t="shared" si="28"/>
        <v>0</v>
      </c>
      <c r="P72" s="372">
        <f t="shared" si="19"/>
        <v>0</v>
      </c>
      <c r="Q72" s="60">
        <f t="shared" ref="Q72:AB72" si="29">Q68*Q65*$B$53+Q69*Q65*$D$53+Q70*Q65*$F$53+Q71*Q65*$H$53</f>
        <v>0</v>
      </c>
      <c r="R72" s="60">
        <f t="shared" si="29"/>
        <v>0</v>
      </c>
      <c r="S72" s="60">
        <f t="shared" si="29"/>
        <v>0</v>
      </c>
      <c r="T72" s="60">
        <f t="shared" si="29"/>
        <v>0</v>
      </c>
      <c r="U72" s="60">
        <f t="shared" si="29"/>
        <v>0</v>
      </c>
      <c r="V72" s="60">
        <f t="shared" si="29"/>
        <v>0</v>
      </c>
      <c r="W72" s="60">
        <f t="shared" si="29"/>
        <v>9.8127610605960509</v>
      </c>
      <c r="X72" s="60">
        <f t="shared" si="29"/>
        <v>11.064310917782969</v>
      </c>
      <c r="Y72" s="60">
        <f t="shared" si="29"/>
        <v>12.363906596866478</v>
      </c>
      <c r="Z72" s="60">
        <f t="shared" si="29"/>
        <v>13.710331862294773</v>
      </c>
      <c r="AA72" s="60">
        <f t="shared" si="29"/>
        <v>15.10227398759465</v>
      </c>
      <c r="AB72" s="60">
        <f t="shared" si="29"/>
        <v>16.012777591546183</v>
      </c>
      <c r="AC72" s="372">
        <f t="shared" si="21"/>
        <v>78.066362016681097</v>
      </c>
      <c r="AD72" s="60">
        <f t="shared" ref="AD72:AO72" si="30">AD68*AD65*$B$53+AD69*AD65*$D$53+AD70*AD65*$F$53+AD71*AD65*$H$53</f>
        <v>20.804665577789301</v>
      </c>
      <c r="AE72" s="60">
        <f t="shared" si="30"/>
        <v>19.424231401438657</v>
      </c>
      <c r="AF72" s="60">
        <f t="shared" si="30"/>
        <v>21.373484803356344</v>
      </c>
      <c r="AG72" s="60">
        <f t="shared" si="30"/>
        <v>23.403572367520088</v>
      </c>
      <c r="AH72" s="60">
        <f t="shared" si="30"/>
        <v>25.512887819994088</v>
      </c>
      <c r="AI72" s="60">
        <f t="shared" si="30"/>
        <v>27.699650706901409</v>
      </c>
      <c r="AJ72" s="60">
        <f t="shared" si="30"/>
        <v>29.961915144510264</v>
      </c>
      <c r="AK72" s="60">
        <f t="shared" si="30"/>
        <v>32.297578917730789</v>
      </c>
      <c r="AL72" s="60">
        <f t="shared" si="30"/>
        <v>34.704392885185463</v>
      </c>
      <c r="AM72" s="60">
        <f t="shared" si="30"/>
        <v>37.179970648572933</v>
      </c>
      <c r="AN72" s="60">
        <f t="shared" si="30"/>
        <v>39.721798443816553</v>
      </c>
      <c r="AO72" s="60">
        <f t="shared" si="30"/>
        <v>41.265739526629915</v>
      </c>
      <c r="AP72" s="372">
        <f t="shared" si="23"/>
        <v>353.34988824344578</v>
      </c>
      <c r="AQ72" s="60">
        <f t="shared" ref="AQ72:BB72" si="31">AQ68*AQ65*$B$53+AQ69*AQ65*$D$53+AQ70*AQ65*$F$53+AQ71*AQ65*$H$53</f>
        <v>50.841038475904824</v>
      </c>
      <c r="AR72" s="60">
        <f t="shared" si="31"/>
        <v>38.187691355005683</v>
      </c>
      <c r="AS72" s="60">
        <f t="shared" si="31"/>
        <v>39.726907175547268</v>
      </c>
      <c r="AT72" s="60">
        <f t="shared" si="31"/>
        <v>41.278129838422053</v>
      </c>
      <c r="AU72" s="60">
        <f t="shared" si="31"/>
        <v>42.838727213778888</v>
      </c>
      <c r="AV72" s="60">
        <f t="shared" si="31"/>
        <v>44.4061283421089</v>
      </c>
      <c r="AW72" s="60">
        <f t="shared" si="31"/>
        <v>45.977827295192597</v>
      </c>
      <c r="AX72" s="60">
        <f t="shared" si="31"/>
        <v>47.55138675240164</v>
      </c>
      <c r="AY72" s="60">
        <f t="shared" si="31"/>
        <v>49.124441288638288</v>
      </c>
      <c r="AZ72" s="60">
        <f t="shared" si="31"/>
        <v>50.694700371378154</v>
      </c>
      <c r="BA72" s="60">
        <f t="shared" si="31"/>
        <v>52.259951065452583</v>
      </c>
      <c r="BB72" s="60">
        <f t="shared" si="31"/>
        <v>52.607287280976927</v>
      </c>
      <c r="BC72" s="372">
        <f t="shared" si="25"/>
        <v>555.49421645480777</v>
      </c>
      <c r="BD72" s="60">
        <f t="shared" ref="BD72:BO72" si="32">BD68*BD65*$B$53+BD69*BD65*$D$53+BD70*BD65*$F$53+BD71*BD65*$H$53</f>
        <v>70.313874382095634</v>
      </c>
      <c r="BE72" s="60">
        <f t="shared" si="32"/>
        <v>48.696932889578889</v>
      </c>
      <c r="BF72" s="60">
        <f t="shared" si="32"/>
        <v>50.008199015218452</v>
      </c>
      <c r="BG72" s="60">
        <f t="shared" si="32"/>
        <v>51.336544047938887</v>
      </c>
      <c r="BH72" s="60">
        <f t="shared" si="32"/>
        <v>52.679184157486254</v>
      </c>
      <c r="BI72" s="60">
        <f t="shared" si="32"/>
        <v>54.033411363482927</v>
      </c>
      <c r="BJ72" s="60">
        <f t="shared" si="32"/>
        <v>55.396596816407197</v>
      </c>
      <c r="BK72" s="60">
        <f t="shared" si="32"/>
        <v>56.766193749480244</v>
      </c>
      <c r="BL72" s="60">
        <f t="shared" si="32"/>
        <v>58.13974010305175</v>
      </c>
      <c r="BM72" s="60">
        <f t="shared" si="32"/>
        <v>59.514860824273569</v>
      </c>
      <c r="BN72" s="60">
        <f t="shared" si="32"/>
        <v>60.889269845980294</v>
      </c>
      <c r="BO72" s="60">
        <f t="shared" si="32"/>
        <v>60.861622387099395</v>
      </c>
      <c r="BP72" s="372">
        <f t="shared" si="27"/>
        <v>678.63642958209334</v>
      </c>
      <c r="CP72" s="60" t="s">
        <v>1168</v>
      </c>
      <c r="CQ72" s="402" t="s">
        <v>965</v>
      </c>
    </row>
    <row r="73" spans="1:95">
      <c r="B73" s="408"/>
      <c r="CQ73" s="408"/>
    </row>
    <row r="74" spans="1:95" s="60" customFormat="1" ht="15.6">
      <c r="A74" s="60" t="s">
        <v>541</v>
      </c>
      <c r="B74" s="402" t="s">
        <v>293</v>
      </c>
      <c r="D74" s="60">
        <f>(D63+D72)/Funnel!$E$5*1000</f>
        <v>0</v>
      </c>
      <c r="E74" s="60">
        <f>(E63+E72)/Funnel!$E$5*1000</f>
        <v>0</v>
      </c>
      <c r="F74" s="60">
        <f>(F63+F72)/Funnel!$E$5*1000</f>
        <v>0</v>
      </c>
      <c r="G74" s="60">
        <f>(G63+G72)/Funnel!$E$5*1000</f>
        <v>0</v>
      </c>
      <c r="H74" s="60">
        <f>(H63+H72)/Funnel!$E$5*1000</f>
        <v>0</v>
      </c>
      <c r="I74" s="60">
        <f>(I63+I72)/Funnel!$E$5*1000</f>
        <v>0</v>
      </c>
      <c r="J74" s="60">
        <f>(J63+J72)/Funnel!$E$5*1000</f>
        <v>0</v>
      </c>
      <c r="K74" s="60">
        <f>(K63+K72)/Funnel!$E$5*1000</f>
        <v>0</v>
      </c>
      <c r="L74" s="60">
        <f>(L63+L72)/Funnel!$E$5*1000</f>
        <v>0.98940529926782494</v>
      </c>
      <c r="M74" s="60">
        <f>(M63+M72)/Funnel!$E$5*1000</f>
        <v>1.1221465477219774</v>
      </c>
      <c r="N74" s="60">
        <f>(N63+N72)/Funnel!$E$5*1000</f>
        <v>1.2593162066230441</v>
      </c>
      <c r="O74" s="60">
        <f>(O63+O72)/Funnel!$E$5*1000</f>
        <v>1.3409839241999297</v>
      </c>
      <c r="P74" s="372">
        <f>SUM(D74:O74)</f>
        <v>4.7118519778127759</v>
      </c>
      <c r="Q74" s="60">
        <f>(Q63+Q72)/Funnel!$F$5*1000</f>
        <v>9.2496255740465578</v>
      </c>
      <c r="R74" s="60">
        <f>(R63+R72)/Funnel!$F$5*1000</f>
        <v>10.113947472023963</v>
      </c>
      <c r="S74" s="60">
        <f>(S63+S72)/Funnel!$F$5*1000</f>
        <v>11.454558460659758</v>
      </c>
      <c r="T74" s="60">
        <f>(T63+T72)/Funnel!$F$5*1000</f>
        <v>12.859660529705536</v>
      </c>
      <c r="U74" s="60">
        <f>(U63+U72)/Funnel!$F$5*1000</f>
        <v>14.328413025711736</v>
      </c>
      <c r="V74" s="60">
        <f>(V63+V72)/Funnel!$F$5*1000</f>
        <v>15.859828679645755</v>
      </c>
      <c r="W74" s="60">
        <f>(W63+W72)/Funnel!$F$5*1000</f>
        <v>37.078300482305707</v>
      </c>
      <c r="X74" s="60">
        <f>(X63+X72)/Funnel!$F$5*1000</f>
        <v>41.23461805665346</v>
      </c>
      <c r="Y74" s="60">
        <f>(Y63+Y72)/Funnel!$F$5*1000</f>
        <v>45.545898392193244</v>
      </c>
      <c r="Z74" s="60">
        <f>(Z63+Z72)/Funnel!$F$5*1000</f>
        <v>50.008186589125678</v>
      </c>
      <c r="AA74" s="60">
        <f>(AA63+AA72)/Funnel!$F$5*1000</f>
        <v>54.617215553685845</v>
      </c>
      <c r="AB74" s="60">
        <f>(AB63+AB72)/Funnel!$F$5*1000</f>
        <v>57.623592350545621</v>
      </c>
      <c r="AC74" s="372">
        <f>SUM(Q74:AB74)</f>
        <v>359.97384516630285</v>
      </c>
      <c r="AD74" s="60">
        <f>(AD63+AD72)/Funnel!$G$5*1000</f>
        <v>86.106593380572349</v>
      </c>
      <c r="AE74" s="60">
        <f>(AE63+AE72)/Funnel!$G$5*1000</f>
        <v>70.620732735796452</v>
      </c>
      <c r="AF74" s="60">
        <f>(AF63+AF72)/Funnel!$G$5*1000</f>
        <v>77.208251378241187</v>
      </c>
      <c r="AG74" s="60">
        <f>(AG63+AG72)/Funnel!$G$5*1000</f>
        <v>84.063707845612868</v>
      </c>
      <c r="AH74" s="60">
        <f>(AH63+AH72)/Funnel!$G$5*1000</f>
        <v>91.181820043974227</v>
      </c>
      <c r="AI74" s="60">
        <f>(AI63+AI72)/Funnel!$G$5*1000</f>
        <v>98.556724990695173</v>
      </c>
      <c r="AJ74" s="60">
        <f>(AJ63+AJ72)/Funnel!$G$5*1000</f>
        <v>106.18200779147844</v>
      </c>
      <c r="AK74" s="60">
        <f>(AK63+AK72)/Funnel!$G$5*1000</f>
        <v>114.05073178444889</v>
      </c>
      <c r="AL74" s="60">
        <f>(AL63+AL72)/Funnel!$G$5*1000</f>
        <v>122.15546971242586</v>
      </c>
      <c r="AM74" s="60">
        <f>(AM63+AM72)/Funnel!$G$5*1000</f>
        <v>130.48833578298263</v>
      </c>
      <c r="AN74" s="60">
        <f>(AN63+AN72)/Funnel!$G$5*1000</f>
        <v>139.04101847508957</v>
      </c>
      <c r="AO74" s="60">
        <f>(AO63+AO72)/Funnel!$G$5*1000</f>
        <v>144.21389186289124</v>
      </c>
      <c r="AP74" s="372">
        <f>SUM(AD74:AO74)</f>
        <v>1263.8692857842088</v>
      </c>
      <c r="AQ74" s="60">
        <f>(AQ63+AQ72)/Funnel!$H$5*1000</f>
        <v>206.42951287510061</v>
      </c>
      <c r="AR74" s="60">
        <f>(AR63+AR72)/Funnel!$H$5*1000</f>
        <v>136.47138395525258</v>
      </c>
      <c r="AS74" s="60">
        <f>(AS63+AS72)/Funnel!$H$5*1000</f>
        <v>141.62931049525005</v>
      </c>
      <c r="AT74" s="60">
        <f>(AT63+AT72)/Funnel!$H$5*1000</f>
        <v>146.83066274372766</v>
      </c>
      <c r="AU74" s="60">
        <f>(AU63+AU72)/Funnel!$H$5*1000</f>
        <v>152.06646715326724</v>
      </c>
      <c r="AV74" s="60">
        <f>(AV63+AV72)/Funnel!$H$5*1000</f>
        <v>157.32795462018936</v>
      </c>
      <c r="AW74" s="60">
        <f>(AW63+AW72)/Funnel!$H$5*1000</f>
        <v>162.60657377338751</v>
      </c>
      <c r="AX74" s="60">
        <f>(AX63+AX72)/Funnel!$H$5*1000</f>
        <v>167.89400329997937</v>
      </c>
      <c r="AY74" s="60">
        <f>(AY63+AY72)/Funnel!$H$5*1000</f>
        <v>173.18216329447586</v>
      </c>
      <c r="AZ74" s="60">
        <f>(AZ63+AZ72)/Funnel!$H$5*1000</f>
        <v>178.46322562218847</v>
      </c>
      <c r="BA74" s="60">
        <f>(BA63+BA72)/Funnel!$H$5*1000</f>
        <v>183.72962329158008</v>
      </c>
      <c r="BB74" s="60">
        <f>(BB63+BB72)/Funnel!$H$5*1000</f>
        <v>184.79845636197928</v>
      </c>
      <c r="BC74" s="372">
        <f>SUM(AQ74:BB74)</f>
        <v>1991.4293374863782</v>
      </c>
      <c r="BD74" s="60">
        <f>(BD63+BD72)/Funnel!$I$5*1000</f>
        <v>288.62590068137052</v>
      </c>
      <c r="BE74" s="60">
        <f>(BE63+BE72)/Funnel!$I$5*1000</f>
        <v>174.73448809299538</v>
      </c>
      <c r="BF74" s="60">
        <f>(BF63+BF72)/Funnel!$I$5*1000</f>
        <v>179.21430424944532</v>
      </c>
      <c r="BG74" s="60">
        <f>(BG63+BG72)/Funnel!$I$5*1000</f>
        <v>183.75731981857109</v>
      </c>
      <c r="BH74" s="60">
        <f>(BH63+BH72)/Funnel!$I$5*1000</f>
        <v>188.35377267508201</v>
      </c>
      <c r="BI74" s="60">
        <f>(BI63+BI72)/Funnel!$I$5*1000</f>
        <v>192.99416119285695</v>
      </c>
      <c r="BJ74" s="60">
        <f>(BJ63+BJ72)/Funnel!$I$5*1000</f>
        <v>197.6692559550346</v>
      </c>
      <c r="BK74" s="60">
        <f>(BK63+BK72)/Funnel!$I$5*1000</f>
        <v>202.3701103173903</v>
      </c>
      <c r="BL74" s="60">
        <f>(BL63+BL72)/Funnel!$I$5*1000</f>
        <v>207.08806982965396</v>
      </c>
      <c r="BM74" s="60">
        <f>(BM63+BM72)/Funnel!$I$5*1000</f>
        <v>211.81478052361166</v>
      </c>
      <c r="BN74" s="60">
        <f>(BN63+BN72)/Funnel!$I$5*1000</f>
        <v>216.54219608081388</v>
      </c>
      <c r="BO74" s="60">
        <f>(BO63+BO72)/Funnel!$I$5*1000</f>
        <v>216.34080520288731</v>
      </c>
      <c r="BP74" s="372">
        <f>SUM(BD74:BO74)</f>
        <v>2459.505164619713</v>
      </c>
      <c r="BR74" s="60">
        <f>D74+E74+F74</f>
        <v>0</v>
      </c>
      <c r="BS74" s="60">
        <f>G74+H74+I74</f>
        <v>0</v>
      </c>
      <c r="BT74" s="60">
        <f>J74+K74+L74</f>
        <v>0.98940529926782494</v>
      </c>
      <c r="BU74" s="60">
        <f>M74+N74+O74</f>
        <v>3.7224466785449515</v>
      </c>
      <c r="BV74" s="60">
        <f>SUM(Q74:V74)</f>
        <v>73.866033741793316</v>
      </c>
      <c r="BW74" s="60">
        <f>SUM(W74:AB74)</f>
        <v>286.10781142450952</v>
      </c>
      <c r="BX74" s="60">
        <f>SUM(AD74:AI74)</f>
        <v>507.73783037489221</v>
      </c>
      <c r="BY74" s="60">
        <f>SUM(AJ74:AO74)</f>
        <v>756.13145540931669</v>
      </c>
      <c r="BZ74" s="60">
        <f>SUM(AQ74:AV74)</f>
        <v>940.75529184278753</v>
      </c>
      <c r="CA74" s="60">
        <f>SUM(AW74:BB74)</f>
        <v>1050.6740456435907</v>
      </c>
      <c r="CB74" s="60">
        <f>SUM(BD74:BI74)</f>
        <v>1207.6799467103215</v>
      </c>
      <c r="CC74" s="60">
        <f>SUM(BJ74:BO74)</f>
        <v>1251.8252179093918</v>
      </c>
      <c r="CP74" s="60" t="s">
        <v>1167</v>
      </c>
      <c r="CQ74" s="402" t="s">
        <v>967</v>
      </c>
    </row>
    <row r="75" spans="1:95">
      <c r="B75" s="408"/>
    </row>
    <row r="76" spans="1:95">
      <c r="B76" s="408"/>
    </row>
    <row r="77" spans="1:95">
      <c r="B77" s="408"/>
    </row>
    <row r="78" spans="1:95">
      <c r="B78" s="408"/>
    </row>
    <row r="79" spans="1:95">
      <c r="B79" s="408"/>
    </row>
  </sheetData>
  <conditionalFormatting sqref="C51">
    <cfRule type="cellIs" dxfId="1" priority="2" operator="notEqual">
      <formula>1</formula>
    </cfRule>
  </conditionalFormatting>
  <conditionalFormatting sqref="E51 G51 I51">
    <cfRule type="cellIs" dxfId="0" priority="1" operator="notEqual">
      <formula>1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7" tint="0.79998168889431442"/>
  </sheetPr>
  <dimension ref="A1:W156"/>
  <sheetViews>
    <sheetView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ColWidth="8.88671875" defaultRowHeight="13.8" outlineLevelRow="1" outlineLevelCol="1"/>
  <cols>
    <col min="1" max="1" width="70.33203125" style="143" customWidth="1"/>
    <col min="2" max="2" width="10.5546875" style="143" customWidth="1"/>
    <col min="3" max="3" width="10" style="143" customWidth="1" outlineLevel="1"/>
    <col min="4" max="4" width="22.88671875" style="143" customWidth="1" outlineLevel="1"/>
    <col min="5" max="15" width="21.6640625" style="143" customWidth="1" outlineLevel="1"/>
    <col min="16" max="16" width="22.88671875" style="143" customWidth="1" outlineLevel="1"/>
    <col min="17" max="17" width="5.5546875" style="143" customWidth="1"/>
    <col min="18" max="23" width="16.109375" style="143" hidden="1" customWidth="1"/>
    <col min="24" max="16384" width="8.88671875" style="143"/>
  </cols>
  <sheetData>
    <row r="1" spans="1:23" s="105" customFormat="1" ht="19.8">
      <c r="A1" s="156" t="s">
        <v>1262</v>
      </c>
      <c r="B1" s="156"/>
      <c r="C1" s="156"/>
      <c r="D1" s="156"/>
      <c r="E1" s="156"/>
      <c r="F1" s="156"/>
      <c r="G1" s="157"/>
      <c r="H1" s="157"/>
      <c r="I1" s="157"/>
      <c r="J1" s="157"/>
      <c r="K1" s="157"/>
      <c r="L1" s="157"/>
      <c r="M1" s="157"/>
      <c r="N1" s="157"/>
      <c r="O1" s="157"/>
      <c r="P1" s="157"/>
      <c r="R1" s="104"/>
      <c r="S1" s="104"/>
      <c r="T1" s="104"/>
      <c r="U1" s="104"/>
      <c r="V1" s="104"/>
      <c r="W1" s="104"/>
    </row>
    <row r="2" spans="1:23" s="107" customFormat="1">
      <c r="A2" s="106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R2" s="109"/>
      <c r="S2" s="109"/>
      <c r="T2" s="109"/>
      <c r="U2" s="109"/>
      <c r="V2" s="109"/>
      <c r="W2" s="109"/>
    </row>
    <row r="3" spans="1:23" s="108" customFormat="1">
      <c r="A3" s="110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R3" s="111"/>
      <c r="S3" s="111"/>
      <c r="T3" s="111"/>
      <c r="U3" s="111"/>
      <c r="V3" s="111"/>
      <c r="W3" s="111"/>
    </row>
    <row r="4" spans="1:23" s="147" customFormat="1">
      <c r="A4" s="696"/>
      <c r="D4" s="148">
        <v>2024</v>
      </c>
      <c r="E4" s="148">
        <v>2025</v>
      </c>
      <c r="F4" s="148">
        <v>2025</v>
      </c>
      <c r="G4" s="148">
        <v>2025</v>
      </c>
      <c r="H4" s="148">
        <v>2025</v>
      </c>
      <c r="I4" s="148">
        <v>2026</v>
      </c>
      <c r="J4" s="148">
        <v>2026</v>
      </c>
      <c r="K4" s="148">
        <v>2027</v>
      </c>
      <c r="L4" s="148">
        <v>2027</v>
      </c>
      <c r="M4" s="148">
        <v>2028</v>
      </c>
      <c r="N4" s="148">
        <v>2028</v>
      </c>
      <c r="O4" s="148">
        <v>2029</v>
      </c>
      <c r="P4" s="148">
        <v>2029</v>
      </c>
      <c r="R4" s="148">
        <v>2024</v>
      </c>
      <c r="S4" s="148">
        <v>2025</v>
      </c>
      <c r="T4" s="148">
        <v>2026</v>
      </c>
      <c r="U4" s="148">
        <v>2027</v>
      </c>
      <c r="V4" s="148">
        <v>2028</v>
      </c>
      <c r="W4" s="148">
        <v>2029</v>
      </c>
    </row>
    <row r="5" spans="1:23" s="149" customFormat="1">
      <c r="A5" s="697"/>
      <c r="B5" s="150"/>
      <c r="C5" s="150"/>
      <c r="D5" s="151" t="s">
        <v>294</v>
      </c>
      <c r="E5" s="151" t="s">
        <v>431</v>
      </c>
      <c r="F5" s="151" t="s">
        <v>432</v>
      </c>
      <c r="G5" s="151" t="s">
        <v>433</v>
      </c>
      <c r="H5" s="151" t="s">
        <v>434</v>
      </c>
      <c r="I5" s="151" t="s">
        <v>435</v>
      </c>
      <c r="J5" s="151" t="s">
        <v>436</v>
      </c>
      <c r="K5" s="151" t="s">
        <v>435</v>
      </c>
      <c r="L5" s="151" t="s">
        <v>436</v>
      </c>
      <c r="M5" s="151" t="s">
        <v>435</v>
      </c>
      <c r="N5" s="151" t="s">
        <v>436</v>
      </c>
      <c r="O5" s="151" t="s">
        <v>435</v>
      </c>
      <c r="P5" s="151" t="s">
        <v>436</v>
      </c>
      <c r="R5" s="151" t="s">
        <v>294</v>
      </c>
      <c r="S5" s="151" t="s">
        <v>308</v>
      </c>
      <c r="T5" s="151" t="s">
        <v>309</v>
      </c>
      <c r="U5" s="151" t="s">
        <v>311</v>
      </c>
      <c r="V5" s="151" t="s">
        <v>310</v>
      </c>
      <c r="W5" s="151" t="s">
        <v>312</v>
      </c>
    </row>
    <row r="6" spans="1:23" s="114" customFormat="1">
      <c r="A6" s="698"/>
      <c r="D6" s="158">
        <v>0</v>
      </c>
      <c r="E6" s="115">
        <v>1</v>
      </c>
      <c r="F6" s="115">
        <v>2</v>
      </c>
      <c r="G6" s="115">
        <v>3</v>
      </c>
      <c r="H6" s="115">
        <v>4</v>
      </c>
      <c r="I6" s="115">
        <v>5</v>
      </c>
      <c r="J6" s="115">
        <v>6</v>
      </c>
      <c r="K6" s="115">
        <v>7</v>
      </c>
      <c r="L6" s="115">
        <v>8</v>
      </c>
      <c r="M6" s="115">
        <v>9</v>
      </c>
      <c r="N6" s="115">
        <v>10</v>
      </c>
      <c r="O6" s="115">
        <v>11</v>
      </c>
      <c r="P6" s="115">
        <v>12</v>
      </c>
      <c r="R6" s="115"/>
      <c r="S6" s="115"/>
      <c r="T6" s="115"/>
      <c r="U6" s="115"/>
      <c r="V6" s="115"/>
      <c r="W6" s="115"/>
    </row>
    <row r="7" spans="1:23" s="119" customFormat="1" ht="12.6">
      <c r="A7" s="132" t="s">
        <v>1263</v>
      </c>
      <c r="B7" s="116"/>
      <c r="C7" s="117"/>
      <c r="D7" s="117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R7" s="190"/>
      <c r="S7" s="190"/>
      <c r="T7" s="190"/>
      <c r="U7" s="190"/>
      <c r="V7" s="190"/>
      <c r="W7" s="190"/>
    </row>
    <row r="8" spans="1:23" s="127" customFormat="1" ht="12.6">
      <c r="A8" s="227" t="s">
        <v>1295</v>
      </c>
      <c r="B8" s="138" t="s">
        <v>394</v>
      </c>
      <c r="D8" s="134">
        <f>'Funnel QH'!D24</f>
        <v>3280000</v>
      </c>
      <c r="E8" s="134">
        <f>'Funnel QH'!E24</f>
        <v>3456287.6247671233</v>
      </c>
      <c r="F8" s="134">
        <f>'Funnel QH'!F24</f>
        <v>3634534.0009205476</v>
      </c>
      <c r="G8" s="134">
        <f>'Funnel QH'!G24</f>
        <v>3814739.1284602741</v>
      </c>
      <c r="H8" s="134">
        <f>'Funnel QH'!H24</f>
        <v>4004864.2560000005</v>
      </c>
      <c r="I8" s="134">
        <f>'Funnel QH'!I24</f>
        <v>4211580.2687999997</v>
      </c>
      <c r="J8" s="134">
        <f>'Funnel QH'!J24</f>
        <v>4449960.2816000003</v>
      </c>
      <c r="K8" s="134">
        <f>'Funnel QH'!K24</f>
        <v>4705359.8000000007</v>
      </c>
      <c r="L8" s="134">
        <f>'Funnel QH'!L24</f>
        <v>4972759.3184000002</v>
      </c>
      <c r="M8" s="134">
        <f>'Funnel QH'!M24</f>
        <v>5280686.1488800002</v>
      </c>
      <c r="N8" s="134">
        <f>'Funnel QH'!N24</f>
        <v>5601996.9793599993</v>
      </c>
      <c r="O8" s="134">
        <f>'Funnel QH'!O24</f>
        <v>5994608.7393720001</v>
      </c>
      <c r="P8" s="134">
        <f>'Funnel QH'!P24</f>
        <v>6402436.499384</v>
      </c>
      <c r="R8" s="134">
        <f>D8</f>
        <v>3280000</v>
      </c>
      <c r="S8" s="134">
        <f t="shared" ref="S8" si="0">H8</f>
        <v>4004864.2560000005</v>
      </c>
      <c r="T8" s="134">
        <f>J8</f>
        <v>4449960.2816000003</v>
      </c>
      <c r="U8" s="134">
        <f>L8</f>
        <v>4972759.3184000002</v>
      </c>
      <c r="V8" s="134">
        <f>N8</f>
        <v>5601996.9793599993</v>
      </c>
      <c r="W8" s="134">
        <f>P8</f>
        <v>6402436.499384</v>
      </c>
    </row>
    <row r="9" spans="1:23" s="127" customFormat="1" ht="12.6">
      <c r="A9" s="227" t="s">
        <v>1296</v>
      </c>
      <c r="B9" s="138" t="s">
        <v>394</v>
      </c>
      <c r="E9" s="128"/>
      <c r="F9" s="128"/>
      <c r="G9" s="134">
        <f>G29+G73+G117</f>
        <v>38147.391284602738</v>
      </c>
      <c r="H9" s="134">
        <f t="shared" ref="H9:P9" si="1">H29+H73+H117</f>
        <v>47816.076784512006</v>
      </c>
      <c r="I9" s="134">
        <f t="shared" si="1"/>
        <v>60279.842997702144</v>
      </c>
      <c r="J9" s="134">
        <f t="shared" si="1"/>
        <v>76337.0536888325</v>
      </c>
      <c r="K9" s="134">
        <f t="shared" si="1"/>
        <v>111281.96585411667</v>
      </c>
      <c r="L9" s="134">
        <f t="shared" si="1"/>
        <v>161522.14670306386</v>
      </c>
      <c r="M9" s="134">
        <f t="shared" si="1"/>
        <v>236447.52721394965</v>
      </c>
      <c r="N9" s="134">
        <f t="shared" si="1"/>
        <v>345891.29691531329</v>
      </c>
      <c r="O9" s="134">
        <f t="shared" si="1"/>
        <v>374461.49958997482</v>
      </c>
      <c r="P9" s="134">
        <f t="shared" si="1"/>
        <v>406379.43824140233</v>
      </c>
      <c r="R9" s="134">
        <f t="shared" ref="R9:R12" si="2">D9</f>
        <v>0</v>
      </c>
      <c r="S9" s="134">
        <f t="shared" ref="S9:S12" si="3">H9</f>
        <v>47816.076784512006</v>
      </c>
      <c r="T9" s="134">
        <f t="shared" ref="T9:T12" si="4">J9</f>
        <v>76337.0536888325</v>
      </c>
      <c r="U9" s="134">
        <f t="shared" ref="U9:U12" si="5">L9</f>
        <v>161522.14670306386</v>
      </c>
      <c r="V9" s="134">
        <f t="shared" ref="V9:V12" si="6">N9</f>
        <v>345891.29691531329</v>
      </c>
      <c r="W9" s="134">
        <f t="shared" ref="W9:W12" si="7">P9</f>
        <v>406379.43824140233</v>
      </c>
    </row>
    <row r="10" spans="1:23" s="127" customFormat="1" ht="12.6">
      <c r="A10" s="227" t="s">
        <v>1264</v>
      </c>
      <c r="B10" s="138" t="s">
        <v>231</v>
      </c>
      <c r="E10" s="128"/>
      <c r="F10" s="128"/>
      <c r="G10" s="238">
        <f>G9/G8</f>
        <v>9.9999999999999985E-3</v>
      </c>
      <c r="H10" s="238">
        <f t="shared" ref="H10:P10" si="8">H9/H8</f>
        <v>1.19395E-2</v>
      </c>
      <c r="I10" s="238">
        <f t="shared" si="8"/>
        <v>1.4312880000000002E-2</v>
      </c>
      <c r="J10" s="238">
        <f t="shared" si="8"/>
        <v>1.7154547200000002E-2</v>
      </c>
      <c r="K10" s="238">
        <f t="shared" si="8"/>
        <v>2.3650043903999999E-2</v>
      </c>
      <c r="L10" s="238">
        <f t="shared" si="8"/>
        <v>3.248139239424E-2</v>
      </c>
      <c r="M10" s="238">
        <f t="shared" si="8"/>
        <v>4.4775909900287986E-2</v>
      </c>
      <c r="N10" s="238">
        <f t="shared" si="8"/>
        <v>6.1744284795174895E-2</v>
      </c>
      <c r="O10" s="238">
        <f t="shared" si="8"/>
        <v>6.2466378686326693E-2</v>
      </c>
      <c r="P10" s="238">
        <f t="shared" si="8"/>
        <v>6.3472623005398257E-2</v>
      </c>
      <c r="R10" s="238">
        <f t="shared" si="2"/>
        <v>0</v>
      </c>
      <c r="S10" s="238">
        <f t="shared" si="3"/>
        <v>1.19395E-2</v>
      </c>
      <c r="T10" s="238">
        <f t="shared" si="4"/>
        <v>1.7154547200000002E-2</v>
      </c>
      <c r="U10" s="238">
        <f t="shared" si="5"/>
        <v>3.248139239424E-2</v>
      </c>
      <c r="V10" s="238">
        <f t="shared" si="6"/>
        <v>6.1744284795174895E-2</v>
      </c>
      <c r="W10" s="238">
        <f t="shared" si="7"/>
        <v>6.3472623005398257E-2</v>
      </c>
    </row>
    <row r="11" spans="1:23" s="127" customFormat="1" ht="12.6">
      <c r="A11" s="227" t="s">
        <v>1265</v>
      </c>
      <c r="B11" s="138" t="s">
        <v>394</v>
      </c>
      <c r="E11" s="128"/>
      <c r="F11" s="128"/>
      <c r="G11" s="134">
        <f>G33+G77+G121</f>
        <v>38147.391284602738</v>
      </c>
      <c r="H11" s="134">
        <f t="shared" ref="H11:P11" si="9">H33+H77+H121</f>
        <v>47816.076784512006</v>
      </c>
      <c r="I11" s="134">
        <f t="shared" si="9"/>
        <v>60279.842997702144</v>
      </c>
      <c r="J11" s="134">
        <f t="shared" si="9"/>
        <v>76337.0536888325</v>
      </c>
      <c r="K11" s="134">
        <f t="shared" si="9"/>
        <v>111281.96585411667</v>
      </c>
      <c r="L11" s="134">
        <f t="shared" si="9"/>
        <v>161522.14670306386</v>
      </c>
      <c r="M11" s="134">
        <f t="shared" si="9"/>
        <v>236447.52721394965</v>
      </c>
      <c r="N11" s="134">
        <f t="shared" si="9"/>
        <v>345891.29691531329</v>
      </c>
      <c r="O11" s="134">
        <f t="shared" si="9"/>
        <v>374461.49958997482</v>
      </c>
      <c r="P11" s="134">
        <f t="shared" si="9"/>
        <v>406379.43824140233</v>
      </c>
      <c r="R11" s="134">
        <f t="shared" si="2"/>
        <v>0</v>
      </c>
      <c r="S11" s="134">
        <f t="shared" si="3"/>
        <v>47816.076784512006</v>
      </c>
      <c r="T11" s="134">
        <f t="shared" si="4"/>
        <v>76337.0536888325</v>
      </c>
      <c r="U11" s="134">
        <f t="shared" si="5"/>
        <v>161522.14670306386</v>
      </c>
      <c r="V11" s="134">
        <f t="shared" si="6"/>
        <v>345891.29691531329</v>
      </c>
      <c r="W11" s="134">
        <f t="shared" si="7"/>
        <v>406379.43824140233</v>
      </c>
    </row>
    <row r="12" spans="1:23" s="227" customFormat="1" ht="12.6">
      <c r="A12" s="227" t="s">
        <v>1266</v>
      </c>
      <c r="B12" s="121" t="s">
        <v>1267</v>
      </c>
      <c r="C12" s="138"/>
      <c r="D12" s="134"/>
      <c r="E12" s="134"/>
      <c r="F12" s="134"/>
      <c r="G12" s="134">
        <f>G39+G83+G127</f>
        <v>11737952.298272261</v>
      </c>
      <c r="H12" s="134">
        <f t="shared" ref="H12:P12" si="10">H39+H83+H127</f>
        <v>14717956.238085121</v>
      </c>
      <c r="I12" s="134">
        <f t="shared" si="10"/>
        <v>18648998.723758139</v>
      </c>
      <c r="J12" s="134">
        <f t="shared" si="10"/>
        <v>23760836.471561633</v>
      </c>
      <c r="K12" s="134">
        <f t="shared" si="10"/>
        <v>56031998.019272447</v>
      </c>
      <c r="L12" s="134">
        <f t="shared" si="10"/>
        <v>81356133.155153677</v>
      </c>
      <c r="M12" s="134">
        <f t="shared" si="10"/>
        <v>120958549.50382681</v>
      </c>
      <c r="N12" s="134">
        <f t="shared" si="10"/>
        <v>176601145.11013791</v>
      </c>
      <c r="O12" s="134">
        <f t="shared" si="10"/>
        <v>197649707.80351111</v>
      </c>
      <c r="P12" s="134">
        <f t="shared" si="10"/>
        <v>217210728.18464714</v>
      </c>
      <c r="R12" s="134">
        <f t="shared" si="2"/>
        <v>0</v>
      </c>
      <c r="S12" s="134">
        <f t="shared" si="3"/>
        <v>14717956.238085121</v>
      </c>
      <c r="T12" s="134">
        <f t="shared" si="4"/>
        <v>23760836.471561633</v>
      </c>
      <c r="U12" s="134">
        <f t="shared" si="5"/>
        <v>81356133.155153677</v>
      </c>
      <c r="V12" s="134">
        <f t="shared" si="6"/>
        <v>176601145.11013791</v>
      </c>
      <c r="W12" s="134">
        <f t="shared" si="7"/>
        <v>217210728.18464714</v>
      </c>
    </row>
    <row r="13" spans="1:23" s="227" customFormat="1" ht="12.6">
      <c r="A13" s="227" t="s">
        <v>1266</v>
      </c>
      <c r="B13" s="138" t="s">
        <v>367</v>
      </c>
      <c r="C13" s="138"/>
      <c r="D13" s="134"/>
      <c r="E13" s="134"/>
      <c r="F13" s="134"/>
      <c r="G13" s="134">
        <f>G12/AVERAGE('Funnel QH'!F$30:G$30)</f>
        <v>23475.904596544522</v>
      </c>
      <c r="H13" s="134">
        <f>H12/AVERAGE('Funnel QH'!G$30:H$30)</f>
        <v>29435.912476170241</v>
      </c>
      <c r="I13" s="134">
        <f>I12/AVERAGE('Funnel QH'!H$30:I$30)</f>
        <v>37297.997447516274</v>
      </c>
      <c r="J13" s="134">
        <f>J12/AVERAGE('Funnel QH'!I$30:J$30)</f>
        <v>47521.672943123267</v>
      </c>
      <c r="K13" s="134">
        <f>K12/AVERAGE('Funnel QH'!J$30:K$30)</f>
        <v>112063.99603854489</v>
      </c>
      <c r="L13" s="134">
        <f>L12/AVERAGE('Funnel QH'!K$30:L$30)</f>
        <v>162712.26631030734</v>
      </c>
      <c r="M13" s="134">
        <f>M12/AVERAGE('Funnel QH'!L$30:M$30)</f>
        <v>241917.09900765363</v>
      </c>
      <c r="N13" s="134">
        <f>N12/AVERAGE('Funnel QH'!M$30:N$30)</f>
        <v>353202.29022027581</v>
      </c>
      <c r="O13" s="134">
        <f>O12/AVERAGE('Funnel QH'!N$30:O$30)</f>
        <v>395299.41560702224</v>
      </c>
      <c r="P13" s="134">
        <f>P12/AVERAGE('Funnel QH'!O$30:P$30)</f>
        <v>434421.45636929426</v>
      </c>
      <c r="Q13" s="174"/>
      <c r="R13" s="134">
        <f t="shared" ref="R13" si="11">D13</f>
        <v>0</v>
      </c>
      <c r="S13" s="134">
        <f t="shared" ref="S13" si="12">H13</f>
        <v>29435.912476170241</v>
      </c>
      <c r="T13" s="134">
        <f t="shared" ref="T13" si="13">J13</f>
        <v>47521.672943123267</v>
      </c>
      <c r="U13" s="134">
        <f t="shared" ref="U13" si="14">L13</f>
        <v>162712.26631030734</v>
      </c>
      <c r="V13" s="134">
        <f t="shared" ref="V13" si="15">N13</f>
        <v>353202.29022027581</v>
      </c>
      <c r="W13" s="134">
        <f t="shared" ref="W13" si="16">P13</f>
        <v>434421.45636929426</v>
      </c>
    </row>
    <row r="14" spans="1:23" s="174" customFormat="1" ht="12.6">
      <c r="A14" s="227" t="s">
        <v>1268</v>
      </c>
      <c r="B14" s="121" t="s">
        <v>1267</v>
      </c>
      <c r="C14" s="138"/>
      <c r="D14" s="134"/>
      <c r="E14" s="134"/>
      <c r="F14" s="134"/>
      <c r="G14" s="134">
        <f>G42+G86+G130</f>
        <v>11737952.298272261</v>
      </c>
      <c r="H14" s="134">
        <f t="shared" ref="H14:P14" si="17">H42+H86+H130</f>
        <v>13227954.268178692</v>
      </c>
      <c r="I14" s="134">
        <f t="shared" si="17"/>
        <v>16683477.48092163</v>
      </c>
      <c r="J14" s="134">
        <f t="shared" si="17"/>
        <v>21204917.59765989</v>
      </c>
      <c r="K14" s="134">
        <f t="shared" si="17"/>
        <v>39896417.245417036</v>
      </c>
      <c r="L14" s="134">
        <f t="shared" si="17"/>
        <v>68694065.587213054</v>
      </c>
      <c r="M14" s="134">
        <f t="shared" si="17"/>
        <v>101157341.32949024</v>
      </c>
      <c r="N14" s="134">
        <f t="shared" si="17"/>
        <v>148779847.30698234</v>
      </c>
      <c r="O14" s="134">
        <f t="shared" si="17"/>
        <v>187125426.45682451</v>
      </c>
      <c r="P14" s="134">
        <f t="shared" si="17"/>
        <v>207430217.99407911</v>
      </c>
      <c r="R14" s="134">
        <f t="shared" ref="R14" si="18">D14</f>
        <v>0</v>
      </c>
      <c r="S14" s="134">
        <f>AVERAGE(E14:H14)</f>
        <v>12482953.283225477</v>
      </c>
      <c r="T14" s="134">
        <f>AVERAGE(I14:J14)</f>
        <v>18944197.53929076</v>
      </c>
      <c r="U14" s="134">
        <f>AVERAGE(K14:L14)</f>
        <v>54295241.416315049</v>
      </c>
      <c r="V14" s="134">
        <f>AVERAGE(M14:N14)</f>
        <v>124968594.31823629</v>
      </c>
      <c r="W14" s="134">
        <f>AVERAGE(O14:P14)</f>
        <v>197277822.22545183</v>
      </c>
    </row>
    <row r="15" spans="1:23" s="174" customFormat="1" ht="12.6">
      <c r="A15" s="227" t="s">
        <v>1268</v>
      </c>
      <c r="B15" s="138" t="s">
        <v>367</v>
      </c>
      <c r="C15" s="138"/>
      <c r="D15" s="134"/>
      <c r="E15" s="134"/>
      <c r="F15" s="134"/>
      <c r="G15" s="134">
        <f>G14/AVERAGE('Funnel QH'!F$30:G$30)</f>
        <v>23475.904596544522</v>
      </c>
      <c r="H15" s="134">
        <f>H14/AVERAGE('Funnel QH'!G$30:H$30)</f>
        <v>26455.908536357383</v>
      </c>
      <c r="I15" s="134">
        <f>I14/AVERAGE('Funnel QH'!H$30:I$30)</f>
        <v>33366.954961843257</v>
      </c>
      <c r="J15" s="134">
        <f>J14/AVERAGE('Funnel QH'!I$30:J$30)</f>
        <v>42409.835195319778</v>
      </c>
      <c r="K15" s="134">
        <f>K14/AVERAGE('Funnel QH'!J$30:K$30)</f>
        <v>79792.834490834066</v>
      </c>
      <c r="L15" s="134">
        <f>L14/AVERAGE('Funnel QH'!K$30:L$30)</f>
        <v>137388.13117442612</v>
      </c>
      <c r="M15" s="134">
        <f>M14/AVERAGE('Funnel QH'!L$30:M$30)</f>
        <v>202314.68265898048</v>
      </c>
      <c r="N15" s="134">
        <f>N14/AVERAGE('Funnel QH'!M$30:N$30)</f>
        <v>297559.6946139647</v>
      </c>
      <c r="O15" s="134">
        <f>O14/AVERAGE('Funnel QH'!N$30:O$30)</f>
        <v>374250.852913649</v>
      </c>
      <c r="P15" s="134">
        <f>P14/AVERAGE('Funnel QH'!O$30:P$30)</f>
        <v>414860.43598815822</v>
      </c>
      <c r="R15" s="134">
        <f t="shared" ref="R15" si="19">D15</f>
        <v>0</v>
      </c>
      <c r="S15" s="134">
        <f>AVERAGE(E15:H15)</f>
        <v>24965.906566450954</v>
      </c>
      <c r="T15" s="134">
        <f>AVERAGE(I15:J15)</f>
        <v>37888.395078581518</v>
      </c>
      <c r="U15" s="134">
        <f>AVERAGE(K15:L15)</f>
        <v>108590.48283263009</v>
      </c>
      <c r="V15" s="134">
        <f>AVERAGE(M15:N15)</f>
        <v>249937.18863647259</v>
      </c>
      <c r="W15" s="134">
        <f>AVERAGE(O15:P15)</f>
        <v>394555.64445090364</v>
      </c>
    </row>
    <row r="16" spans="1:23" s="174" customFormat="1" ht="12.6">
      <c r="A16" s="227" t="s">
        <v>1269</v>
      </c>
      <c r="B16" s="138" t="s">
        <v>1267</v>
      </c>
      <c r="C16" s="138"/>
      <c r="D16" s="134"/>
      <c r="E16" s="134"/>
      <c r="F16" s="134"/>
      <c r="G16" s="134">
        <f t="shared" ref="G16:P16" si="20">G59+G103+G147</f>
        <v>-340598.98308457556</v>
      </c>
      <c r="H16" s="134">
        <f t="shared" si="20"/>
        <v>-383739.43291705259</v>
      </c>
      <c r="I16" s="134">
        <f t="shared" si="20"/>
        <v>-964151.61564469349</v>
      </c>
      <c r="J16" s="134">
        <f t="shared" si="20"/>
        <v>-1216322.0984204744</v>
      </c>
      <c r="K16" s="134">
        <f t="shared" si="20"/>
        <v>-2692056.2729532649</v>
      </c>
      <c r="L16" s="134">
        <f t="shared" si="20"/>
        <v>-4655314.2540347781</v>
      </c>
      <c r="M16" s="134">
        <f t="shared" si="20"/>
        <v>-7353915.2224757783</v>
      </c>
      <c r="N16" s="134">
        <f t="shared" si="20"/>
        <v>-10847063.385809334</v>
      </c>
      <c r="O16" s="134">
        <f t="shared" si="20"/>
        <v>-14521807.163047463</v>
      </c>
      <c r="P16" s="134">
        <f t="shared" si="20"/>
        <v>-15990735.618125508</v>
      </c>
      <c r="R16" s="134">
        <f>D16</f>
        <v>0</v>
      </c>
      <c r="S16" s="134">
        <f>E16+F16+G16+H16</f>
        <v>-724338.41600162815</v>
      </c>
      <c r="T16" s="134">
        <f>I16+J16</f>
        <v>-2180473.7140651681</v>
      </c>
      <c r="U16" s="134">
        <f>K16+L16</f>
        <v>-7347370.5269880425</v>
      </c>
      <c r="V16" s="134">
        <f>M16+N16</f>
        <v>-18200978.608285114</v>
      </c>
      <c r="W16" s="134">
        <f>O16+P16</f>
        <v>-30512542.781172968</v>
      </c>
    </row>
    <row r="17" spans="1:23" s="174" customFormat="1" ht="12.6">
      <c r="A17" s="227" t="s">
        <v>1269</v>
      </c>
      <c r="B17" s="138" t="s">
        <v>367</v>
      </c>
      <c r="C17" s="138"/>
      <c r="D17" s="134"/>
      <c r="E17" s="134"/>
      <c r="F17" s="134"/>
      <c r="G17" s="134">
        <f>G16/AVERAGE('Funnel QH'!F$30:G$30)</f>
        <v>-681.19796616915107</v>
      </c>
      <c r="H17" s="134">
        <f>H16/AVERAGE('Funnel QH'!G$30:H$30)</f>
        <v>-767.47886583410514</v>
      </c>
      <c r="I17" s="134">
        <f>I16/AVERAGE('Funnel QH'!H$30:I$30)</f>
        <v>-1928.303231289387</v>
      </c>
      <c r="J17" s="134">
        <f>J16/AVERAGE('Funnel QH'!I$30:J$30)</f>
        <v>-2432.644196840949</v>
      </c>
      <c r="K17" s="134">
        <f>K16/AVERAGE('Funnel QH'!J$30:K$30)</f>
        <v>-5384.1125459065297</v>
      </c>
      <c r="L17" s="134">
        <f>L16/AVERAGE('Funnel QH'!K$30:L$30)</f>
        <v>-9310.6285080695561</v>
      </c>
      <c r="M17" s="134">
        <f>M16/AVERAGE('Funnel QH'!L$30:M$30)</f>
        <v>-14707.830444951556</v>
      </c>
      <c r="N17" s="134">
        <f>N16/AVERAGE('Funnel QH'!M$30:N$30)</f>
        <v>-21694.126771618667</v>
      </c>
      <c r="O17" s="134">
        <f>O16/AVERAGE('Funnel QH'!N$30:O$30)</f>
        <v>-29043.614326094925</v>
      </c>
      <c r="P17" s="134">
        <f>P16/AVERAGE('Funnel QH'!O$30:P$30)</f>
        <v>-31981.471236251014</v>
      </c>
      <c r="R17" s="134">
        <f>D17</f>
        <v>0</v>
      </c>
      <c r="S17" s="134">
        <f>E17+F17+G17+H17</f>
        <v>-1448.6768320032561</v>
      </c>
      <c r="T17" s="134">
        <f>I17+J17</f>
        <v>-4360.9474281303355</v>
      </c>
      <c r="U17" s="134">
        <f>K17+L17</f>
        <v>-14694.741053976086</v>
      </c>
      <c r="V17" s="134">
        <f>M17+N17</f>
        <v>-36401.957216570227</v>
      </c>
      <c r="W17" s="134">
        <f>O17+P17</f>
        <v>-61025.085562345936</v>
      </c>
    </row>
    <row r="18" spans="1:23" s="174" customFormat="1" ht="12.6">
      <c r="A18" s="227" t="s">
        <v>1270</v>
      </c>
      <c r="B18" s="138" t="s">
        <v>1267</v>
      </c>
      <c r="C18" s="138"/>
      <c r="D18" s="134"/>
      <c r="E18" s="134"/>
      <c r="F18" s="134"/>
      <c r="G18" s="134">
        <f>G58+G102+G146</f>
        <v>399288.74457593687</v>
      </c>
      <c r="H18" s="134">
        <f t="shared" ref="H18:P18" si="21">H58+H102+H146</f>
        <v>449879.20425794611</v>
      </c>
      <c r="I18" s="134">
        <f t="shared" si="21"/>
        <v>1130986.3904539102</v>
      </c>
      <c r="J18" s="134">
        <f t="shared" si="21"/>
        <v>1428371.2743970735</v>
      </c>
      <c r="K18" s="134">
        <f t="shared" si="21"/>
        <v>2899283.9695054209</v>
      </c>
      <c r="L18" s="134">
        <f t="shared" si="21"/>
        <v>5010574.6078993147</v>
      </c>
      <c r="M18" s="134">
        <f t="shared" si="21"/>
        <v>7631760.5805033604</v>
      </c>
      <c r="N18" s="134">
        <f t="shared" si="21"/>
        <v>11252379.985742614</v>
      </c>
      <c r="O18" s="134">
        <f t="shared" si="21"/>
        <v>15034443.424539374</v>
      </c>
      <c r="P18" s="134">
        <f t="shared" si="21"/>
        <v>16569679.345250787</v>
      </c>
      <c r="R18" s="134">
        <f>D18</f>
        <v>0</v>
      </c>
      <c r="S18" s="134">
        <f>E18+F18+G18+H18</f>
        <v>849167.94883388304</v>
      </c>
      <c r="T18" s="134">
        <f>I18+J18</f>
        <v>2559357.6648509838</v>
      </c>
      <c r="U18" s="134">
        <f>K18+L18</f>
        <v>7909858.5774047356</v>
      </c>
      <c r="V18" s="134">
        <f>M18+N18</f>
        <v>18884140.566245973</v>
      </c>
      <c r="W18" s="134">
        <f>O18+P18</f>
        <v>31604122.769790161</v>
      </c>
    </row>
    <row r="19" spans="1:23" s="174" customFormat="1" ht="12.6">
      <c r="A19" s="227" t="s">
        <v>1270</v>
      </c>
      <c r="B19" s="138" t="s">
        <v>367</v>
      </c>
      <c r="C19" s="138"/>
      <c r="D19" s="134"/>
      <c r="E19" s="134"/>
      <c r="F19" s="134"/>
      <c r="G19" s="134">
        <f>G18/AVERAGE('Funnel QH'!F$30:G$30)</f>
        <v>798.57748915187369</v>
      </c>
      <c r="H19" s="134">
        <f>H18/AVERAGE('Funnel QH'!G$30:H$30)</f>
        <v>899.75840851589226</v>
      </c>
      <c r="I19" s="134">
        <f>I18/AVERAGE('Funnel QH'!H$30:I$30)</f>
        <v>2261.9727809078204</v>
      </c>
      <c r="J19" s="134">
        <f>J18/AVERAGE('Funnel QH'!I$30:J$30)</f>
        <v>2856.7425487941473</v>
      </c>
      <c r="K19" s="134">
        <f>K18/AVERAGE('Funnel QH'!J$30:K$30)</f>
        <v>5798.5679390108417</v>
      </c>
      <c r="L19" s="134">
        <f>L18/AVERAGE('Funnel QH'!K$30:L$30)</f>
        <v>10021.149215798629</v>
      </c>
      <c r="M19" s="134">
        <f>M18/AVERAGE('Funnel QH'!L$30:M$30)</f>
        <v>15263.52116100672</v>
      </c>
      <c r="N19" s="134">
        <f>N18/AVERAGE('Funnel QH'!M$30:N$30)</f>
        <v>22504.759971485226</v>
      </c>
      <c r="O19" s="134">
        <f>O18/AVERAGE('Funnel QH'!N$30:O$30)</f>
        <v>30068.88684907875</v>
      </c>
      <c r="P19" s="134">
        <f>P18/AVERAGE('Funnel QH'!O$30:P$30)</f>
        <v>33139.358690501576</v>
      </c>
      <c r="R19" s="134">
        <f>D19</f>
        <v>0</v>
      </c>
      <c r="S19" s="134">
        <f>E19+F19+G19+H19</f>
        <v>1698.3358976677659</v>
      </c>
      <c r="T19" s="134">
        <f>I19+J19</f>
        <v>5118.7153297019677</v>
      </c>
      <c r="U19" s="134">
        <f>K19+L19</f>
        <v>15819.71715480947</v>
      </c>
      <c r="V19" s="134">
        <f>M19+N19</f>
        <v>37768.281132491946</v>
      </c>
      <c r="W19" s="134">
        <f>O19+P19</f>
        <v>63208.245539580326</v>
      </c>
    </row>
    <row r="20" spans="1:23" s="231" customFormat="1" ht="12.6">
      <c r="A20" s="174" t="s">
        <v>1271</v>
      </c>
      <c r="B20" s="121" t="s">
        <v>1267</v>
      </c>
      <c r="C20" s="138"/>
      <c r="D20" s="134"/>
      <c r="E20" s="134"/>
      <c r="F20" s="134"/>
      <c r="G20" s="232">
        <f>G60+G104+G148</f>
        <v>-23475.904596544526</v>
      </c>
      <c r="H20" s="232">
        <f t="shared" ref="H20:O20" si="22">H60+H104+H148</f>
        <v>-5960.0078796257176</v>
      </c>
      <c r="I20" s="232">
        <f t="shared" si="22"/>
        <v>-7862.0849713460393</v>
      </c>
      <c r="J20" s="232">
        <f t="shared" si="22"/>
        <v>-10223.675495606985</v>
      </c>
      <c r="K20" s="232">
        <f t="shared" si="22"/>
        <v>-64542.323095421641</v>
      </c>
      <c r="L20" s="232">
        <f t="shared" si="22"/>
        <v>-50648.270271762434</v>
      </c>
      <c r="M20" s="232">
        <f t="shared" si="22"/>
        <v>-79204.832697346312</v>
      </c>
      <c r="N20" s="232">
        <f t="shared" si="22"/>
        <v>-111285.19121262219</v>
      </c>
      <c r="O20" s="232">
        <f t="shared" si="22"/>
        <v>-42097.125386746367</v>
      </c>
      <c r="P20" s="232">
        <f>P60+P104+P148</f>
        <v>-39122.040762272103</v>
      </c>
      <c r="R20" s="134">
        <f t="shared" ref="R20:R21" si="23">D20</f>
        <v>0</v>
      </c>
      <c r="S20" s="134">
        <f t="shared" ref="S20:S21" si="24">E20+F20+G20+H20</f>
        <v>-29435.912476170244</v>
      </c>
      <c r="T20" s="134">
        <f t="shared" ref="T20:T21" si="25">I20+J20</f>
        <v>-18085.760466953026</v>
      </c>
      <c r="U20" s="134">
        <f t="shared" ref="U20:U21" si="26">K20+L20</f>
        <v>-115190.59336718408</v>
      </c>
      <c r="V20" s="134">
        <f t="shared" ref="V20:V21" si="27">M20+N20</f>
        <v>-190490.0239099685</v>
      </c>
      <c r="W20" s="134">
        <f t="shared" ref="W20:W21" si="28">O20+P20</f>
        <v>-81219.166149018478</v>
      </c>
    </row>
    <row r="21" spans="1:23" s="231" customFormat="1" ht="12.6">
      <c r="A21" s="174" t="s">
        <v>1271</v>
      </c>
      <c r="B21" s="138" t="s">
        <v>367</v>
      </c>
      <c r="C21" s="138"/>
      <c r="D21" s="134"/>
      <c r="E21" s="134"/>
      <c r="F21" s="134"/>
      <c r="G21" s="134">
        <f>G20/AVERAGE('Funnel QH'!F$30:G$30)</f>
        <v>-46.951809193089055</v>
      </c>
      <c r="H21" s="134">
        <f>H20/AVERAGE('Funnel QH'!G$30:H$30)</f>
        <v>-11.920015759251434</v>
      </c>
      <c r="I21" s="134">
        <f>I20/AVERAGE('Funnel QH'!H$30:I$30)</f>
        <v>-15.724169942692079</v>
      </c>
      <c r="J21" s="134">
        <f>J20/AVERAGE('Funnel QH'!I$30:J$30)</f>
        <v>-20.44735099121397</v>
      </c>
      <c r="K21" s="134">
        <f>K20/AVERAGE('Funnel QH'!J$30:K$30)</f>
        <v>-129.08464619084327</v>
      </c>
      <c r="L21" s="134">
        <f>L20/AVERAGE('Funnel QH'!K$30:L$30)</f>
        <v>-101.29654054352487</v>
      </c>
      <c r="M21" s="134">
        <f>M20/AVERAGE('Funnel QH'!L$30:M$30)</f>
        <v>-158.40966539469261</v>
      </c>
      <c r="N21" s="134">
        <f>N20/AVERAGE('Funnel QH'!M$30:N$30)</f>
        <v>-222.57038242524436</v>
      </c>
      <c r="O21" s="134">
        <f>O20/AVERAGE('Funnel QH'!N$30:O$30)</f>
        <v>-84.19425077349274</v>
      </c>
      <c r="P21" s="134">
        <f>P20/AVERAGE('Funnel QH'!O$30:P$30)</f>
        <v>-78.2440815245442</v>
      </c>
      <c r="R21" s="134">
        <f t="shared" si="23"/>
        <v>0</v>
      </c>
      <c r="S21" s="134">
        <f t="shared" si="24"/>
        <v>-58.871824952340489</v>
      </c>
      <c r="T21" s="134">
        <f t="shared" si="25"/>
        <v>-36.171520933906052</v>
      </c>
      <c r="U21" s="134">
        <f t="shared" si="26"/>
        <v>-230.38118673436816</v>
      </c>
      <c r="V21" s="134">
        <f t="shared" si="27"/>
        <v>-380.980047819937</v>
      </c>
      <c r="W21" s="134">
        <f t="shared" si="28"/>
        <v>-162.43833229803693</v>
      </c>
    </row>
    <row r="22" spans="1:23" s="127" customFormat="1" ht="12.6">
      <c r="A22" s="174" t="s">
        <v>1272</v>
      </c>
      <c r="B22" s="121" t="s">
        <v>1267</v>
      </c>
      <c r="E22" s="128"/>
      <c r="F22" s="128"/>
      <c r="G22" s="134">
        <f>G65+G109+G153</f>
        <v>35213.856894816825</v>
      </c>
      <c r="H22" s="134">
        <f t="shared" ref="H22:P22" si="29">H65+H109+H153</f>
        <v>60179.763461267787</v>
      </c>
      <c r="I22" s="134">
        <f t="shared" si="29"/>
        <v>158972.68983787048</v>
      </c>
      <c r="J22" s="134">
        <f t="shared" si="29"/>
        <v>201825.50048099202</v>
      </c>
      <c r="K22" s="134">
        <f t="shared" si="29"/>
        <v>142685.37345673449</v>
      </c>
      <c r="L22" s="134">
        <f t="shared" si="29"/>
        <v>304612.08359277446</v>
      </c>
      <c r="M22" s="134">
        <f t="shared" si="29"/>
        <v>198640.52533023557</v>
      </c>
      <c r="N22" s="134">
        <f t="shared" si="29"/>
        <v>294031.40872065671</v>
      </c>
      <c r="O22" s="134">
        <f t="shared" si="29"/>
        <v>470539.13610516599</v>
      </c>
      <c r="P22" s="134">
        <f t="shared" si="29"/>
        <v>539821.68636300811</v>
      </c>
      <c r="R22" s="134">
        <f>D22</f>
        <v>0</v>
      </c>
      <c r="S22" s="134">
        <f>E22+F22+G22+H22</f>
        <v>95393.620356084604</v>
      </c>
      <c r="T22" s="134">
        <f>I22+J22</f>
        <v>360798.1903188625</v>
      </c>
      <c r="U22" s="134">
        <f>K22+L22</f>
        <v>447297.45704950893</v>
      </c>
      <c r="V22" s="134">
        <f>M22+N22</f>
        <v>492671.93405089225</v>
      </c>
      <c r="W22" s="134">
        <f>O22+P22</f>
        <v>1010360.8224681742</v>
      </c>
    </row>
    <row r="23" spans="1:23" s="127" customFormat="1" ht="12.6">
      <c r="A23" s="227" t="s">
        <v>1273</v>
      </c>
      <c r="B23" s="138" t="s">
        <v>231</v>
      </c>
      <c r="E23" s="128"/>
      <c r="F23" s="128"/>
      <c r="G23" s="238">
        <f>G22*4/G14</f>
        <v>1.2000000000000014E-2</v>
      </c>
      <c r="H23" s="238">
        <f>H22*4/H14</f>
        <v>1.8197753708912304E-2</v>
      </c>
      <c r="I23" s="238">
        <f t="shared" ref="I23:P23" si="30">I22*2/I14</f>
        <v>1.9057500454526161E-2</v>
      </c>
      <c r="J23" s="238">
        <f t="shared" si="30"/>
        <v>1.9035725986812121E-2</v>
      </c>
      <c r="K23" s="238">
        <f t="shared" si="30"/>
        <v>7.1527913185299857E-3</v>
      </c>
      <c r="L23" s="238">
        <f t="shared" si="30"/>
        <v>8.868657896104375E-3</v>
      </c>
      <c r="M23" s="238">
        <f t="shared" si="30"/>
        <v>3.9273575742411531E-3</v>
      </c>
      <c r="N23" s="238">
        <f t="shared" si="30"/>
        <v>3.9525703788897172E-3</v>
      </c>
      <c r="O23" s="238">
        <f t="shared" si="30"/>
        <v>5.0291309419004436E-3</v>
      </c>
      <c r="P23" s="238">
        <f t="shared" si="30"/>
        <v>5.2048509767117614E-3</v>
      </c>
      <c r="R23" s="134"/>
      <c r="S23" s="238">
        <f>S24/S15</f>
        <v>7.6419111881379899E-3</v>
      </c>
      <c r="T23" s="238">
        <f>T24/T15</f>
        <v>1.9045313984430202E-2</v>
      </c>
      <c r="U23" s="238">
        <f t="shared" ref="U23:W23" si="31">U24/U15</f>
        <v>8.2382441882853773E-3</v>
      </c>
      <c r="V23" s="238">
        <f t="shared" si="31"/>
        <v>3.9423659739365258E-3</v>
      </c>
      <c r="W23" s="238">
        <f t="shared" si="31"/>
        <v>5.1215124491465636E-3</v>
      </c>
    </row>
    <row r="24" spans="1:23" s="127" customFormat="1" ht="12.6">
      <c r="A24" s="174" t="s">
        <v>1272</v>
      </c>
      <c r="B24" s="138" t="s">
        <v>367</v>
      </c>
      <c r="E24" s="128"/>
      <c r="F24" s="128"/>
      <c r="G24" s="134">
        <f>G22/AVERAGE('Funnel QH'!F30:G30)</f>
        <v>70.427713789633657</v>
      </c>
      <c r="H24" s="134">
        <f>H22/AVERAGE('Funnel QH'!G30:H30)</f>
        <v>120.35952692253558</v>
      </c>
      <c r="I24" s="134">
        <f>I22/AVERAGE('Funnel QH'!H30:I30)</f>
        <v>317.94537967574098</v>
      </c>
      <c r="J24" s="134">
        <f>J22/AVERAGE('Funnel QH'!I30:J30)</f>
        <v>403.65100096198404</v>
      </c>
      <c r="K24" s="134">
        <f>K22/AVERAGE('Funnel QH'!J30:K30)</f>
        <v>285.37074691346896</v>
      </c>
      <c r="L24" s="134">
        <f>L22/AVERAGE('Funnel QH'!K30:L30)</f>
        <v>609.22416718554894</v>
      </c>
      <c r="M24" s="134">
        <f>M22/AVERAGE('Funnel QH'!L30:M30)</f>
        <v>397.28105066047112</v>
      </c>
      <c r="N24" s="134">
        <f>N22/AVERAGE('Funnel QH'!M30:N30)</f>
        <v>588.06281744131343</v>
      </c>
      <c r="O24" s="134">
        <f>O22/AVERAGE('Funnel QH'!N30:O30)</f>
        <v>941.07827221033199</v>
      </c>
      <c r="P24" s="134">
        <f>P22/AVERAGE('Funnel QH'!O30:P30)</f>
        <v>1079.6433727260162</v>
      </c>
      <c r="R24" s="134">
        <f>D24</f>
        <v>0</v>
      </c>
      <c r="S24" s="134">
        <f>E24+F24+G24+H24</f>
        <v>190.78724071216925</v>
      </c>
      <c r="T24" s="134">
        <f>I24+J24</f>
        <v>721.59638063772502</v>
      </c>
      <c r="U24" s="134">
        <f>K24+L24</f>
        <v>894.59491409901784</v>
      </c>
      <c r="V24" s="134">
        <f>M24+N24</f>
        <v>985.34386810178455</v>
      </c>
      <c r="W24" s="134">
        <f>O24+P24</f>
        <v>2020.7216449363482</v>
      </c>
    </row>
    <row r="25" spans="1:23" s="127" customFormat="1" ht="12.6">
      <c r="A25" s="700"/>
      <c r="B25" s="701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</row>
    <row r="26" spans="1:23" s="119" customFormat="1" ht="12.6">
      <c r="A26" s="132" t="s">
        <v>1274</v>
      </c>
      <c r="B26" s="116"/>
      <c r="C26" s="117"/>
      <c r="D26" s="117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</row>
    <row r="27" spans="1:23" outlineLevel="1">
      <c r="A27" s="227" t="s">
        <v>1307</v>
      </c>
      <c r="B27" s="138" t="s">
        <v>394</v>
      </c>
      <c r="D27" s="134"/>
      <c r="E27" s="134"/>
      <c r="F27" s="134"/>
      <c r="G27" s="134">
        <f>Subscr!G14</f>
        <v>3604928.4763949588</v>
      </c>
      <c r="H27" s="134">
        <f>Subscr!H14</f>
        <v>3762569.9685120005</v>
      </c>
      <c r="I27" s="134">
        <f>Subscr!I14</f>
        <v>3905819.54128512</v>
      </c>
      <c r="J27" s="134">
        <f>Subscr!J14</f>
        <v>4062279.7418670086</v>
      </c>
      <c r="K27" s="134">
        <f>Subscr!K14</f>
        <v>4213442.6650688006</v>
      </c>
      <c r="L27" s="134">
        <f>Subscr!L14</f>
        <v>4348912.738180629</v>
      </c>
      <c r="M27" s="134">
        <f>Subscr!M14</f>
        <v>4585085.4424168766</v>
      </c>
      <c r="N27" s="134">
        <f>Subscr!N14</f>
        <v>4827175.1865258887</v>
      </c>
      <c r="O27" s="134">
        <f>Subscr!O14</f>
        <v>5124027.9119836623</v>
      </c>
      <c r="P27" s="134">
        <f>Subscr!P14</f>
        <v>5426137.5209798003</v>
      </c>
    </row>
    <row r="28" spans="1:23" outlineLevel="1">
      <c r="A28" s="227" t="s">
        <v>1275</v>
      </c>
      <c r="B28" s="121" t="s">
        <v>231</v>
      </c>
      <c r="C28" s="138"/>
      <c r="D28" s="134"/>
      <c r="E28" s="134"/>
      <c r="F28" s="134"/>
      <c r="G28" s="137">
        <v>0.01</v>
      </c>
      <c r="H28" s="137">
        <f>G28*(1+20%)</f>
        <v>1.2E-2</v>
      </c>
      <c r="I28" s="137">
        <f t="shared" ref="I28:J28" si="32">H28*(1+20%)</f>
        <v>1.44E-2</v>
      </c>
      <c r="J28" s="137">
        <f t="shared" si="32"/>
        <v>1.728E-2</v>
      </c>
      <c r="K28" s="137">
        <f>J28*(1+40%)</f>
        <v>2.4191999999999998E-2</v>
      </c>
      <c r="L28" s="137">
        <f t="shared" ref="L28:N28" si="33">K28*(1+40%)</f>
        <v>3.3868799999999998E-2</v>
      </c>
      <c r="M28" s="137">
        <f t="shared" si="33"/>
        <v>4.7416319999999991E-2</v>
      </c>
      <c r="N28" s="137">
        <f t="shared" si="33"/>
        <v>6.638284799999998E-2</v>
      </c>
      <c r="O28" s="137">
        <f>N28</f>
        <v>6.638284799999998E-2</v>
      </c>
      <c r="P28" s="137">
        <f>O28</f>
        <v>6.638284799999998E-2</v>
      </c>
    </row>
    <row r="29" spans="1:23" outlineLevel="1">
      <c r="A29" s="227" t="s">
        <v>1308</v>
      </c>
      <c r="B29" s="138" t="s">
        <v>394</v>
      </c>
      <c r="C29" s="138"/>
      <c r="D29" s="134"/>
      <c r="E29" s="134"/>
      <c r="F29" s="134"/>
      <c r="G29" s="134">
        <f t="shared" ref="G29:P29" si="34">G27*G28</f>
        <v>36049.284763949589</v>
      </c>
      <c r="H29" s="134">
        <f t="shared" si="34"/>
        <v>45150.839622144005</v>
      </c>
      <c r="I29" s="134">
        <f t="shared" si="34"/>
        <v>56243.801394505725</v>
      </c>
      <c r="J29" s="134">
        <f t="shared" si="34"/>
        <v>70196.193939461911</v>
      </c>
      <c r="K29" s="134">
        <f t="shared" si="34"/>
        <v>101931.60495334442</v>
      </c>
      <c r="L29" s="134">
        <f t="shared" si="34"/>
        <v>147292.45574689208</v>
      </c>
      <c r="M29" s="134">
        <f t="shared" si="34"/>
        <v>217407.87856498014</v>
      </c>
      <c r="N29" s="134">
        <f t="shared" si="34"/>
        <v>320441.63667651964</v>
      </c>
      <c r="O29" s="134">
        <f t="shared" si="34"/>
        <v>340147.56602896872</v>
      </c>
      <c r="P29" s="134">
        <f t="shared" si="34"/>
        <v>360202.46228229877</v>
      </c>
    </row>
    <row r="30" spans="1:23" s="119" customFormat="1" ht="12.6" outlineLevel="1">
      <c r="A30" s="227" t="s">
        <v>1276</v>
      </c>
      <c r="B30" s="121" t="s">
        <v>394</v>
      </c>
      <c r="C30" s="138"/>
      <c r="D30" s="134"/>
      <c r="E30" s="134"/>
      <c r="F30" s="134"/>
      <c r="G30" s="223">
        <f t="shared" ref="G30:P30" si="35">G31+G32</f>
        <v>1</v>
      </c>
      <c r="H30" s="223">
        <f t="shared" si="35"/>
        <v>1</v>
      </c>
      <c r="I30" s="223">
        <f t="shared" si="35"/>
        <v>1</v>
      </c>
      <c r="J30" s="223">
        <f t="shared" si="35"/>
        <v>1</v>
      </c>
      <c r="K30" s="223">
        <f t="shared" si="35"/>
        <v>1</v>
      </c>
      <c r="L30" s="223">
        <f t="shared" si="35"/>
        <v>1</v>
      </c>
      <c r="M30" s="223">
        <f t="shared" si="35"/>
        <v>1</v>
      </c>
      <c r="N30" s="223">
        <f t="shared" si="35"/>
        <v>1</v>
      </c>
      <c r="O30" s="223">
        <f t="shared" si="35"/>
        <v>1</v>
      </c>
      <c r="P30" s="223">
        <f t="shared" si="35"/>
        <v>1</v>
      </c>
    </row>
    <row r="31" spans="1:23" s="119" customFormat="1" ht="12.6" outlineLevel="1">
      <c r="A31" s="135" t="s">
        <v>1277</v>
      </c>
      <c r="B31" s="121" t="s">
        <v>394</v>
      </c>
      <c r="C31" s="138"/>
      <c r="D31" s="134"/>
      <c r="E31" s="134"/>
      <c r="F31" s="134"/>
      <c r="G31" s="210">
        <v>1</v>
      </c>
      <c r="H31" s="210">
        <v>1</v>
      </c>
      <c r="I31" s="210">
        <v>1</v>
      </c>
      <c r="J31" s="210">
        <v>1</v>
      </c>
      <c r="K31" s="210">
        <v>1</v>
      </c>
      <c r="L31" s="210">
        <v>1</v>
      </c>
      <c r="M31" s="210">
        <v>1</v>
      </c>
      <c r="N31" s="210">
        <v>1</v>
      </c>
      <c r="O31" s="210">
        <v>1</v>
      </c>
      <c r="P31" s="210">
        <v>1</v>
      </c>
    </row>
    <row r="32" spans="1:23" s="119" customFormat="1" ht="12.6" outlineLevel="1">
      <c r="A32" s="135" t="s">
        <v>1278</v>
      </c>
      <c r="B32" s="121" t="s">
        <v>394</v>
      </c>
      <c r="C32" s="138"/>
      <c r="D32" s="134"/>
      <c r="E32" s="134"/>
      <c r="F32" s="134"/>
      <c r="G32" s="210"/>
      <c r="H32" s="210"/>
      <c r="I32" s="210"/>
      <c r="J32" s="210"/>
      <c r="K32" s="210"/>
      <c r="L32" s="210"/>
      <c r="M32" s="210"/>
      <c r="N32" s="210"/>
      <c r="O32" s="210"/>
      <c r="P32" s="210"/>
    </row>
    <row r="33" spans="1:17" s="119" customFormat="1" ht="12.6" outlineLevel="1">
      <c r="A33" s="227" t="s">
        <v>1368</v>
      </c>
      <c r="B33" s="121" t="s">
        <v>394</v>
      </c>
      <c r="C33" s="138"/>
      <c r="D33" s="134"/>
      <c r="E33" s="134"/>
      <c r="F33" s="134"/>
      <c r="G33" s="223">
        <f t="shared" ref="G33:P33" si="36">G34+G35</f>
        <v>36049.284763949589</v>
      </c>
      <c r="H33" s="223">
        <f t="shared" si="36"/>
        <v>45150.839622144005</v>
      </c>
      <c r="I33" s="223">
        <f t="shared" si="36"/>
        <v>56243.801394505725</v>
      </c>
      <c r="J33" s="223">
        <f t="shared" si="36"/>
        <v>70196.193939461911</v>
      </c>
      <c r="K33" s="223">
        <f t="shared" si="36"/>
        <v>101931.60495334442</v>
      </c>
      <c r="L33" s="223">
        <f t="shared" si="36"/>
        <v>147292.45574689208</v>
      </c>
      <c r="M33" s="223">
        <f t="shared" si="36"/>
        <v>217407.87856498014</v>
      </c>
      <c r="N33" s="223">
        <f t="shared" si="36"/>
        <v>320441.63667651964</v>
      </c>
      <c r="O33" s="223">
        <f t="shared" si="36"/>
        <v>340147.56602896872</v>
      </c>
      <c r="P33" s="223">
        <f t="shared" si="36"/>
        <v>360202.46228229877</v>
      </c>
    </row>
    <row r="34" spans="1:17" s="119" customFormat="1" ht="12.6" outlineLevel="1">
      <c r="A34" s="135" t="s">
        <v>1277</v>
      </c>
      <c r="B34" s="121" t="s">
        <v>394</v>
      </c>
      <c r="C34" s="138"/>
      <c r="D34" s="134"/>
      <c r="E34" s="134"/>
      <c r="F34" s="134"/>
      <c r="G34" s="226">
        <f t="shared" ref="G34:P34" si="37">G29*G31</f>
        <v>36049.284763949589</v>
      </c>
      <c r="H34" s="226">
        <f t="shared" si="37"/>
        <v>45150.839622144005</v>
      </c>
      <c r="I34" s="226">
        <f t="shared" si="37"/>
        <v>56243.801394505725</v>
      </c>
      <c r="J34" s="226">
        <f t="shared" si="37"/>
        <v>70196.193939461911</v>
      </c>
      <c r="K34" s="226">
        <f t="shared" si="37"/>
        <v>101931.60495334442</v>
      </c>
      <c r="L34" s="226">
        <f t="shared" si="37"/>
        <v>147292.45574689208</v>
      </c>
      <c r="M34" s="226">
        <f t="shared" si="37"/>
        <v>217407.87856498014</v>
      </c>
      <c r="N34" s="226">
        <f t="shared" si="37"/>
        <v>320441.63667651964</v>
      </c>
      <c r="O34" s="226">
        <f t="shared" si="37"/>
        <v>340147.56602896872</v>
      </c>
      <c r="P34" s="226">
        <f t="shared" si="37"/>
        <v>360202.46228229877</v>
      </c>
    </row>
    <row r="35" spans="1:17" s="119" customFormat="1" ht="12.6" outlineLevel="1">
      <c r="A35" s="135" t="s">
        <v>1278</v>
      </c>
      <c r="B35" s="121" t="s">
        <v>394</v>
      </c>
      <c r="C35" s="138"/>
      <c r="D35" s="134"/>
      <c r="E35" s="134"/>
      <c r="F35" s="134"/>
      <c r="G35" s="226">
        <f t="shared" ref="G35:P35" si="38">G29*G32</f>
        <v>0</v>
      </c>
      <c r="H35" s="226">
        <f t="shared" si="38"/>
        <v>0</v>
      </c>
      <c r="I35" s="226">
        <f t="shared" si="38"/>
        <v>0</v>
      </c>
      <c r="J35" s="226">
        <f t="shared" si="38"/>
        <v>0</v>
      </c>
      <c r="K35" s="226">
        <f t="shared" si="38"/>
        <v>0</v>
      </c>
      <c r="L35" s="226">
        <f t="shared" si="38"/>
        <v>0</v>
      </c>
      <c r="M35" s="226">
        <f t="shared" si="38"/>
        <v>0</v>
      </c>
      <c r="N35" s="226">
        <f t="shared" si="38"/>
        <v>0</v>
      </c>
      <c r="O35" s="226">
        <f t="shared" si="38"/>
        <v>0</v>
      </c>
      <c r="P35" s="226">
        <f t="shared" si="38"/>
        <v>0</v>
      </c>
    </row>
    <row r="36" spans="1:17" s="227" customFormat="1" ht="12.6" outlineLevel="1">
      <c r="A36" s="227" t="s">
        <v>1369</v>
      </c>
      <c r="B36" s="121" t="s">
        <v>1267</v>
      </c>
      <c r="C36" s="138"/>
      <c r="D36" s="134"/>
      <c r="E36" s="134"/>
      <c r="F36" s="134"/>
      <c r="G36" s="223">
        <f t="shared" ref="G36:P36" si="39">G42/G33</f>
        <v>300</v>
      </c>
      <c r="H36" s="223">
        <f t="shared" si="39"/>
        <v>269.76283851741283</v>
      </c>
      <c r="I36" s="223">
        <f t="shared" si="39"/>
        <v>270.41550847207134</v>
      </c>
      <c r="J36" s="223">
        <f t="shared" si="39"/>
        <v>270.18557895676884</v>
      </c>
      <c r="K36" s="223">
        <f t="shared" si="39"/>
        <v>353.2989630226931</v>
      </c>
      <c r="L36" s="223">
        <f t="shared" si="39"/>
        <v>423.00886938925112</v>
      </c>
      <c r="M36" s="223">
        <f t="shared" si="39"/>
        <v>419.37341084314528</v>
      </c>
      <c r="N36" s="223">
        <f t="shared" si="39"/>
        <v>419.61581586263219</v>
      </c>
      <c r="O36" s="223">
        <f t="shared" si="39"/>
        <v>485.51663210286597</v>
      </c>
      <c r="P36" s="223">
        <f t="shared" si="39"/>
        <v>486.08081679518574</v>
      </c>
    </row>
    <row r="37" spans="1:17" s="227" customFormat="1" ht="12.6" outlineLevel="1">
      <c r="A37" s="135" t="s">
        <v>1277</v>
      </c>
      <c r="B37" s="121" t="s">
        <v>1267</v>
      </c>
      <c r="C37" s="138"/>
      <c r="D37" s="134"/>
      <c r="E37" s="134"/>
      <c r="F37" s="134"/>
      <c r="G37" s="221">
        <v>300</v>
      </c>
      <c r="H37" s="221">
        <v>300</v>
      </c>
      <c r="I37" s="221">
        <v>300</v>
      </c>
      <c r="J37" s="221">
        <v>300</v>
      </c>
      <c r="K37" s="221">
        <v>500</v>
      </c>
      <c r="L37" s="221">
        <v>500</v>
      </c>
      <c r="M37" s="221">
        <v>500</v>
      </c>
      <c r="N37" s="221">
        <v>500</v>
      </c>
      <c r="O37" s="221">
        <v>500</v>
      </c>
      <c r="P37" s="221">
        <v>500</v>
      </c>
    </row>
    <row r="38" spans="1:17" s="227" customFormat="1" ht="12.6" outlineLevel="1">
      <c r="A38" s="135" t="s">
        <v>1278</v>
      </c>
      <c r="B38" s="121" t="s">
        <v>1267</v>
      </c>
      <c r="C38" s="138"/>
      <c r="D38" s="134"/>
      <c r="E38" s="134"/>
      <c r="F38" s="134"/>
      <c r="G38" s="221">
        <v>1000</v>
      </c>
      <c r="H38" s="221">
        <v>1000</v>
      </c>
      <c r="I38" s="221">
        <v>1000</v>
      </c>
      <c r="J38" s="221">
        <v>1000</v>
      </c>
      <c r="K38" s="221">
        <v>1000</v>
      </c>
      <c r="L38" s="221">
        <v>1000</v>
      </c>
      <c r="M38" s="221">
        <v>1000</v>
      </c>
      <c r="N38" s="221">
        <v>1000</v>
      </c>
      <c r="O38" s="221">
        <v>1000</v>
      </c>
      <c r="P38" s="221">
        <v>1000</v>
      </c>
    </row>
    <row r="39" spans="1:17" s="119" customFormat="1" ht="12.6" outlineLevel="1">
      <c r="A39" s="227" t="s">
        <v>1281</v>
      </c>
      <c r="B39" s="121" t="s">
        <v>1267</v>
      </c>
      <c r="C39" s="138"/>
      <c r="D39" s="134"/>
      <c r="E39" s="134"/>
      <c r="F39" s="134"/>
      <c r="G39" s="223">
        <f>G40+G41</f>
        <v>10814785.429184876</v>
      </c>
      <c r="H39" s="223">
        <f t="shared" ref="H39:P39" si="40">H40+H41</f>
        <v>13545251.886643201</v>
      </c>
      <c r="I39" s="223">
        <f t="shared" si="40"/>
        <v>16873140.418351717</v>
      </c>
      <c r="J39" s="223">
        <f t="shared" si="40"/>
        <v>21058858.181838572</v>
      </c>
      <c r="K39" s="223">
        <f t="shared" si="40"/>
        <v>50965802.47667221</v>
      </c>
      <c r="L39" s="223">
        <f t="shared" si="40"/>
        <v>73646227.873446047</v>
      </c>
      <c r="M39" s="223">
        <f t="shared" si="40"/>
        <v>108703939.28249007</v>
      </c>
      <c r="N39" s="223">
        <f t="shared" si="40"/>
        <v>160220818.33825982</v>
      </c>
      <c r="O39" s="223">
        <f t="shared" si="40"/>
        <v>170073783.01448438</v>
      </c>
      <c r="P39" s="223">
        <f t="shared" si="40"/>
        <v>180101231.14114937</v>
      </c>
    </row>
    <row r="40" spans="1:17" s="227" customFormat="1" ht="12.6" outlineLevel="1">
      <c r="A40" s="135" t="s">
        <v>1277</v>
      </c>
      <c r="B40" s="121" t="s">
        <v>1267</v>
      </c>
      <c r="C40" s="138"/>
      <c r="D40" s="134"/>
      <c r="E40" s="134"/>
      <c r="F40" s="134"/>
      <c r="G40" s="134">
        <f>G34*G37</f>
        <v>10814785.429184876</v>
      </c>
      <c r="H40" s="134">
        <f t="shared" ref="H40:O40" si="41">H34*H37</f>
        <v>13545251.886643201</v>
      </c>
      <c r="I40" s="134">
        <f t="shared" si="41"/>
        <v>16873140.418351717</v>
      </c>
      <c r="J40" s="134">
        <f t="shared" si="41"/>
        <v>21058858.181838572</v>
      </c>
      <c r="K40" s="134">
        <f t="shared" si="41"/>
        <v>50965802.47667221</v>
      </c>
      <c r="L40" s="134">
        <f t="shared" si="41"/>
        <v>73646227.873446047</v>
      </c>
      <c r="M40" s="134">
        <f t="shared" si="41"/>
        <v>108703939.28249007</v>
      </c>
      <c r="N40" s="134">
        <f t="shared" si="41"/>
        <v>160220818.33825982</v>
      </c>
      <c r="O40" s="134">
        <f t="shared" si="41"/>
        <v>170073783.01448438</v>
      </c>
      <c r="P40" s="134">
        <f>P34*P37</f>
        <v>180101231.14114937</v>
      </c>
    </row>
    <row r="41" spans="1:17" s="227" customFormat="1" ht="12.6" outlineLevel="1">
      <c r="A41" s="135" t="s">
        <v>1278</v>
      </c>
      <c r="B41" s="121" t="s">
        <v>1267</v>
      </c>
      <c r="C41" s="138"/>
      <c r="D41" s="134"/>
      <c r="E41" s="134"/>
      <c r="F41" s="134"/>
      <c r="G41" s="134">
        <f>G35*G38</f>
        <v>0</v>
      </c>
      <c r="H41" s="134">
        <f t="shared" ref="H41:P41" si="42">H35*H38</f>
        <v>0</v>
      </c>
      <c r="I41" s="134">
        <f t="shared" si="42"/>
        <v>0</v>
      </c>
      <c r="J41" s="134">
        <f t="shared" si="42"/>
        <v>0</v>
      </c>
      <c r="K41" s="134">
        <f t="shared" si="42"/>
        <v>0</v>
      </c>
      <c r="L41" s="134">
        <f t="shared" si="42"/>
        <v>0</v>
      </c>
      <c r="M41" s="134">
        <f t="shared" si="42"/>
        <v>0</v>
      </c>
      <c r="N41" s="134">
        <f t="shared" si="42"/>
        <v>0</v>
      </c>
      <c r="O41" s="134">
        <f t="shared" si="42"/>
        <v>0</v>
      </c>
      <c r="P41" s="134">
        <f t="shared" si="42"/>
        <v>0</v>
      </c>
    </row>
    <row r="42" spans="1:17" s="174" customFormat="1" ht="12.6" outlineLevel="1">
      <c r="A42" s="227" t="s">
        <v>1282</v>
      </c>
      <c r="B42" s="121" t="s">
        <v>1267</v>
      </c>
      <c r="C42" s="138"/>
      <c r="D42" s="134"/>
      <c r="E42" s="134"/>
      <c r="F42" s="134"/>
      <c r="G42" s="226">
        <f t="shared" ref="G42:P42" si="43">G43+G44</f>
        <v>10814785.429184876</v>
      </c>
      <c r="H42" s="226">
        <f t="shared" si="43"/>
        <v>12180018.657914039</v>
      </c>
      <c r="I42" s="226">
        <f t="shared" si="43"/>
        <v>15209196.152497459</v>
      </c>
      <c r="J42" s="226">
        <f t="shared" si="43"/>
        <v>18965999.300095145</v>
      </c>
      <c r="K42" s="226">
        <f t="shared" si="43"/>
        <v>36012330.329255387</v>
      </c>
      <c r="L42" s="226">
        <f t="shared" si="43"/>
        <v>62306015.175059125</v>
      </c>
      <c r="M42" s="226">
        <f t="shared" si="43"/>
        <v>91175083.577968061</v>
      </c>
      <c r="N42" s="226">
        <f t="shared" si="43"/>
        <v>134462378.81037495</v>
      </c>
      <c r="O42" s="226">
        <f t="shared" si="43"/>
        <v>165147300.67637211</v>
      </c>
      <c r="P42" s="226">
        <f t="shared" si="43"/>
        <v>175087507.07781687</v>
      </c>
    </row>
    <row r="43" spans="1:17" s="174" customFormat="1" ht="12.6" outlineLevel="1">
      <c r="A43" s="135" t="s">
        <v>1277</v>
      </c>
      <c r="B43" s="121" t="s">
        <v>1267</v>
      </c>
      <c r="C43" s="138"/>
      <c r="D43" s="134"/>
      <c r="E43" s="134"/>
      <c r="F43" s="134"/>
      <c r="G43" s="226">
        <f>AVERAGE(F40:G40)</f>
        <v>10814785.429184876</v>
      </c>
      <c r="H43" s="226">
        <f t="shared" ref="H43:P43" si="44">AVERAGE(G40:H40)</f>
        <v>12180018.657914039</v>
      </c>
      <c r="I43" s="226">
        <f t="shared" si="44"/>
        <v>15209196.152497459</v>
      </c>
      <c r="J43" s="226">
        <f t="shared" si="44"/>
        <v>18965999.300095145</v>
      </c>
      <c r="K43" s="226">
        <f t="shared" si="44"/>
        <v>36012330.329255387</v>
      </c>
      <c r="L43" s="226">
        <f t="shared" si="44"/>
        <v>62306015.175059125</v>
      </c>
      <c r="M43" s="226">
        <f t="shared" si="44"/>
        <v>91175083.577968061</v>
      </c>
      <c r="N43" s="226">
        <f t="shared" si="44"/>
        <v>134462378.81037495</v>
      </c>
      <c r="O43" s="226">
        <f t="shared" si="44"/>
        <v>165147300.67637211</v>
      </c>
      <c r="P43" s="226">
        <f t="shared" si="44"/>
        <v>175087507.07781687</v>
      </c>
    </row>
    <row r="44" spans="1:17" s="174" customFormat="1" ht="12.6" outlineLevel="1">
      <c r="A44" s="135" t="s">
        <v>1278</v>
      </c>
      <c r="B44" s="121" t="s">
        <v>1267</v>
      </c>
      <c r="C44" s="138"/>
      <c r="D44" s="134"/>
      <c r="E44" s="134"/>
      <c r="F44" s="134"/>
      <c r="G44" s="226">
        <f>AVERAGE(F41:G41)</f>
        <v>0</v>
      </c>
      <c r="H44" s="226">
        <f t="shared" ref="H44:P44" si="45">AVERAGE(G41:H41)</f>
        <v>0</v>
      </c>
      <c r="I44" s="226">
        <f t="shared" si="45"/>
        <v>0</v>
      </c>
      <c r="J44" s="226">
        <f t="shared" si="45"/>
        <v>0</v>
      </c>
      <c r="K44" s="226">
        <f t="shared" si="45"/>
        <v>0</v>
      </c>
      <c r="L44" s="226">
        <f t="shared" si="45"/>
        <v>0</v>
      </c>
      <c r="M44" s="226">
        <f t="shared" si="45"/>
        <v>0</v>
      </c>
      <c r="N44" s="226">
        <f t="shared" si="45"/>
        <v>0</v>
      </c>
      <c r="O44" s="226">
        <f t="shared" si="45"/>
        <v>0</v>
      </c>
      <c r="P44" s="226">
        <f t="shared" si="45"/>
        <v>0</v>
      </c>
    </row>
    <row r="45" spans="1:17" s="174" customFormat="1" ht="12.6" outlineLevel="1">
      <c r="A45" s="174" t="s">
        <v>1283</v>
      </c>
      <c r="B45" s="121"/>
      <c r="C45" s="138"/>
      <c r="D45" s="134"/>
      <c r="E45" s="134"/>
      <c r="F45" s="134"/>
      <c r="G45" s="138"/>
      <c r="H45" s="138"/>
      <c r="I45" s="138"/>
      <c r="J45" s="138"/>
      <c r="K45" s="138"/>
      <c r="L45" s="138"/>
      <c r="M45" s="138"/>
      <c r="N45" s="138"/>
      <c r="O45" s="138"/>
      <c r="P45" s="138"/>
    </row>
    <row r="46" spans="1:17" s="227" customFormat="1" ht="12.6" outlineLevel="1">
      <c r="A46" s="135" t="s">
        <v>1277</v>
      </c>
      <c r="B46" s="121" t="s">
        <v>1284</v>
      </c>
      <c r="C46" s="138"/>
      <c r="D46" s="134"/>
      <c r="E46" s="134"/>
      <c r="F46" s="134"/>
      <c r="G46" s="210">
        <v>3</v>
      </c>
      <c r="H46" s="210">
        <v>3</v>
      </c>
      <c r="I46" s="210">
        <v>3</v>
      </c>
      <c r="J46" s="210">
        <v>3</v>
      </c>
      <c r="K46" s="210">
        <v>3</v>
      </c>
      <c r="L46" s="210">
        <v>3</v>
      </c>
      <c r="M46" s="210">
        <v>3</v>
      </c>
      <c r="N46" s="210">
        <v>3</v>
      </c>
      <c r="O46" s="210">
        <v>3</v>
      </c>
      <c r="P46" s="210">
        <v>3</v>
      </c>
    </row>
    <row r="47" spans="1:17" s="227" customFormat="1" ht="12.6" outlineLevel="1">
      <c r="A47" s="135" t="s">
        <v>1278</v>
      </c>
      <c r="B47" s="121" t="s">
        <v>1284</v>
      </c>
      <c r="C47" s="138"/>
      <c r="D47" s="134"/>
      <c r="E47" s="134"/>
      <c r="F47" s="134"/>
      <c r="G47" s="210">
        <v>12</v>
      </c>
      <c r="H47" s="210">
        <v>12</v>
      </c>
      <c r="I47" s="210">
        <v>12</v>
      </c>
      <c r="J47" s="210">
        <v>12</v>
      </c>
      <c r="K47" s="210">
        <v>12</v>
      </c>
      <c r="L47" s="210">
        <v>12</v>
      </c>
      <c r="M47" s="210">
        <v>12</v>
      </c>
      <c r="N47" s="210">
        <v>12</v>
      </c>
      <c r="O47" s="210">
        <v>12</v>
      </c>
      <c r="P47" s="210">
        <v>12</v>
      </c>
    </row>
    <row r="48" spans="1:17" s="227" customFormat="1" ht="12.6" outlineLevel="1">
      <c r="A48" s="227" t="s">
        <v>1285</v>
      </c>
      <c r="B48" s="229"/>
      <c r="C48" s="138"/>
      <c r="D48" s="134"/>
      <c r="E48" s="134"/>
      <c r="F48" s="134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</row>
    <row r="49" spans="1:16" s="227" customFormat="1" ht="12.6" outlineLevel="1">
      <c r="A49" s="135" t="s">
        <v>1277</v>
      </c>
      <c r="B49" s="229" t="s">
        <v>231</v>
      </c>
      <c r="C49" s="138"/>
      <c r="D49" s="134"/>
      <c r="E49" s="134"/>
      <c r="F49" s="134"/>
      <c r="G49" s="137">
        <v>2E-3</v>
      </c>
      <c r="H49" s="137">
        <v>2E-3</v>
      </c>
      <c r="I49" s="137">
        <v>2E-3</v>
      </c>
      <c r="J49" s="137">
        <v>2E-3</v>
      </c>
      <c r="K49" s="137">
        <v>2E-3</v>
      </c>
      <c r="L49" s="137">
        <v>2E-3</v>
      </c>
      <c r="M49" s="137">
        <v>2E-3</v>
      </c>
      <c r="N49" s="137">
        <v>2E-3</v>
      </c>
      <c r="O49" s="137">
        <v>2E-3</v>
      </c>
      <c r="P49" s="137">
        <v>2E-3</v>
      </c>
    </row>
    <row r="50" spans="1:16" s="227" customFormat="1" ht="12.6" outlineLevel="1">
      <c r="A50" s="135" t="s">
        <v>1278</v>
      </c>
      <c r="B50" s="229" t="s">
        <v>231</v>
      </c>
      <c r="C50" s="138"/>
      <c r="D50" s="134"/>
      <c r="E50" s="134"/>
      <c r="F50" s="134"/>
      <c r="G50" s="137">
        <v>2E-3</v>
      </c>
      <c r="H50" s="137">
        <v>2E-3</v>
      </c>
      <c r="I50" s="137">
        <v>2E-3</v>
      </c>
      <c r="J50" s="137">
        <v>2E-3</v>
      </c>
      <c r="K50" s="137">
        <v>2E-3</v>
      </c>
      <c r="L50" s="137">
        <v>2E-3</v>
      </c>
      <c r="M50" s="137">
        <v>2E-3</v>
      </c>
      <c r="N50" s="137">
        <v>2E-3</v>
      </c>
      <c r="O50" s="137">
        <v>2E-3</v>
      </c>
      <c r="P50" s="137">
        <v>2E-3</v>
      </c>
    </row>
    <row r="51" spans="1:16" s="119" customFormat="1" ht="12.6" outlineLevel="1">
      <c r="A51" s="227" t="s">
        <v>1286</v>
      </c>
      <c r="B51" s="121"/>
      <c r="C51" s="138"/>
      <c r="D51" s="134"/>
      <c r="E51" s="134"/>
      <c r="F51" s="134"/>
      <c r="G51" s="223"/>
      <c r="H51" s="223"/>
      <c r="I51" s="223"/>
      <c r="J51" s="223"/>
      <c r="K51" s="223"/>
      <c r="L51" s="223"/>
      <c r="M51" s="223"/>
      <c r="N51" s="223"/>
      <c r="O51" s="223"/>
      <c r="P51" s="223"/>
    </row>
    <row r="52" spans="1:16" s="227" customFormat="1" ht="12.6" outlineLevel="1">
      <c r="A52" s="135" t="s">
        <v>1277</v>
      </c>
      <c r="B52" s="229" t="s">
        <v>231</v>
      </c>
      <c r="C52" s="138"/>
      <c r="D52" s="134"/>
      <c r="E52" s="134"/>
      <c r="F52" s="134"/>
      <c r="G52" s="137">
        <v>0.12</v>
      </c>
      <c r="H52" s="137">
        <v>0.12</v>
      </c>
      <c r="I52" s="137">
        <v>0.12</v>
      </c>
      <c r="J52" s="137">
        <v>0.12</v>
      </c>
      <c r="K52" s="137">
        <v>0.14000000000000001</v>
      </c>
      <c r="L52" s="137">
        <v>0.14000000000000001</v>
      </c>
      <c r="M52" s="137">
        <v>0.15</v>
      </c>
      <c r="N52" s="137">
        <v>0.15</v>
      </c>
      <c r="O52" s="137">
        <v>0.16</v>
      </c>
      <c r="P52" s="137">
        <v>0.16</v>
      </c>
    </row>
    <row r="53" spans="1:16" s="227" customFormat="1" ht="12.6" outlineLevel="1">
      <c r="A53" s="135" t="s">
        <v>1278</v>
      </c>
      <c r="B53" s="229" t="s">
        <v>231</v>
      </c>
      <c r="C53" s="138"/>
      <c r="D53" s="134"/>
      <c r="E53" s="134"/>
      <c r="F53" s="134"/>
      <c r="G53" s="137">
        <v>0.01</v>
      </c>
      <c r="H53" s="137">
        <v>0.01</v>
      </c>
      <c r="I53" s="137">
        <v>0.01</v>
      </c>
      <c r="J53" s="137">
        <v>0.01</v>
      </c>
      <c r="K53" s="137">
        <v>0.01</v>
      </c>
      <c r="L53" s="137">
        <v>0.01</v>
      </c>
      <c r="M53" s="137">
        <v>0.01</v>
      </c>
      <c r="N53" s="137">
        <v>0.01</v>
      </c>
      <c r="O53" s="137">
        <v>0.01</v>
      </c>
      <c r="P53" s="137">
        <v>0.01</v>
      </c>
    </row>
    <row r="54" spans="1:16" s="174" customFormat="1" ht="12.6" outlineLevel="1">
      <c r="A54" s="174" t="s">
        <v>1287</v>
      </c>
      <c r="B54" s="229"/>
      <c r="C54" s="138"/>
      <c r="D54" s="134"/>
      <c r="E54" s="134"/>
      <c r="F54" s="134"/>
      <c r="G54" s="125"/>
      <c r="H54" s="125"/>
      <c r="I54" s="125"/>
      <c r="J54" s="125"/>
      <c r="K54" s="125"/>
      <c r="L54" s="125"/>
      <c r="M54" s="125"/>
      <c r="N54" s="125"/>
      <c r="O54" s="125"/>
      <c r="P54" s="125"/>
    </row>
    <row r="55" spans="1:16" s="227" customFormat="1" ht="12.6" outlineLevel="1">
      <c r="A55" s="135" t="s">
        <v>1277</v>
      </c>
      <c r="B55" s="229" t="s">
        <v>231</v>
      </c>
      <c r="C55" s="138"/>
      <c r="D55" s="134"/>
      <c r="E55" s="134"/>
      <c r="F55" s="134"/>
      <c r="G55" s="137">
        <v>0.14000000000000001</v>
      </c>
      <c r="H55" s="137">
        <v>0.14000000000000001</v>
      </c>
      <c r="I55" s="137">
        <v>0.14000000000000001</v>
      </c>
      <c r="J55" s="137">
        <v>0.14000000000000001</v>
      </c>
      <c r="K55" s="137">
        <v>0.15</v>
      </c>
      <c r="L55" s="137">
        <v>0.15</v>
      </c>
      <c r="M55" s="137">
        <v>0.155</v>
      </c>
      <c r="N55" s="137">
        <v>0.155</v>
      </c>
      <c r="O55" s="137">
        <v>0.16500000000000001</v>
      </c>
      <c r="P55" s="137">
        <v>0.16500000000000001</v>
      </c>
    </row>
    <row r="56" spans="1:16" s="227" customFormat="1" ht="12.6" outlineLevel="1">
      <c r="A56" s="135" t="s">
        <v>1278</v>
      </c>
      <c r="B56" s="229" t="s">
        <v>231</v>
      </c>
      <c r="C56" s="138"/>
      <c r="D56" s="134"/>
      <c r="E56" s="134"/>
      <c r="F56" s="134"/>
      <c r="G56" s="137">
        <v>0.03</v>
      </c>
      <c r="H56" s="137">
        <v>0.03</v>
      </c>
      <c r="I56" s="137">
        <v>0.03</v>
      </c>
      <c r="J56" s="137">
        <v>0.03</v>
      </c>
      <c r="K56" s="137">
        <v>0.03</v>
      </c>
      <c r="L56" s="137">
        <v>0.03</v>
      </c>
      <c r="M56" s="137">
        <v>0.03</v>
      </c>
      <c r="N56" s="137">
        <v>0.03</v>
      </c>
      <c r="O56" s="137">
        <v>0.03</v>
      </c>
      <c r="P56" s="137">
        <v>0.03</v>
      </c>
    </row>
    <row r="57" spans="1:16" s="174" customFormat="1" ht="12.6" outlineLevel="1">
      <c r="A57" s="703" t="s">
        <v>1288</v>
      </c>
      <c r="B57" s="229"/>
      <c r="C57" s="138"/>
      <c r="D57" s="134"/>
      <c r="E57" s="134"/>
      <c r="F57" s="134"/>
      <c r="G57" s="230"/>
      <c r="H57" s="230"/>
      <c r="I57" s="230"/>
      <c r="J57" s="230"/>
      <c r="K57" s="230"/>
      <c r="L57" s="230"/>
      <c r="M57" s="230"/>
      <c r="N57" s="230"/>
      <c r="O57" s="230"/>
      <c r="P57" s="230"/>
    </row>
    <row r="58" spans="1:16" s="119" customFormat="1" ht="12.6" outlineLevel="1">
      <c r="A58" s="227" t="s">
        <v>1270</v>
      </c>
      <c r="B58" s="121" t="s">
        <v>1267</v>
      </c>
      <c r="C58" s="138"/>
      <c r="D58" s="134"/>
      <c r="E58" s="134"/>
      <c r="F58" s="134"/>
      <c r="G58" s="223">
        <f>(G55*G43)/4+(G56*G44)/4</f>
        <v>378517.4900214707</v>
      </c>
      <c r="H58" s="223">
        <f t="shared" ref="H58" si="46">(H55*H43)/4+(H56*H44)/4</f>
        <v>426300.65302699141</v>
      </c>
      <c r="I58" s="223">
        <f>(I55*I43)/2+(I56*I44)/2</f>
        <v>1064643.7306748223</v>
      </c>
      <c r="J58" s="223">
        <f t="shared" ref="J58:P58" si="47">(J55*J43)/2+(J56*J44)/2</f>
        <v>1327619.9510066602</v>
      </c>
      <c r="K58" s="223">
        <f t="shared" si="47"/>
        <v>2700924.774694154</v>
      </c>
      <c r="L58" s="223">
        <f t="shared" si="47"/>
        <v>4672951.1381294345</v>
      </c>
      <c r="M58" s="223">
        <f t="shared" si="47"/>
        <v>7066068.9772925247</v>
      </c>
      <c r="N58" s="223">
        <f t="shared" si="47"/>
        <v>10420834.357804058</v>
      </c>
      <c r="O58" s="223">
        <f t="shared" si="47"/>
        <v>13624652.305800701</v>
      </c>
      <c r="P58" s="223">
        <f t="shared" si="47"/>
        <v>14444719.333919892</v>
      </c>
    </row>
    <row r="59" spans="1:16" s="119" customFormat="1" ht="12.6" outlineLevel="1">
      <c r="A59" s="227" t="s">
        <v>1269</v>
      </c>
      <c r="B59" s="121" t="s">
        <v>1267</v>
      </c>
      <c r="C59" s="138"/>
      <c r="D59" s="134"/>
      <c r="E59" s="134"/>
      <c r="F59" s="134"/>
      <c r="G59" s="223">
        <f>-((G52*G43)/4+(G53*G44)/4)</f>
        <v>-324443.56287554628</v>
      </c>
      <c r="H59" s="223">
        <f t="shared" ref="H59" si="48">-((H52*H43)/4+(H53*H44)/4)</f>
        <v>-365400.55973742116</v>
      </c>
      <c r="I59" s="223">
        <f>-((I52*I43)/2+(I53*I44)/2)</f>
        <v>-912551.76914984756</v>
      </c>
      <c r="J59" s="223">
        <f t="shared" ref="J59:P59" si="49">-((J52*J43)/2+(J53*J44)/2)</f>
        <v>-1137959.9580057086</v>
      </c>
      <c r="K59" s="223">
        <f t="shared" si="49"/>
        <v>-2520863.1230478776</v>
      </c>
      <c r="L59" s="223">
        <f t="shared" si="49"/>
        <v>-4361421.0622541392</v>
      </c>
      <c r="M59" s="223">
        <f t="shared" si="49"/>
        <v>-6838131.2683476042</v>
      </c>
      <c r="N59" s="223">
        <f t="shared" si="49"/>
        <v>-10084678.41077812</v>
      </c>
      <c r="O59" s="223">
        <f t="shared" si="49"/>
        <v>-13211784.054109769</v>
      </c>
      <c r="P59" s="223">
        <f t="shared" si="49"/>
        <v>-14007000.56622535</v>
      </c>
    </row>
    <row r="60" spans="1:16" s="231" customFormat="1" ht="12.6" outlineLevel="1">
      <c r="A60" s="174" t="s">
        <v>1289</v>
      </c>
      <c r="B60" s="121" t="s">
        <v>1267</v>
      </c>
      <c r="C60" s="138"/>
      <c r="D60" s="134"/>
      <c r="E60" s="134"/>
      <c r="F60" s="134"/>
      <c r="G60" s="232">
        <f>-((G40-F40)*G49+(G41-F41)*G50)</f>
        <v>-21629.570858369752</v>
      </c>
      <c r="H60" s="232">
        <f t="shared" ref="H60:P60" si="50">-((H40-G40)*H49+(H41-G41)*H50)</f>
        <v>-5460.9329149166497</v>
      </c>
      <c r="I60" s="232">
        <f t="shared" si="50"/>
        <v>-6655.7770634170329</v>
      </c>
      <c r="J60" s="232">
        <f t="shared" si="50"/>
        <v>-8371.4355269737098</v>
      </c>
      <c r="K60" s="232">
        <f t="shared" si="50"/>
        <v>-59813.88858966728</v>
      </c>
      <c r="L60" s="232">
        <f t="shared" si="50"/>
        <v>-45360.850793547674</v>
      </c>
      <c r="M60" s="232">
        <f t="shared" si="50"/>
        <v>-70115.42281808806</v>
      </c>
      <c r="N60" s="232">
        <f t="shared" si="50"/>
        <v>-103033.75811153949</v>
      </c>
      <c r="O60" s="232">
        <f>-((O40-N40)*O49+(O41-N41)*O50)</f>
        <v>-19705.929352449119</v>
      </c>
      <c r="P60" s="232">
        <f t="shared" si="50"/>
        <v>-20054.896253329993</v>
      </c>
    </row>
    <row r="61" spans="1:16" s="231" customFormat="1" ht="12.6" outlineLevel="1">
      <c r="A61" s="231" t="s">
        <v>232</v>
      </c>
      <c r="B61" s="121" t="s">
        <v>1267</v>
      </c>
      <c r="C61" s="138"/>
      <c r="D61" s="134"/>
      <c r="E61" s="134"/>
      <c r="F61" s="134"/>
      <c r="G61" s="232">
        <f>SUM(G58:G60)</f>
        <v>32444.356287554667</v>
      </c>
      <c r="H61" s="232">
        <f>SUM(H58:H60)</f>
        <v>55439.160374653591</v>
      </c>
      <c r="I61" s="232">
        <f>SUM(I58:I60)</f>
        <v>145436.18446155774</v>
      </c>
      <c r="J61" s="232">
        <f t="shared" ref="J61:P61" si="51">SUM(J58:J60)</f>
        <v>181288.55747397788</v>
      </c>
      <c r="K61" s="232">
        <f>SUM(K58:K60)</f>
        <v>120247.7630566092</v>
      </c>
      <c r="L61" s="232">
        <f t="shared" si="51"/>
        <v>266169.22508174763</v>
      </c>
      <c r="M61" s="232">
        <f t="shared" si="51"/>
        <v>157822.28612683239</v>
      </c>
      <c r="N61" s="232">
        <f t="shared" si="51"/>
        <v>233122.18891439849</v>
      </c>
      <c r="O61" s="232">
        <f t="shared" si="51"/>
        <v>393162.32233848248</v>
      </c>
      <c r="P61" s="232">
        <f t="shared" si="51"/>
        <v>417663.87144121219</v>
      </c>
    </row>
    <row r="62" spans="1:16" s="231" customFormat="1" ht="12.6" outlineLevel="1">
      <c r="A62" s="231" t="s">
        <v>233</v>
      </c>
      <c r="B62" s="253" t="s">
        <v>231</v>
      </c>
      <c r="C62" s="138"/>
      <c r="D62" s="134"/>
      <c r="E62" s="134"/>
      <c r="F62" s="134"/>
      <c r="G62" s="128">
        <f t="shared" ref="G62:H62" si="52">G61*4/((F42+G42)/2)</f>
        <v>2.4000000000000028E-2</v>
      </c>
      <c r="H62" s="128">
        <f t="shared" si="52"/>
        <v>1.9287543451873067E-2</v>
      </c>
      <c r="I62" s="128">
        <f>I61*2/((H42+I42)/2)</f>
        <v>2.1239920234043787E-2</v>
      </c>
      <c r="J62" s="128">
        <f t="shared" ref="J62:P62" si="53">J61*2/((I42+J42)/2)</f>
        <v>2.1218729557870013E-2</v>
      </c>
      <c r="K62" s="128">
        <f t="shared" si="53"/>
        <v>8.7487389207557276E-3</v>
      </c>
      <c r="L62" s="128">
        <f t="shared" si="53"/>
        <v>1.0828873236890151E-2</v>
      </c>
      <c r="M62" s="128">
        <f t="shared" si="53"/>
        <v>4.1131393353077512E-3</v>
      </c>
      <c r="N62" s="128">
        <f t="shared" si="53"/>
        <v>4.1326858837505195E-3</v>
      </c>
      <c r="O62" s="128">
        <f t="shared" si="53"/>
        <v>5.2489935974298014E-3</v>
      </c>
      <c r="P62" s="128">
        <f t="shared" si="53"/>
        <v>4.9103014967588352E-3</v>
      </c>
    </row>
    <row r="63" spans="1:16" s="174" customFormat="1" ht="12.6" outlineLevel="1">
      <c r="A63" s="174" t="s">
        <v>1290</v>
      </c>
      <c r="B63" s="121" t="s">
        <v>1267</v>
      </c>
      <c r="C63" s="138"/>
      <c r="D63" s="134"/>
      <c r="E63" s="134"/>
      <c r="F63" s="134"/>
      <c r="G63" s="236">
        <f t="shared" ref="G63:P63" si="54">G64/AVERAGE(F33:G33)</f>
        <v>0</v>
      </c>
      <c r="H63" s="236">
        <f t="shared" si="54"/>
        <v>0</v>
      </c>
      <c r="I63" s="236">
        <f t="shared" si="54"/>
        <v>0</v>
      </c>
      <c r="J63" s="236">
        <f t="shared" si="54"/>
        <v>0</v>
      </c>
      <c r="K63" s="236">
        <f t="shared" si="54"/>
        <v>0</v>
      </c>
      <c r="L63" s="236">
        <f t="shared" si="54"/>
        <v>0</v>
      </c>
      <c r="M63" s="236">
        <f t="shared" si="54"/>
        <v>0</v>
      </c>
      <c r="N63" s="236">
        <f t="shared" si="54"/>
        <v>0</v>
      </c>
      <c r="O63" s="236">
        <f t="shared" si="54"/>
        <v>0</v>
      </c>
      <c r="P63" s="236">
        <f t="shared" si="54"/>
        <v>0</v>
      </c>
    </row>
    <row r="64" spans="1:16" s="231" customFormat="1" ht="12.6" outlineLevel="1">
      <c r="A64" s="231" t="s">
        <v>307</v>
      </c>
      <c r="B64" s="121" t="s">
        <v>1267</v>
      </c>
      <c r="C64" s="138"/>
      <c r="D64" s="134"/>
      <c r="E64" s="134"/>
      <c r="F64" s="134"/>
      <c r="G64" s="232">
        <f>-G68*G61</f>
        <v>0</v>
      </c>
      <c r="H64" s="232">
        <f t="shared" ref="H64:P64" si="55">-H68*H61</f>
        <v>0</v>
      </c>
      <c r="I64" s="232">
        <f t="shared" si="55"/>
        <v>0</v>
      </c>
      <c r="J64" s="232">
        <f t="shared" si="55"/>
        <v>0</v>
      </c>
      <c r="K64" s="232">
        <f t="shared" si="55"/>
        <v>0</v>
      </c>
      <c r="L64" s="232">
        <f>-L68*L61</f>
        <v>0</v>
      </c>
      <c r="M64" s="232">
        <f t="shared" si="55"/>
        <v>0</v>
      </c>
      <c r="N64" s="232">
        <f>-N68*N61</f>
        <v>0</v>
      </c>
      <c r="O64" s="232">
        <f t="shared" si="55"/>
        <v>0</v>
      </c>
      <c r="P64" s="232">
        <f t="shared" si="55"/>
        <v>0</v>
      </c>
    </row>
    <row r="65" spans="1:16" s="174" customFormat="1" ht="12.6" outlineLevel="1">
      <c r="A65" s="174" t="s">
        <v>1272</v>
      </c>
      <c r="B65" s="121" t="s">
        <v>1267</v>
      </c>
      <c r="C65" s="138"/>
      <c r="D65" s="134"/>
      <c r="E65" s="134"/>
      <c r="F65" s="134"/>
      <c r="G65" s="228">
        <f t="shared" ref="G65:H65" si="56">G61+G64</f>
        <v>32444.356287554667</v>
      </c>
      <c r="H65" s="228">
        <f t="shared" si="56"/>
        <v>55439.160374653591</v>
      </c>
      <c r="I65" s="228">
        <f t="shared" ref="I65" si="57">I61+I64</f>
        <v>145436.18446155774</v>
      </c>
      <c r="J65" s="228">
        <f t="shared" ref="J65" si="58">J61+J64</f>
        <v>181288.55747397788</v>
      </c>
      <c r="K65" s="228">
        <f t="shared" ref="K65" si="59">K61+K64</f>
        <v>120247.7630566092</v>
      </c>
      <c r="L65" s="228">
        <f t="shared" ref="L65" si="60">L61+L64</f>
        <v>266169.22508174763</v>
      </c>
      <c r="M65" s="228">
        <f t="shared" ref="M65" si="61">M61+M64</f>
        <v>157822.28612683239</v>
      </c>
      <c r="N65" s="228">
        <f t="shared" ref="N65" si="62">N61+N64</f>
        <v>233122.18891439849</v>
      </c>
      <c r="O65" s="228">
        <f t="shared" ref="O65" si="63">O61+O64</f>
        <v>393162.32233848248</v>
      </c>
      <c r="P65" s="228">
        <f>P61+P64</f>
        <v>417663.87144121219</v>
      </c>
    </row>
    <row r="66" spans="1:16" s="174" customFormat="1" ht="12.6" outlineLevel="1">
      <c r="A66" s="174" t="s">
        <v>1291</v>
      </c>
      <c r="B66" s="121" t="s">
        <v>1267</v>
      </c>
      <c r="C66" s="138"/>
      <c r="D66" s="134"/>
      <c r="E66" s="134"/>
      <c r="F66" s="134"/>
      <c r="G66" s="228">
        <f t="shared" ref="G66" si="64">F66+G65</f>
        <v>32444.356287554667</v>
      </c>
      <c r="H66" s="228">
        <f>G66+H65</f>
        <v>87883.516662208262</v>
      </c>
      <c r="I66" s="228">
        <f>I65</f>
        <v>145436.18446155774</v>
      </c>
      <c r="J66" s="228">
        <f>I66+J65</f>
        <v>326724.74193553563</v>
      </c>
      <c r="K66" s="228">
        <f>K65</f>
        <v>120247.7630566092</v>
      </c>
      <c r="L66" s="228">
        <f>K66+L65</f>
        <v>386416.98813835683</v>
      </c>
      <c r="M66" s="228">
        <f>M65</f>
        <v>157822.28612683239</v>
      </c>
      <c r="N66" s="228">
        <f>M66+N65</f>
        <v>390944.47504123091</v>
      </c>
      <c r="O66" s="228">
        <f>O65</f>
        <v>393162.32233848248</v>
      </c>
      <c r="P66" s="228">
        <f>O66+P65</f>
        <v>810826.19377969461</v>
      </c>
    </row>
    <row r="67" spans="1:16" s="168" customFormat="1" ht="12.6" outlineLevel="1">
      <c r="A67" s="177" t="s">
        <v>236</v>
      </c>
      <c r="B67" s="233" t="s">
        <v>231</v>
      </c>
      <c r="C67" s="138"/>
      <c r="D67" s="134"/>
      <c r="E67" s="134"/>
      <c r="F67" s="134"/>
      <c r="G67" s="234"/>
      <c r="H67" s="234">
        <f>H66/AVERAGE(E42:H42)</f>
        <v>7.6437717259365328E-3</v>
      </c>
      <c r="I67" s="234"/>
      <c r="J67" s="234">
        <f>J66/AVERAGE(I42:J42)</f>
        <v>1.9120577811399149E-2</v>
      </c>
      <c r="K67" s="234"/>
      <c r="L67" s="234">
        <f>L66/AVERAGE(K42:L42)</f>
        <v>7.860526662776271E-3</v>
      </c>
      <c r="M67" s="234"/>
      <c r="N67" s="234">
        <f>N66/AVERAGE(M42:N42)</f>
        <v>3.4652443871964773E-3</v>
      </c>
      <c r="O67" s="234"/>
      <c r="P67" s="234">
        <f>P66/AVERAGE(O42:P42)</f>
        <v>4.7662742041695858E-3</v>
      </c>
    </row>
    <row r="68" spans="1:16" s="231" customFormat="1" ht="12.6" outlineLevel="1">
      <c r="A68" s="231" t="s">
        <v>374</v>
      </c>
      <c r="B68" s="121" t="s">
        <v>231</v>
      </c>
      <c r="C68" s="138"/>
      <c r="D68" s="134"/>
      <c r="E68" s="134"/>
      <c r="F68" s="134"/>
      <c r="G68" s="235"/>
      <c r="H68" s="235"/>
      <c r="I68" s="235"/>
      <c r="J68" s="235"/>
      <c r="K68" s="235"/>
      <c r="L68" s="235"/>
      <c r="M68" s="235"/>
      <c r="N68" s="235"/>
      <c r="O68" s="235"/>
      <c r="P68" s="235"/>
    </row>
    <row r="69" spans="1:16" s="127" customFormat="1" ht="12.6">
      <c r="A69" s="700"/>
      <c r="B69" s="701"/>
      <c r="D69" s="134"/>
      <c r="E69" s="134"/>
      <c r="F69" s="134"/>
      <c r="G69" s="128"/>
      <c r="H69" s="128"/>
      <c r="I69" s="128"/>
      <c r="J69" s="128"/>
      <c r="K69" s="128"/>
      <c r="L69" s="128"/>
      <c r="M69" s="128"/>
      <c r="N69" s="128"/>
      <c r="O69" s="128"/>
      <c r="P69" s="128"/>
    </row>
    <row r="70" spans="1:16" s="119" customFormat="1" ht="12.6">
      <c r="A70" s="132" t="s">
        <v>1292</v>
      </c>
      <c r="B70" s="116"/>
      <c r="C70" s="117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</row>
    <row r="71" spans="1:16" outlineLevel="1">
      <c r="A71" s="702" t="s">
        <v>1309</v>
      </c>
      <c r="B71" s="138" t="s">
        <v>394</v>
      </c>
      <c r="D71" s="134"/>
      <c r="E71" s="134"/>
      <c r="F71" s="134"/>
      <c r="G71" s="134">
        <f>Subscr!G15</f>
        <v>152589.56513841098</v>
      </c>
      <c r="H71" s="134">
        <f>Subscr!H15</f>
        <v>176214.02726400003</v>
      </c>
      <c r="I71" s="134">
        <f>Subscr!I15</f>
        <v>222371.43819264002</v>
      </c>
      <c r="J71" s="134">
        <f>Subscr!J15</f>
        <v>281949.48344217602</v>
      </c>
      <c r="K71" s="134">
        <f>Subscr!K15</f>
        <v>357757.91631360009</v>
      </c>
      <c r="L71" s="134">
        <f>Subscr!L15</f>
        <v>453706.60379590659</v>
      </c>
      <c r="M71" s="134">
        <f>Subscr!M15</f>
        <v>505891.42288227164</v>
      </c>
      <c r="N71" s="134">
        <f>Subscr!N15</f>
        <v>563506.75842480746</v>
      </c>
      <c r="O71" s="134">
        <f>Subscr!O15</f>
        <v>633149.69264606433</v>
      </c>
      <c r="P71" s="134">
        <f>Subscr!P15</f>
        <v>710035.62065759976</v>
      </c>
    </row>
    <row r="72" spans="1:16" outlineLevel="1">
      <c r="A72" s="227" t="s">
        <v>1275</v>
      </c>
      <c r="B72" s="121" t="s">
        <v>231</v>
      </c>
      <c r="C72" s="138"/>
      <c r="D72" s="134"/>
      <c r="E72" s="134"/>
      <c r="F72" s="134"/>
      <c r="G72" s="137">
        <v>0.01</v>
      </c>
      <c r="H72" s="137">
        <f t="shared" ref="H72" si="65">G72*(1+10%)</f>
        <v>1.1000000000000001E-2</v>
      </c>
      <c r="I72" s="137">
        <f>H72*(1+20%)</f>
        <v>1.3200000000000002E-2</v>
      </c>
      <c r="J72" s="137">
        <f t="shared" ref="J72" si="66">I72*(1+20%)</f>
        <v>1.584E-2</v>
      </c>
      <c r="K72" s="137">
        <f t="shared" ref="K72" si="67">J72*(1+20%)</f>
        <v>1.9008000000000001E-2</v>
      </c>
      <c r="L72" s="137">
        <f t="shared" ref="L72" si="68">K72*(1+20%)</f>
        <v>2.2809599999999999E-2</v>
      </c>
      <c r="M72" s="137">
        <f t="shared" ref="M72" si="69">L72*(1+20%)</f>
        <v>2.737152E-2</v>
      </c>
      <c r="N72" s="137">
        <f t="shared" ref="N72" si="70">M72*(1+20%)</f>
        <v>3.2845823999999996E-2</v>
      </c>
      <c r="O72" s="137">
        <f t="shared" ref="O72" si="71">N72*(1+20%)</f>
        <v>3.9414988799999995E-2</v>
      </c>
      <c r="P72" s="137">
        <f t="shared" ref="P72" si="72">O72*(1+20%)</f>
        <v>4.7297986559999991E-2</v>
      </c>
    </row>
    <row r="73" spans="1:16" outlineLevel="1">
      <c r="A73" s="227" t="s">
        <v>1308</v>
      </c>
      <c r="B73" s="138" t="s">
        <v>394</v>
      </c>
      <c r="C73" s="138"/>
      <c r="D73" s="134"/>
      <c r="E73" s="134"/>
      <c r="F73" s="134"/>
      <c r="G73" s="134">
        <f t="shared" ref="G73:P73" si="73">G71*G72</f>
        <v>1525.8956513841099</v>
      </c>
      <c r="H73" s="134">
        <f t="shared" si="73"/>
        <v>1938.3542999040005</v>
      </c>
      <c r="I73" s="134">
        <f t="shared" si="73"/>
        <v>2935.3029841428488</v>
      </c>
      <c r="J73" s="134">
        <f t="shared" si="73"/>
        <v>4466.0798177240677</v>
      </c>
      <c r="K73" s="134">
        <f t="shared" si="73"/>
        <v>6800.2624732889108</v>
      </c>
      <c r="L73" s="134">
        <f t="shared" si="73"/>
        <v>10348.866149943111</v>
      </c>
      <c r="M73" s="134">
        <f t="shared" si="73"/>
        <v>13847.017199250557</v>
      </c>
      <c r="N73" s="134">
        <f t="shared" si="73"/>
        <v>18508.84381003174</v>
      </c>
      <c r="O73" s="134">
        <f t="shared" si="73"/>
        <v>24955.588044368065</v>
      </c>
      <c r="P73" s="134">
        <f t="shared" si="73"/>
        <v>33583.255242984407</v>
      </c>
    </row>
    <row r="74" spans="1:16" s="119" customFormat="1" ht="12.6" outlineLevel="1">
      <c r="A74" s="227" t="s">
        <v>1276</v>
      </c>
      <c r="B74" s="121" t="s">
        <v>394</v>
      </c>
      <c r="C74" s="138"/>
      <c r="D74" s="134"/>
      <c r="E74" s="134"/>
      <c r="F74" s="134"/>
      <c r="G74" s="223">
        <f t="shared" ref="G74:P74" si="74">G75+G76</f>
        <v>1</v>
      </c>
      <c r="H74" s="223">
        <f t="shared" si="74"/>
        <v>1</v>
      </c>
      <c r="I74" s="223">
        <f t="shared" si="74"/>
        <v>1</v>
      </c>
      <c r="J74" s="223">
        <f t="shared" si="74"/>
        <v>1</v>
      </c>
      <c r="K74" s="223">
        <f t="shared" si="74"/>
        <v>1</v>
      </c>
      <c r="L74" s="223">
        <f t="shared" si="74"/>
        <v>1</v>
      </c>
      <c r="M74" s="223">
        <f t="shared" si="74"/>
        <v>1</v>
      </c>
      <c r="N74" s="223">
        <f t="shared" si="74"/>
        <v>1</v>
      </c>
      <c r="O74" s="223">
        <f t="shared" si="74"/>
        <v>1</v>
      </c>
      <c r="P74" s="223">
        <f t="shared" si="74"/>
        <v>1</v>
      </c>
    </row>
    <row r="75" spans="1:16" s="119" customFormat="1" ht="12.6" outlineLevel="1">
      <c r="A75" s="135" t="s">
        <v>1277</v>
      </c>
      <c r="B75" s="121" t="s">
        <v>394</v>
      </c>
      <c r="C75" s="138"/>
      <c r="D75" s="134"/>
      <c r="E75" s="134"/>
      <c r="F75" s="134"/>
      <c r="G75" s="210">
        <v>0.8</v>
      </c>
      <c r="H75" s="210">
        <v>0.8</v>
      </c>
      <c r="I75" s="210">
        <v>0.8</v>
      </c>
      <c r="J75" s="210">
        <v>0.8</v>
      </c>
      <c r="K75" s="210">
        <v>0.8</v>
      </c>
      <c r="L75" s="210">
        <v>0.8</v>
      </c>
      <c r="M75" s="210">
        <v>0.8</v>
      </c>
      <c r="N75" s="210">
        <v>0.8</v>
      </c>
      <c r="O75" s="210">
        <v>0.8</v>
      </c>
      <c r="P75" s="210">
        <v>0.8</v>
      </c>
    </row>
    <row r="76" spans="1:16" s="119" customFormat="1" ht="12.6" outlineLevel="1">
      <c r="A76" s="135" t="s">
        <v>1278</v>
      </c>
      <c r="B76" s="121" t="s">
        <v>394</v>
      </c>
      <c r="C76" s="138"/>
      <c r="D76" s="134"/>
      <c r="E76" s="134"/>
      <c r="F76" s="134"/>
      <c r="G76" s="210">
        <v>0.2</v>
      </c>
      <c r="H76" s="210">
        <v>0.2</v>
      </c>
      <c r="I76" s="210">
        <v>0.2</v>
      </c>
      <c r="J76" s="210">
        <v>0.2</v>
      </c>
      <c r="K76" s="210">
        <v>0.2</v>
      </c>
      <c r="L76" s="210">
        <v>0.2</v>
      </c>
      <c r="M76" s="210">
        <v>0.2</v>
      </c>
      <c r="N76" s="210">
        <v>0.2</v>
      </c>
      <c r="O76" s="210">
        <v>0.2</v>
      </c>
      <c r="P76" s="210">
        <v>0.2</v>
      </c>
    </row>
    <row r="77" spans="1:16" s="119" customFormat="1" ht="12.6" outlineLevel="1">
      <c r="A77" s="227" t="s">
        <v>1279</v>
      </c>
      <c r="B77" s="121" t="s">
        <v>394</v>
      </c>
      <c r="C77" s="138"/>
      <c r="D77" s="134"/>
      <c r="E77" s="134"/>
      <c r="F77" s="134"/>
      <c r="G77" s="223">
        <f t="shared" ref="G77:P77" si="75">G78+G79</f>
        <v>1525.8956513841099</v>
      </c>
      <c r="H77" s="223">
        <f t="shared" si="75"/>
        <v>1938.3542999040005</v>
      </c>
      <c r="I77" s="223">
        <f t="shared" si="75"/>
        <v>2935.3029841428493</v>
      </c>
      <c r="J77" s="223">
        <f t="shared" si="75"/>
        <v>4466.0798177240677</v>
      </c>
      <c r="K77" s="223">
        <f t="shared" si="75"/>
        <v>6800.2624732889117</v>
      </c>
      <c r="L77" s="223">
        <f t="shared" si="75"/>
        <v>10348.866149943113</v>
      </c>
      <c r="M77" s="223">
        <f t="shared" si="75"/>
        <v>13847.017199250558</v>
      </c>
      <c r="N77" s="223">
        <f t="shared" si="75"/>
        <v>18508.84381003174</v>
      </c>
      <c r="O77" s="223">
        <f t="shared" si="75"/>
        <v>24955.588044368069</v>
      </c>
      <c r="P77" s="223">
        <f t="shared" si="75"/>
        <v>33583.255242984407</v>
      </c>
    </row>
    <row r="78" spans="1:16" s="119" customFormat="1" ht="12.6" outlineLevel="1">
      <c r="A78" s="135" t="s">
        <v>1277</v>
      </c>
      <c r="B78" s="121" t="s">
        <v>394</v>
      </c>
      <c r="C78" s="138"/>
      <c r="D78" s="134"/>
      <c r="E78" s="134"/>
      <c r="F78" s="134"/>
      <c r="G78" s="226">
        <f t="shared" ref="G78:P78" si="76">G73*G75</f>
        <v>1220.7165211072879</v>
      </c>
      <c r="H78" s="226">
        <f t="shared" si="76"/>
        <v>1550.6834399232005</v>
      </c>
      <c r="I78" s="226">
        <f t="shared" si="76"/>
        <v>2348.2423873142793</v>
      </c>
      <c r="J78" s="226">
        <f t="shared" si="76"/>
        <v>3572.8638541792543</v>
      </c>
      <c r="K78" s="226">
        <f t="shared" si="76"/>
        <v>5440.2099786311292</v>
      </c>
      <c r="L78" s="226">
        <f t="shared" si="76"/>
        <v>8279.0929199544898</v>
      </c>
      <c r="M78" s="226">
        <f t="shared" si="76"/>
        <v>11077.613759400447</v>
      </c>
      <c r="N78" s="226">
        <f t="shared" si="76"/>
        <v>14807.075048025392</v>
      </c>
      <c r="O78" s="226">
        <f t="shared" si="76"/>
        <v>19964.470435494455</v>
      </c>
      <c r="P78" s="226">
        <f t="shared" si="76"/>
        <v>26866.604194387528</v>
      </c>
    </row>
    <row r="79" spans="1:16" s="119" customFormat="1" ht="12.6" outlineLevel="1">
      <c r="A79" s="135" t="s">
        <v>1278</v>
      </c>
      <c r="B79" s="121" t="s">
        <v>394</v>
      </c>
      <c r="C79" s="138"/>
      <c r="D79" s="134"/>
      <c r="E79" s="134"/>
      <c r="F79" s="134"/>
      <c r="G79" s="226">
        <f t="shared" ref="G79:P79" si="77">G73*G76</f>
        <v>305.17913027682198</v>
      </c>
      <c r="H79" s="226">
        <f t="shared" si="77"/>
        <v>387.67085998080012</v>
      </c>
      <c r="I79" s="226">
        <f t="shared" si="77"/>
        <v>587.06059682856983</v>
      </c>
      <c r="J79" s="226">
        <f t="shared" si="77"/>
        <v>893.21596354481358</v>
      </c>
      <c r="K79" s="226">
        <f t="shared" si="77"/>
        <v>1360.0524946577823</v>
      </c>
      <c r="L79" s="226">
        <f t="shared" si="77"/>
        <v>2069.7732299886225</v>
      </c>
      <c r="M79" s="226">
        <f t="shared" si="77"/>
        <v>2769.4034398501117</v>
      </c>
      <c r="N79" s="226">
        <f t="shared" si="77"/>
        <v>3701.768762006348</v>
      </c>
      <c r="O79" s="226">
        <f t="shared" si="77"/>
        <v>4991.1176088736138</v>
      </c>
      <c r="P79" s="226">
        <f t="shared" si="77"/>
        <v>6716.651048596882</v>
      </c>
    </row>
    <row r="80" spans="1:16" s="227" customFormat="1" ht="12.6" outlineLevel="1">
      <c r="A80" s="227" t="s">
        <v>1280</v>
      </c>
      <c r="B80" s="121" t="s">
        <v>1267</v>
      </c>
      <c r="C80" s="138"/>
      <c r="D80" s="134"/>
      <c r="E80" s="134"/>
      <c r="F80" s="134"/>
      <c r="G80" s="223">
        <f t="shared" ref="G80:P80" si="78">G86/G77</f>
        <v>439.99999999999994</v>
      </c>
      <c r="H80" s="223">
        <f t="shared" si="78"/>
        <v>393.18662708934585</v>
      </c>
      <c r="I80" s="223">
        <f t="shared" si="78"/>
        <v>365.27902171686924</v>
      </c>
      <c r="J80" s="223">
        <f t="shared" si="78"/>
        <v>364.59362189377799</v>
      </c>
      <c r="K80" s="223">
        <f t="shared" si="78"/>
        <v>404.48524064455643</v>
      </c>
      <c r="L80" s="223">
        <f t="shared" si="78"/>
        <v>430.84656593658195</v>
      </c>
      <c r="M80" s="223">
        <f t="shared" si="78"/>
        <v>494.31659253884931</v>
      </c>
      <c r="N80" s="223">
        <f t="shared" si="78"/>
        <v>524.43893321546398</v>
      </c>
      <c r="O80" s="223">
        <f t="shared" si="78"/>
        <v>602.50139460298692</v>
      </c>
      <c r="P80" s="223">
        <f t="shared" si="78"/>
        <v>662.37654117347381</v>
      </c>
    </row>
    <row r="81" spans="1:17" s="227" customFormat="1" ht="12.6" outlineLevel="1">
      <c r="A81" s="135" t="s">
        <v>1277</v>
      </c>
      <c r="B81" s="121" t="s">
        <v>1267</v>
      </c>
      <c r="C81" s="138"/>
      <c r="D81" s="134"/>
      <c r="E81" s="134"/>
      <c r="F81" s="134"/>
      <c r="G81" s="221">
        <v>300</v>
      </c>
      <c r="H81" s="221">
        <v>300</v>
      </c>
      <c r="I81" s="221">
        <v>300</v>
      </c>
      <c r="J81" s="221">
        <v>300</v>
      </c>
      <c r="K81" s="221">
        <v>400</v>
      </c>
      <c r="L81" s="221">
        <v>400</v>
      </c>
      <c r="M81" s="221">
        <v>500</v>
      </c>
      <c r="N81" s="221">
        <v>500</v>
      </c>
      <c r="O81" s="221">
        <v>700</v>
      </c>
      <c r="P81" s="221">
        <v>700</v>
      </c>
    </row>
    <row r="82" spans="1:17" s="227" customFormat="1" ht="12.6" outlineLevel="1">
      <c r="A82" s="135" t="s">
        <v>1278</v>
      </c>
      <c r="B82" s="121" t="s">
        <v>1267</v>
      </c>
      <c r="C82" s="138"/>
      <c r="D82" s="134"/>
      <c r="E82" s="134"/>
      <c r="F82" s="134"/>
      <c r="G82" s="221">
        <v>1000</v>
      </c>
      <c r="H82" s="221">
        <v>1000</v>
      </c>
      <c r="I82" s="221">
        <v>1000</v>
      </c>
      <c r="J82" s="221">
        <v>1000</v>
      </c>
      <c r="K82" s="221">
        <v>1000</v>
      </c>
      <c r="L82" s="221">
        <v>1000</v>
      </c>
      <c r="M82" s="221">
        <v>1000</v>
      </c>
      <c r="N82" s="221">
        <v>1000</v>
      </c>
      <c r="O82" s="221">
        <v>1000</v>
      </c>
      <c r="P82" s="221">
        <v>1000</v>
      </c>
    </row>
    <row r="83" spans="1:17" s="119" customFormat="1" ht="12.6" outlineLevel="1">
      <c r="A83" s="227" t="s">
        <v>1281</v>
      </c>
      <c r="B83" s="121" t="s">
        <v>1267</v>
      </c>
      <c r="C83" s="138"/>
      <c r="D83" s="134"/>
      <c r="E83" s="134"/>
      <c r="F83" s="134"/>
      <c r="G83" s="223">
        <f>G84+G85</f>
        <v>671394.08660900826</v>
      </c>
      <c r="H83" s="223">
        <f t="shared" ref="H83" si="79">H84+H85</f>
        <v>852875.89195776032</v>
      </c>
      <c r="I83" s="223">
        <f t="shared" ref="I83" si="80">I84+I85</f>
        <v>1291533.3130228536</v>
      </c>
      <c r="J83" s="223">
        <f t="shared" ref="J83" si="81">J84+J85</f>
        <v>1965075.11979859</v>
      </c>
      <c r="K83" s="223">
        <f t="shared" ref="K83" si="82">K84+K85</f>
        <v>3536136.4861102342</v>
      </c>
      <c r="L83" s="223">
        <f t="shared" ref="L83" si="83">L84+L85</f>
        <v>5381410.3979704184</v>
      </c>
      <c r="M83" s="223">
        <f t="shared" ref="M83" si="84">M84+M85</f>
        <v>8308210.3195503345</v>
      </c>
      <c r="N83" s="223">
        <f t="shared" ref="N83" si="85">N84+N85</f>
        <v>11105306.286019044</v>
      </c>
      <c r="O83" s="223">
        <f t="shared" ref="O83" si="86">O84+O85</f>
        <v>18966246.913719732</v>
      </c>
      <c r="P83" s="223">
        <f t="shared" ref="P83" si="87">P84+P85</f>
        <v>25523273.984668151</v>
      </c>
    </row>
    <row r="84" spans="1:17" s="227" customFormat="1" ht="12.6" outlineLevel="1">
      <c r="A84" s="135" t="s">
        <v>1277</v>
      </c>
      <c r="B84" s="121" t="s">
        <v>1267</v>
      </c>
      <c r="C84" s="138"/>
      <c r="D84" s="134"/>
      <c r="E84" s="134"/>
      <c r="F84" s="134"/>
      <c r="G84" s="134">
        <f>G78*G81</f>
        <v>366214.95633218635</v>
      </c>
      <c r="H84" s="134">
        <f t="shared" ref="H84:P84" si="88">H78*H81</f>
        <v>465205.03197696013</v>
      </c>
      <c r="I84" s="134">
        <f t="shared" si="88"/>
        <v>704472.7161942838</v>
      </c>
      <c r="J84" s="134">
        <f t="shared" si="88"/>
        <v>1071859.1562537763</v>
      </c>
      <c r="K84" s="134">
        <f t="shared" si="88"/>
        <v>2176083.9914524518</v>
      </c>
      <c r="L84" s="134">
        <f t="shared" si="88"/>
        <v>3311637.167981796</v>
      </c>
      <c r="M84" s="134">
        <f t="shared" si="88"/>
        <v>5538806.879700223</v>
      </c>
      <c r="N84" s="134">
        <f t="shared" si="88"/>
        <v>7403537.524012696</v>
      </c>
      <c r="O84" s="134">
        <f t="shared" si="88"/>
        <v>13975129.304846119</v>
      </c>
      <c r="P84" s="134">
        <f t="shared" si="88"/>
        <v>18806622.936071269</v>
      </c>
    </row>
    <row r="85" spans="1:17" s="227" customFormat="1" ht="12.6" outlineLevel="1">
      <c r="A85" s="135" t="s">
        <v>1278</v>
      </c>
      <c r="B85" s="121" t="s">
        <v>1267</v>
      </c>
      <c r="C85" s="138"/>
      <c r="D85" s="134"/>
      <c r="E85" s="134"/>
      <c r="F85" s="134"/>
      <c r="G85" s="134">
        <f>G79*G82</f>
        <v>305179.13027682196</v>
      </c>
      <c r="H85" s="134">
        <f t="shared" ref="H85:P85" si="89">H79*H82</f>
        <v>387670.85998080013</v>
      </c>
      <c r="I85" s="134">
        <f t="shared" si="89"/>
        <v>587060.59682856977</v>
      </c>
      <c r="J85" s="134">
        <f t="shared" si="89"/>
        <v>893215.96354481357</v>
      </c>
      <c r="K85" s="134">
        <f t="shared" si="89"/>
        <v>1360052.4946577824</v>
      </c>
      <c r="L85" s="134">
        <f t="shared" si="89"/>
        <v>2069773.2299886225</v>
      </c>
      <c r="M85" s="134">
        <f t="shared" si="89"/>
        <v>2769403.4398501115</v>
      </c>
      <c r="N85" s="134">
        <f t="shared" si="89"/>
        <v>3701768.762006348</v>
      </c>
      <c r="O85" s="134">
        <f t="shared" si="89"/>
        <v>4991117.6088736141</v>
      </c>
      <c r="P85" s="134">
        <f t="shared" si="89"/>
        <v>6716651.0485968823</v>
      </c>
    </row>
    <row r="86" spans="1:17" s="174" customFormat="1" ht="12.6" outlineLevel="1">
      <c r="A86" s="227" t="s">
        <v>1282</v>
      </c>
      <c r="B86" s="121" t="s">
        <v>1267</v>
      </c>
      <c r="C86" s="138"/>
      <c r="D86" s="134"/>
      <c r="E86" s="134"/>
      <c r="F86" s="134"/>
      <c r="G86" s="226">
        <f t="shared" ref="G86:P86" si="90">G87+G88</f>
        <v>671394.08660900826</v>
      </c>
      <c r="H86" s="226">
        <f t="shared" si="90"/>
        <v>762134.98928338429</v>
      </c>
      <c r="I86" s="226">
        <f t="shared" si="90"/>
        <v>1072204.6024903068</v>
      </c>
      <c r="J86" s="226">
        <f t="shared" si="90"/>
        <v>1628304.2164107217</v>
      </c>
      <c r="K86" s="226">
        <f t="shared" si="90"/>
        <v>2750605.8029544121</v>
      </c>
      <c r="L86" s="226">
        <f t="shared" si="90"/>
        <v>4458773.4420403261</v>
      </c>
      <c r="M86" s="226">
        <f t="shared" si="90"/>
        <v>6844810.3587603765</v>
      </c>
      <c r="N86" s="226">
        <f t="shared" si="90"/>
        <v>9706758.3027846888</v>
      </c>
      <c r="O86" s="226">
        <f t="shared" si="90"/>
        <v>15035776.599869389</v>
      </c>
      <c r="P86" s="226">
        <f t="shared" si="90"/>
        <v>22244760.449193943</v>
      </c>
    </row>
    <row r="87" spans="1:17" s="174" customFormat="1" ht="12.6" outlineLevel="1">
      <c r="A87" s="135" t="s">
        <v>1277</v>
      </c>
      <c r="B87" s="121" t="s">
        <v>1267</v>
      </c>
      <c r="C87" s="138"/>
      <c r="D87" s="134"/>
      <c r="E87" s="134"/>
      <c r="F87" s="134"/>
      <c r="G87" s="226">
        <f t="shared" ref="G87:I88" si="91">AVERAGE(F84:G84)</f>
        <v>366214.95633218635</v>
      </c>
      <c r="H87" s="226">
        <f t="shared" si="91"/>
        <v>415709.99415457324</v>
      </c>
      <c r="I87" s="226">
        <f t="shared" si="91"/>
        <v>584838.87408562191</v>
      </c>
      <c r="J87" s="226">
        <f t="shared" ref="J87:P87" si="92">AVERAGE(I84:J84)</f>
        <v>888165.9362240301</v>
      </c>
      <c r="K87" s="226">
        <f t="shared" si="92"/>
        <v>1623971.5738531142</v>
      </c>
      <c r="L87" s="226">
        <f t="shared" si="92"/>
        <v>2743860.5797171239</v>
      </c>
      <c r="M87" s="226">
        <f t="shared" si="92"/>
        <v>4425222.0238410095</v>
      </c>
      <c r="N87" s="226">
        <f t="shared" si="92"/>
        <v>6471172.2018564595</v>
      </c>
      <c r="O87" s="226">
        <f t="shared" si="92"/>
        <v>10689333.414429408</v>
      </c>
      <c r="P87" s="226">
        <f t="shared" si="92"/>
        <v>16390876.120458694</v>
      </c>
    </row>
    <row r="88" spans="1:17" s="174" customFormat="1" ht="12.6" outlineLevel="1">
      <c r="A88" s="135" t="s">
        <v>1278</v>
      </c>
      <c r="B88" s="121" t="s">
        <v>1267</v>
      </c>
      <c r="C88" s="138"/>
      <c r="D88" s="134"/>
      <c r="E88" s="134"/>
      <c r="F88" s="134"/>
      <c r="G88" s="226">
        <f t="shared" si="91"/>
        <v>305179.13027682196</v>
      </c>
      <c r="H88" s="226">
        <f t="shared" si="91"/>
        <v>346424.99512881105</v>
      </c>
      <c r="I88" s="226">
        <f t="shared" si="91"/>
        <v>487365.72840468492</v>
      </c>
      <c r="J88" s="226">
        <f t="shared" ref="J88:P88" si="93">AVERAGE(I85:J85)</f>
        <v>740138.28018669167</v>
      </c>
      <c r="K88" s="226">
        <f t="shared" si="93"/>
        <v>1126634.2291012979</v>
      </c>
      <c r="L88" s="226">
        <f t="shared" si="93"/>
        <v>1714912.8623232024</v>
      </c>
      <c r="M88" s="226">
        <f t="shared" si="93"/>
        <v>2419588.334919367</v>
      </c>
      <c r="N88" s="226">
        <f t="shared" si="93"/>
        <v>3235586.1009282297</v>
      </c>
      <c r="O88" s="226">
        <f t="shared" si="93"/>
        <v>4346443.1854399815</v>
      </c>
      <c r="P88" s="226">
        <f t="shared" si="93"/>
        <v>5853884.3287352482</v>
      </c>
    </row>
    <row r="89" spans="1:17" s="174" customFormat="1" ht="12.6" outlineLevel="1">
      <c r="A89" s="174" t="s">
        <v>1283</v>
      </c>
      <c r="B89" s="121"/>
      <c r="C89" s="138"/>
      <c r="D89" s="134"/>
      <c r="E89" s="134"/>
      <c r="F89" s="134"/>
      <c r="G89" s="138"/>
      <c r="H89" s="138"/>
      <c r="I89" s="138"/>
      <c r="J89" s="138"/>
      <c r="K89" s="138"/>
      <c r="L89" s="138"/>
      <c r="M89" s="138"/>
      <c r="N89" s="138"/>
      <c r="O89" s="138"/>
      <c r="P89" s="138"/>
    </row>
    <row r="90" spans="1:17" s="227" customFormat="1" ht="12.6" outlineLevel="1">
      <c r="A90" s="135" t="s">
        <v>1277</v>
      </c>
      <c r="B90" s="121" t="s">
        <v>1284</v>
      </c>
      <c r="C90" s="138"/>
      <c r="D90" s="134"/>
      <c r="E90" s="134"/>
      <c r="F90" s="134"/>
      <c r="G90" s="210">
        <v>3</v>
      </c>
      <c r="H90" s="210">
        <v>3</v>
      </c>
      <c r="I90" s="210">
        <v>3</v>
      </c>
      <c r="J90" s="210">
        <v>3</v>
      </c>
      <c r="K90" s="210">
        <v>3</v>
      </c>
      <c r="L90" s="210">
        <v>3</v>
      </c>
      <c r="M90" s="210">
        <v>3</v>
      </c>
      <c r="N90" s="210">
        <v>3</v>
      </c>
      <c r="O90" s="210">
        <v>3</v>
      </c>
      <c r="P90" s="210">
        <v>3</v>
      </c>
    </row>
    <row r="91" spans="1:17" s="227" customFormat="1" ht="12.6" outlineLevel="1">
      <c r="A91" s="135" t="s">
        <v>1278</v>
      </c>
      <c r="B91" s="121" t="s">
        <v>1284</v>
      </c>
      <c r="C91" s="138"/>
      <c r="D91" s="134"/>
      <c r="E91" s="134"/>
      <c r="F91" s="134"/>
      <c r="G91" s="210">
        <v>12</v>
      </c>
      <c r="H91" s="210">
        <v>12</v>
      </c>
      <c r="I91" s="210">
        <v>12</v>
      </c>
      <c r="J91" s="210">
        <v>12</v>
      </c>
      <c r="K91" s="210">
        <v>12</v>
      </c>
      <c r="L91" s="210">
        <v>12</v>
      </c>
      <c r="M91" s="210">
        <v>12</v>
      </c>
      <c r="N91" s="210">
        <v>12</v>
      </c>
      <c r="O91" s="210">
        <v>12</v>
      </c>
      <c r="P91" s="210">
        <v>12</v>
      </c>
    </row>
    <row r="92" spans="1:17" s="227" customFormat="1" ht="12.6" outlineLevel="1">
      <c r="A92" s="227" t="s">
        <v>1285</v>
      </c>
      <c r="B92" s="229"/>
      <c r="C92" s="138"/>
      <c r="D92" s="134"/>
      <c r="E92" s="134"/>
      <c r="F92" s="134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</row>
    <row r="93" spans="1:17" s="227" customFormat="1" ht="12.6" outlineLevel="1">
      <c r="A93" s="135" t="s">
        <v>1277</v>
      </c>
      <c r="B93" s="229" t="s">
        <v>231</v>
      </c>
      <c r="C93" s="138"/>
      <c r="D93" s="134"/>
      <c r="E93" s="134"/>
      <c r="F93" s="134"/>
      <c r="G93" s="137">
        <v>2E-3</v>
      </c>
      <c r="H93" s="137">
        <v>2E-3</v>
      </c>
      <c r="I93" s="137">
        <v>2E-3</v>
      </c>
      <c r="J93" s="137">
        <v>2E-3</v>
      </c>
      <c r="K93" s="137">
        <v>2E-3</v>
      </c>
      <c r="L93" s="137">
        <v>2E-3</v>
      </c>
      <c r="M93" s="137">
        <v>2E-3</v>
      </c>
      <c r="N93" s="137">
        <v>2E-3</v>
      </c>
      <c r="O93" s="137">
        <v>2E-3</v>
      </c>
      <c r="P93" s="137">
        <v>2E-3</v>
      </c>
    </row>
    <row r="94" spans="1:17" s="227" customFormat="1" ht="12.6" outlineLevel="1">
      <c r="A94" s="135" t="s">
        <v>1278</v>
      </c>
      <c r="B94" s="229" t="s">
        <v>231</v>
      </c>
      <c r="C94" s="138"/>
      <c r="D94" s="134"/>
      <c r="E94" s="134"/>
      <c r="F94" s="134"/>
      <c r="G94" s="137">
        <v>2E-3</v>
      </c>
      <c r="H94" s="137">
        <v>2E-3</v>
      </c>
      <c r="I94" s="137">
        <v>2E-3</v>
      </c>
      <c r="J94" s="137">
        <v>2E-3</v>
      </c>
      <c r="K94" s="137">
        <v>2E-3</v>
      </c>
      <c r="L94" s="137">
        <v>2E-3</v>
      </c>
      <c r="M94" s="137">
        <v>2E-3</v>
      </c>
      <c r="N94" s="137">
        <v>2E-3</v>
      </c>
      <c r="O94" s="137">
        <v>2E-3</v>
      </c>
      <c r="P94" s="137">
        <v>2E-3</v>
      </c>
    </row>
    <row r="95" spans="1:17" s="119" customFormat="1" ht="12.6" outlineLevel="1">
      <c r="A95" s="227" t="s">
        <v>1286</v>
      </c>
      <c r="B95" s="121"/>
      <c r="C95" s="138"/>
      <c r="D95" s="134"/>
      <c r="E95" s="134"/>
      <c r="F95" s="134"/>
      <c r="G95" s="223"/>
      <c r="H95" s="223"/>
      <c r="I95" s="223"/>
      <c r="J95" s="223"/>
      <c r="K95" s="223"/>
      <c r="L95" s="223"/>
      <c r="M95" s="223"/>
      <c r="N95" s="223"/>
      <c r="O95" s="223"/>
      <c r="P95" s="223"/>
    </row>
    <row r="96" spans="1:17" s="227" customFormat="1" ht="12.6" outlineLevel="1">
      <c r="A96" s="135" t="s">
        <v>1277</v>
      </c>
      <c r="B96" s="229" t="s">
        <v>231</v>
      </c>
      <c r="C96" s="138"/>
      <c r="D96" s="134"/>
      <c r="E96" s="134"/>
      <c r="F96" s="134"/>
      <c r="G96" s="137">
        <v>0.12</v>
      </c>
      <c r="H96" s="137">
        <v>0.12</v>
      </c>
      <c r="I96" s="137">
        <v>0.12</v>
      </c>
      <c r="J96" s="137">
        <v>0.12</v>
      </c>
      <c r="K96" s="137">
        <v>0.14000000000000001</v>
      </c>
      <c r="L96" s="137">
        <v>0.14000000000000001</v>
      </c>
      <c r="M96" s="137">
        <v>0.15</v>
      </c>
      <c r="N96" s="137">
        <v>0.15</v>
      </c>
      <c r="O96" s="137">
        <v>0.16</v>
      </c>
      <c r="P96" s="137">
        <v>0.16</v>
      </c>
    </row>
    <row r="97" spans="1:16" s="227" customFormat="1" ht="12.6" outlineLevel="1">
      <c r="A97" s="135" t="s">
        <v>1278</v>
      </c>
      <c r="B97" s="229" t="s">
        <v>231</v>
      </c>
      <c r="C97" s="138"/>
      <c r="D97" s="134"/>
      <c r="E97" s="134"/>
      <c r="F97" s="134"/>
      <c r="G97" s="137">
        <v>0.01</v>
      </c>
      <c r="H97" s="137">
        <v>0.01</v>
      </c>
      <c r="I97" s="137">
        <v>0.01</v>
      </c>
      <c r="J97" s="137">
        <v>0.01</v>
      </c>
      <c r="K97" s="137">
        <v>0.01</v>
      </c>
      <c r="L97" s="137">
        <v>0.01</v>
      </c>
      <c r="M97" s="137">
        <v>0.01</v>
      </c>
      <c r="N97" s="137">
        <v>0.01</v>
      </c>
      <c r="O97" s="137">
        <v>0.01</v>
      </c>
      <c r="P97" s="137">
        <v>0.01</v>
      </c>
    </row>
    <row r="98" spans="1:16" s="174" customFormat="1" ht="12.6" outlineLevel="1">
      <c r="A98" s="174" t="s">
        <v>1287</v>
      </c>
      <c r="B98" s="229"/>
      <c r="C98" s="138"/>
      <c r="D98" s="134"/>
      <c r="E98" s="134"/>
      <c r="F98" s="134"/>
      <c r="G98" s="125"/>
      <c r="H98" s="125"/>
      <c r="I98" s="125"/>
      <c r="J98" s="125"/>
      <c r="K98" s="125"/>
      <c r="L98" s="125"/>
      <c r="M98" s="125"/>
      <c r="N98" s="125"/>
      <c r="O98" s="125"/>
      <c r="P98" s="125"/>
    </row>
    <row r="99" spans="1:16" s="227" customFormat="1" ht="12.6" outlineLevel="1">
      <c r="A99" s="135" t="s">
        <v>1277</v>
      </c>
      <c r="B99" s="229" t="s">
        <v>231</v>
      </c>
      <c r="C99" s="138"/>
      <c r="D99" s="134"/>
      <c r="E99" s="134"/>
      <c r="F99" s="134"/>
      <c r="G99" s="137">
        <v>0.14000000000000001</v>
      </c>
      <c r="H99" s="137">
        <v>0.14000000000000001</v>
      </c>
      <c r="I99" s="137">
        <v>0.14000000000000001</v>
      </c>
      <c r="J99" s="137">
        <v>0.14000000000000001</v>
      </c>
      <c r="K99" s="137">
        <v>0.15</v>
      </c>
      <c r="L99" s="137">
        <v>0.15</v>
      </c>
      <c r="M99" s="137">
        <v>0.155</v>
      </c>
      <c r="N99" s="137">
        <v>0.155</v>
      </c>
      <c r="O99" s="137">
        <v>0.16500000000000001</v>
      </c>
      <c r="P99" s="137">
        <v>0.16500000000000001</v>
      </c>
    </row>
    <row r="100" spans="1:16" s="227" customFormat="1" ht="12.6" outlineLevel="1">
      <c r="A100" s="135" t="s">
        <v>1278</v>
      </c>
      <c r="B100" s="229" t="s">
        <v>231</v>
      </c>
      <c r="C100" s="138"/>
      <c r="D100" s="134"/>
      <c r="E100" s="134"/>
      <c r="F100" s="134"/>
      <c r="G100" s="137">
        <v>0.03</v>
      </c>
      <c r="H100" s="137">
        <v>0.03</v>
      </c>
      <c r="I100" s="137">
        <v>0.03</v>
      </c>
      <c r="J100" s="137">
        <v>0.03</v>
      </c>
      <c r="K100" s="137">
        <v>0.03</v>
      </c>
      <c r="L100" s="137">
        <v>0.03</v>
      </c>
      <c r="M100" s="137">
        <v>0.03</v>
      </c>
      <c r="N100" s="137">
        <v>0.03</v>
      </c>
      <c r="O100" s="137">
        <v>0.03</v>
      </c>
      <c r="P100" s="137">
        <v>0.03</v>
      </c>
    </row>
    <row r="101" spans="1:16" s="174" customFormat="1" ht="12.6" outlineLevel="1">
      <c r="A101" s="703" t="s">
        <v>1288</v>
      </c>
      <c r="B101" s="229"/>
      <c r="C101" s="138"/>
      <c r="D101" s="134"/>
      <c r="E101" s="134"/>
      <c r="F101" s="134"/>
      <c r="G101" s="230"/>
      <c r="H101" s="230"/>
      <c r="I101" s="230"/>
      <c r="J101" s="230"/>
      <c r="K101" s="230"/>
      <c r="L101" s="230"/>
      <c r="M101" s="230"/>
      <c r="N101" s="230"/>
      <c r="O101" s="230"/>
      <c r="P101" s="230"/>
    </row>
    <row r="102" spans="1:16" s="174" customFormat="1" ht="25.2" outlineLevel="1">
      <c r="A102" s="699" t="s">
        <v>1270</v>
      </c>
      <c r="B102" s="121" t="s">
        <v>1267</v>
      </c>
      <c r="C102" s="138"/>
      <c r="D102" s="134"/>
      <c r="E102" s="134"/>
      <c r="F102" s="134"/>
      <c r="G102" s="225">
        <f>(G99*G87)/4+(G100*G88)/4</f>
        <v>15106.366948702689</v>
      </c>
      <c r="H102" s="225">
        <f t="shared" ref="H102" si="94">(H99*H87)/4+(H100*H88)/4</f>
        <v>17148.037258876149</v>
      </c>
      <c r="I102" s="225">
        <f>(I99*I87)/2+(I100*I88)/2</f>
        <v>48249.207112063807</v>
      </c>
      <c r="J102" s="225">
        <f t="shared" ref="J102:P102" si="95">(J99*J87)/2+(J100*J88)/2</f>
        <v>73273.689738482484</v>
      </c>
      <c r="K102" s="225">
        <f t="shared" si="95"/>
        <v>138697.38147550303</v>
      </c>
      <c r="L102" s="225">
        <f t="shared" si="95"/>
        <v>231513.23641363234</v>
      </c>
      <c r="M102" s="225">
        <f t="shared" si="95"/>
        <v>379248.53187146876</v>
      </c>
      <c r="N102" s="225">
        <f t="shared" si="95"/>
        <v>550049.63715779909</v>
      </c>
      <c r="O102" s="225">
        <f t="shared" si="95"/>
        <v>947066.65447202581</v>
      </c>
      <c r="P102" s="225">
        <f t="shared" si="95"/>
        <v>1440055.5448688711</v>
      </c>
    </row>
    <row r="103" spans="1:16" s="119" customFormat="1" ht="12.6" outlineLevel="1">
      <c r="A103" s="227" t="s">
        <v>1269</v>
      </c>
      <c r="B103" s="121" t="s">
        <v>1267</v>
      </c>
      <c r="C103" s="138"/>
      <c r="D103" s="134"/>
      <c r="E103" s="134"/>
      <c r="F103" s="134"/>
      <c r="G103" s="223">
        <f>-((G96*G87)/4+(G97*G88)/4)</f>
        <v>-11749.396515657645</v>
      </c>
      <c r="H103" s="223">
        <f t="shared" ref="H103" si="96">-((H96*H87)/4+(H97*H88)/4)</f>
        <v>-13337.362312459225</v>
      </c>
      <c r="I103" s="223">
        <f>-((I96*I87)/2+(I97*I88)/2)</f>
        <v>-37527.161087160734</v>
      </c>
      <c r="J103" s="223">
        <f t="shared" ref="J103:P103" si="97">-((J96*J87)/2+(J97*J88)/2)</f>
        <v>-56990.64757437526</v>
      </c>
      <c r="K103" s="223">
        <f t="shared" si="97"/>
        <v>-119311.1813152245</v>
      </c>
      <c r="L103" s="223">
        <f t="shared" si="97"/>
        <v>-200644.80489181471</v>
      </c>
      <c r="M103" s="223">
        <f t="shared" si="97"/>
        <v>-343989.59346267255</v>
      </c>
      <c r="N103" s="223">
        <f t="shared" si="97"/>
        <v>-501515.8456438756</v>
      </c>
      <c r="O103" s="223">
        <f t="shared" si="97"/>
        <v>-876878.88908155251</v>
      </c>
      <c r="P103" s="223">
        <f t="shared" si="97"/>
        <v>-1340539.5112803718</v>
      </c>
    </row>
    <row r="104" spans="1:16" s="231" customFormat="1" ht="12.6" outlineLevel="1">
      <c r="A104" s="174" t="s">
        <v>1289</v>
      </c>
      <c r="B104" s="121" t="s">
        <v>1267</v>
      </c>
      <c r="C104" s="138"/>
      <c r="D104" s="134"/>
      <c r="E104" s="134"/>
      <c r="F104" s="134"/>
      <c r="G104" s="232">
        <f>-((G84-F84)*G93+(G85-F85)*G94)</f>
        <v>-1342.7881732180167</v>
      </c>
      <c r="H104" s="232">
        <f t="shared" ref="H104:P104" si="98">-((H84-G84)*H93+(H85-G85)*H94)</f>
        <v>-362.9636106975039</v>
      </c>
      <c r="I104" s="232">
        <f t="shared" si="98"/>
        <v>-877.31484213018666</v>
      </c>
      <c r="J104" s="232">
        <f t="shared" si="98"/>
        <v>-1347.0836135514726</v>
      </c>
      <c r="K104" s="232">
        <f t="shared" si="98"/>
        <v>-3142.1227326232884</v>
      </c>
      <c r="L104" s="232">
        <f t="shared" si="98"/>
        <v>-3690.5478237203688</v>
      </c>
      <c r="M104" s="232">
        <f t="shared" si="98"/>
        <v>-5853.5998431598327</v>
      </c>
      <c r="N104" s="232">
        <f t="shared" si="98"/>
        <v>-5594.1919329374196</v>
      </c>
      <c r="O104" s="232">
        <f t="shared" si="98"/>
        <v>-15721.881255401378</v>
      </c>
      <c r="P104" s="232">
        <f t="shared" si="98"/>
        <v>-13114.054141896837</v>
      </c>
    </row>
    <row r="105" spans="1:16" s="231" customFormat="1" ht="12.6" outlineLevel="1">
      <c r="A105" s="231" t="s">
        <v>232</v>
      </c>
      <c r="B105" s="121" t="s">
        <v>1267</v>
      </c>
      <c r="C105" s="138"/>
      <c r="D105" s="134"/>
      <c r="E105" s="134"/>
      <c r="F105" s="134"/>
      <c r="G105" s="232">
        <f>SUM(G102:G104)</f>
        <v>2014.1822598270273</v>
      </c>
      <c r="H105" s="232">
        <f>SUM(H102:H104)</f>
        <v>3447.7113357194203</v>
      </c>
      <c r="I105" s="232">
        <f>SUM(I102:I104)</f>
        <v>9844.7311827728863</v>
      </c>
      <c r="J105" s="232">
        <f t="shared" ref="J105" si="99">SUM(J102:J104)</f>
        <v>14935.958550555752</v>
      </c>
      <c r="K105" s="232">
        <f>SUM(K102:K104)</f>
        <v>16244.077427655244</v>
      </c>
      <c r="L105" s="232">
        <f t="shared" ref="L105:P105" si="100">SUM(L102:L104)</f>
        <v>27177.883698097266</v>
      </c>
      <c r="M105" s="232">
        <f t="shared" si="100"/>
        <v>29405.338565636375</v>
      </c>
      <c r="N105" s="232">
        <f t="shared" si="100"/>
        <v>42939.599580986076</v>
      </c>
      <c r="O105" s="232">
        <f t="shared" si="100"/>
        <v>54465.884135071923</v>
      </c>
      <c r="P105" s="232">
        <f t="shared" si="100"/>
        <v>86401.979446602461</v>
      </c>
    </row>
    <row r="106" spans="1:16" s="231" customFormat="1" ht="12.6" outlineLevel="1">
      <c r="A106" s="231" t="s">
        <v>233</v>
      </c>
      <c r="B106" s="253" t="s">
        <v>231</v>
      </c>
      <c r="C106" s="138"/>
      <c r="D106" s="134"/>
      <c r="E106" s="134"/>
      <c r="F106" s="134"/>
      <c r="G106" s="128">
        <f t="shared" ref="G106" si="101">G105*4/((F86+G86)/2)</f>
        <v>2.4000000000000032E-2</v>
      </c>
      <c r="H106" s="128">
        <f t="shared" ref="H106" si="102">H105*4/((G86+H86)/2)</f>
        <v>1.9240412454547086E-2</v>
      </c>
      <c r="I106" s="128">
        <f>I105*2/((H86+I86)/2)</f>
        <v>2.1467630589063719E-2</v>
      </c>
      <c r="J106" s="128">
        <f t="shared" ref="J106" si="103">J105*2/((I86+J86)/2)</f>
        <v>2.2123176856180662E-2</v>
      </c>
      <c r="K106" s="128">
        <f t="shared" ref="K106" si="104">K105*2/((J86+K86)/2)</f>
        <v>1.4838466518670648E-2</v>
      </c>
      <c r="L106" s="128">
        <f t="shared" ref="L106" si="105">L105*2/((K86+L86)/2)</f>
        <v>1.5079181035990624E-2</v>
      </c>
      <c r="M106" s="128">
        <f t="shared" ref="M106" si="106">M105*2/((L86+M86)/2)</f>
        <v>1.0405669240423878E-2</v>
      </c>
      <c r="N106" s="128">
        <f t="shared" ref="N106" si="107">N105*2/((M86+N86)/2)</f>
        <v>1.0377167375258975E-2</v>
      </c>
      <c r="O106" s="128">
        <f t="shared" ref="O106" si="108">O105*2/((N86+O86)/2)</f>
        <v>8.8052229651262581E-3</v>
      </c>
      <c r="P106" s="128">
        <f t="shared" ref="P106" si="109">P105*2/((O86+P86)/2)</f>
        <v>9.2704651043940146E-3</v>
      </c>
    </row>
    <row r="107" spans="1:16" s="174" customFormat="1" ht="12.6" outlineLevel="1">
      <c r="A107" s="174" t="s">
        <v>1290</v>
      </c>
      <c r="B107" s="121" t="s">
        <v>1267</v>
      </c>
      <c r="C107" s="138"/>
      <c r="D107" s="134"/>
      <c r="E107" s="134"/>
      <c r="F107" s="134"/>
      <c r="G107" s="236">
        <f>G108/AVERAGE(F77:G77)</f>
        <v>0</v>
      </c>
      <c r="H107" s="236">
        <f t="shared" ref="H107:P107" si="110">H108/AVERAGE(G77:H77)</f>
        <v>0</v>
      </c>
      <c r="I107" s="236">
        <f t="shared" si="110"/>
        <v>0</v>
      </c>
      <c r="J107" s="236">
        <f t="shared" si="110"/>
        <v>0</v>
      </c>
      <c r="K107" s="236">
        <f t="shared" si="110"/>
        <v>0</v>
      </c>
      <c r="L107" s="236">
        <f t="shared" si="110"/>
        <v>0</v>
      </c>
      <c r="M107" s="236">
        <f t="shared" si="110"/>
        <v>0</v>
      </c>
      <c r="N107" s="236">
        <f t="shared" si="110"/>
        <v>0</v>
      </c>
      <c r="O107" s="236">
        <f t="shared" si="110"/>
        <v>0</v>
      </c>
      <c r="P107" s="236">
        <f t="shared" si="110"/>
        <v>0</v>
      </c>
    </row>
    <row r="108" spans="1:16" s="231" customFormat="1" ht="12.6" outlineLevel="1">
      <c r="A108" s="231" t="s">
        <v>307</v>
      </c>
      <c r="B108" s="121" t="s">
        <v>1267</v>
      </c>
      <c r="C108" s="138"/>
      <c r="D108" s="134"/>
      <c r="E108" s="134"/>
      <c r="F108" s="134"/>
      <c r="G108" s="232">
        <f>-G112*G105</f>
        <v>0</v>
      </c>
      <c r="H108" s="232">
        <f t="shared" ref="H108:K108" si="111">-H112*H105</f>
        <v>0</v>
      </c>
      <c r="I108" s="232">
        <f t="shared" si="111"/>
        <v>0</v>
      </c>
      <c r="J108" s="232">
        <f t="shared" si="111"/>
        <v>0</v>
      </c>
      <c r="K108" s="232">
        <f t="shared" si="111"/>
        <v>0</v>
      </c>
      <c r="L108" s="232">
        <f>-L112*L105</f>
        <v>0</v>
      </c>
      <c r="M108" s="232">
        <f t="shared" ref="M108" si="112">-M112*M105</f>
        <v>0</v>
      </c>
      <c r="N108" s="232">
        <f>-N112*N105</f>
        <v>0</v>
      </c>
      <c r="O108" s="232">
        <f t="shared" ref="O108:P108" si="113">-O112*O105</f>
        <v>0</v>
      </c>
      <c r="P108" s="232">
        <f t="shared" si="113"/>
        <v>0</v>
      </c>
    </row>
    <row r="109" spans="1:16" s="174" customFormat="1" ht="12.6" outlineLevel="1">
      <c r="A109" s="174" t="s">
        <v>1272</v>
      </c>
      <c r="B109" s="121" t="s">
        <v>1267</v>
      </c>
      <c r="C109" s="138"/>
      <c r="D109" s="134"/>
      <c r="E109" s="134"/>
      <c r="F109" s="134"/>
      <c r="G109" s="228">
        <f t="shared" ref="G109:O109" si="114">G105+G108</f>
        <v>2014.1822598270273</v>
      </c>
      <c r="H109" s="228">
        <f t="shared" si="114"/>
        <v>3447.7113357194203</v>
      </c>
      <c r="I109" s="228">
        <f t="shared" si="114"/>
        <v>9844.7311827728863</v>
      </c>
      <c r="J109" s="228">
        <f t="shared" si="114"/>
        <v>14935.958550555752</v>
      </c>
      <c r="K109" s="228">
        <f t="shared" si="114"/>
        <v>16244.077427655244</v>
      </c>
      <c r="L109" s="228">
        <f t="shared" si="114"/>
        <v>27177.883698097266</v>
      </c>
      <c r="M109" s="228">
        <f t="shared" si="114"/>
        <v>29405.338565636375</v>
      </c>
      <c r="N109" s="228">
        <f t="shared" si="114"/>
        <v>42939.599580986076</v>
      </c>
      <c r="O109" s="228">
        <f t="shared" si="114"/>
        <v>54465.884135071923</v>
      </c>
      <c r="P109" s="228">
        <f>P105+P108</f>
        <v>86401.979446602461</v>
      </c>
    </row>
    <row r="110" spans="1:16" s="174" customFormat="1" ht="12.6" outlineLevel="1">
      <c r="A110" s="174" t="s">
        <v>1291</v>
      </c>
      <c r="B110" s="121" t="s">
        <v>1267</v>
      </c>
      <c r="C110" s="138"/>
      <c r="D110" s="134"/>
      <c r="E110" s="134"/>
      <c r="F110" s="134"/>
      <c r="G110" s="228">
        <f t="shared" ref="G110" si="115">F110+G109</f>
        <v>2014.1822598270273</v>
      </c>
      <c r="H110" s="228">
        <f>G110+H109</f>
        <v>5461.8935955464476</v>
      </c>
      <c r="I110" s="228">
        <f>I109</f>
        <v>9844.7311827728863</v>
      </c>
      <c r="J110" s="228">
        <f>I110+J109</f>
        <v>24780.68973332864</v>
      </c>
      <c r="K110" s="228">
        <f>K109</f>
        <v>16244.077427655244</v>
      </c>
      <c r="L110" s="228">
        <f>K110+L109</f>
        <v>43421.96112575251</v>
      </c>
      <c r="M110" s="228">
        <f>M109</f>
        <v>29405.338565636375</v>
      </c>
      <c r="N110" s="228">
        <f>M110+N109</f>
        <v>72344.938146622444</v>
      </c>
      <c r="O110" s="228">
        <f>O109</f>
        <v>54465.884135071923</v>
      </c>
      <c r="P110" s="228">
        <f>O110+P109</f>
        <v>140867.86358167438</v>
      </c>
    </row>
    <row r="111" spans="1:16" s="168" customFormat="1" ht="12.6" outlineLevel="1">
      <c r="A111" s="177" t="s">
        <v>236</v>
      </c>
      <c r="B111" s="233" t="s">
        <v>231</v>
      </c>
      <c r="C111" s="138"/>
      <c r="D111" s="134"/>
      <c r="E111" s="134"/>
      <c r="F111" s="134"/>
      <c r="G111" s="234"/>
      <c r="H111" s="234">
        <f>H110/AVERAGE(E86:H86)</f>
        <v>7.620206227273542E-3</v>
      </c>
      <c r="I111" s="234"/>
      <c r="J111" s="234">
        <f>J110/AVERAGE(I86:J86)</f>
        <v>1.8352607893658453E-2</v>
      </c>
      <c r="K111" s="234"/>
      <c r="L111" s="234">
        <f>L110/AVERAGE(K86:L86)</f>
        <v>1.204596391732315E-2</v>
      </c>
      <c r="M111" s="234"/>
      <c r="N111" s="234">
        <f>N110/AVERAGE(M86:N86)</f>
        <v>8.7417621406126172E-3</v>
      </c>
      <c r="O111" s="234"/>
      <c r="P111" s="234">
        <f>P110/AVERAGE(O86:P86)</f>
        <v>7.5571799513662668E-3</v>
      </c>
    </row>
    <row r="112" spans="1:16" s="231" customFormat="1" ht="12.6" outlineLevel="1">
      <c r="A112" s="231" t="s">
        <v>374</v>
      </c>
      <c r="B112" s="121" t="s">
        <v>231</v>
      </c>
      <c r="C112" s="138"/>
      <c r="D112" s="134"/>
      <c r="E112" s="134"/>
      <c r="F112" s="134"/>
      <c r="G112" s="235"/>
      <c r="H112" s="235"/>
      <c r="I112" s="235"/>
      <c r="J112" s="235"/>
      <c r="K112" s="235"/>
      <c r="L112" s="235"/>
      <c r="M112" s="235"/>
      <c r="N112" s="235"/>
      <c r="O112" s="235"/>
      <c r="P112" s="235"/>
    </row>
    <row r="113" spans="1:16">
      <c r="A113" s="704"/>
      <c r="B113" s="704"/>
      <c r="D113" s="134"/>
      <c r="E113" s="134"/>
      <c r="F113" s="134"/>
    </row>
    <row r="114" spans="1:16" s="119" customFormat="1" ht="12.6">
      <c r="A114" s="132" t="s">
        <v>1293</v>
      </c>
      <c r="B114" s="116"/>
      <c r="C114" s="117"/>
      <c r="D114" s="117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</row>
    <row r="115" spans="1:16" outlineLevel="1">
      <c r="A115" s="702" t="s">
        <v>1310</v>
      </c>
      <c r="B115" s="138" t="s">
        <v>394</v>
      </c>
      <c r="D115" s="134"/>
      <c r="E115" s="134"/>
      <c r="F115" s="134"/>
      <c r="G115" s="134">
        <f>Subscr!G16</f>
        <v>57221.086926904107</v>
      </c>
      <c r="H115" s="134">
        <f>Subscr!H16</f>
        <v>66080.260224000012</v>
      </c>
      <c r="I115" s="134">
        <f>Subscr!I16</f>
        <v>83389.289322240002</v>
      </c>
      <c r="J115" s="134">
        <f>Subscr!J16</f>
        <v>105731.05629081601</v>
      </c>
      <c r="K115" s="134">
        <f>Subscr!K16</f>
        <v>134159.21861760001</v>
      </c>
      <c r="L115" s="134">
        <f>Subscr!L16</f>
        <v>170139.97642346495</v>
      </c>
      <c r="M115" s="134">
        <f>Subscr!M16</f>
        <v>189709.28358085186</v>
      </c>
      <c r="N115" s="134">
        <f>Subscr!N16</f>
        <v>211315.03440930278</v>
      </c>
      <c r="O115" s="134">
        <f>Subscr!O16</f>
        <v>237431.13474227409</v>
      </c>
      <c r="P115" s="134">
        <f>Subscr!P16</f>
        <v>266263.35774659988</v>
      </c>
    </row>
    <row r="116" spans="1:16" outlineLevel="1">
      <c r="A116" s="227" t="s">
        <v>1275</v>
      </c>
      <c r="B116" s="121" t="s">
        <v>231</v>
      </c>
      <c r="C116" s="138"/>
      <c r="D116" s="134"/>
      <c r="E116" s="134"/>
      <c r="F116" s="134"/>
      <c r="G116" s="137">
        <v>0.01</v>
      </c>
      <c r="H116" s="137">
        <f t="shared" ref="H116" si="116">G116*(1+10%)</f>
        <v>1.1000000000000001E-2</v>
      </c>
      <c r="I116" s="137">
        <f>H116*(1+20%)</f>
        <v>1.3200000000000002E-2</v>
      </c>
      <c r="J116" s="137">
        <f t="shared" ref="J116" si="117">I116*(1+20%)</f>
        <v>1.584E-2</v>
      </c>
      <c r="K116" s="137">
        <f t="shared" ref="K116" si="118">J116*(1+20%)</f>
        <v>1.9008000000000001E-2</v>
      </c>
      <c r="L116" s="137">
        <f t="shared" ref="L116" si="119">K116*(1+20%)</f>
        <v>2.2809599999999999E-2</v>
      </c>
      <c r="M116" s="137">
        <f t="shared" ref="M116" si="120">L116*(1+20%)</f>
        <v>2.737152E-2</v>
      </c>
      <c r="N116" s="137">
        <f t="shared" ref="N116" si="121">M116*(1+20%)</f>
        <v>3.2845823999999996E-2</v>
      </c>
      <c r="O116" s="137">
        <f t="shared" ref="O116" si="122">N116*(1+20%)</f>
        <v>3.9414988799999995E-2</v>
      </c>
      <c r="P116" s="137">
        <f t="shared" ref="P116" si="123">O116*(1+20%)</f>
        <v>4.7297986559999991E-2</v>
      </c>
    </row>
    <row r="117" spans="1:16" outlineLevel="1">
      <c r="A117" s="227" t="s">
        <v>1308</v>
      </c>
      <c r="B117" s="138" t="s">
        <v>394</v>
      </c>
      <c r="C117" s="138"/>
      <c r="D117" s="134"/>
      <c r="E117" s="134"/>
      <c r="F117" s="134"/>
      <c r="G117" s="134">
        <f t="shared" ref="G117:P117" si="124">G115*G116</f>
        <v>572.21086926904104</v>
      </c>
      <c r="H117" s="134">
        <f t="shared" si="124"/>
        <v>726.88286246400025</v>
      </c>
      <c r="I117" s="134">
        <f t="shared" si="124"/>
        <v>1100.7386190535681</v>
      </c>
      <c r="J117" s="134">
        <f t="shared" si="124"/>
        <v>1674.7799316465255</v>
      </c>
      <c r="K117" s="134">
        <f t="shared" si="124"/>
        <v>2550.0984274833409</v>
      </c>
      <c r="L117" s="134">
        <f t="shared" si="124"/>
        <v>3880.8248062286661</v>
      </c>
      <c r="M117" s="134">
        <f t="shared" si="124"/>
        <v>5192.6314497189578</v>
      </c>
      <c r="N117" s="134">
        <f t="shared" si="124"/>
        <v>6940.816428761902</v>
      </c>
      <c r="O117" s="134">
        <f t="shared" si="124"/>
        <v>9358.3455166380227</v>
      </c>
      <c r="P117" s="134">
        <f t="shared" si="124"/>
        <v>12593.720716119151</v>
      </c>
    </row>
    <row r="118" spans="1:16" s="119" customFormat="1" ht="12.6" outlineLevel="1">
      <c r="A118" s="227" t="s">
        <v>1276</v>
      </c>
      <c r="B118" s="121" t="s">
        <v>394</v>
      </c>
      <c r="C118" s="138"/>
      <c r="D118" s="134"/>
      <c r="E118" s="134"/>
      <c r="F118" s="134"/>
      <c r="G118" s="223">
        <f t="shared" ref="G118:P118" si="125">G119+G120</f>
        <v>1</v>
      </c>
      <c r="H118" s="223">
        <f t="shared" si="125"/>
        <v>1</v>
      </c>
      <c r="I118" s="223">
        <f t="shared" si="125"/>
        <v>1</v>
      </c>
      <c r="J118" s="223">
        <f t="shared" si="125"/>
        <v>1</v>
      </c>
      <c r="K118" s="223">
        <f t="shared" si="125"/>
        <v>1</v>
      </c>
      <c r="L118" s="223">
        <f t="shared" si="125"/>
        <v>1</v>
      </c>
      <c r="M118" s="223">
        <f t="shared" si="125"/>
        <v>1</v>
      </c>
      <c r="N118" s="223">
        <f t="shared" si="125"/>
        <v>1</v>
      </c>
      <c r="O118" s="223">
        <f t="shared" si="125"/>
        <v>1</v>
      </c>
      <c r="P118" s="223">
        <f t="shared" si="125"/>
        <v>1</v>
      </c>
    </row>
    <row r="119" spans="1:16" s="119" customFormat="1" ht="12.6" outlineLevel="1">
      <c r="A119" s="135" t="s">
        <v>1277</v>
      </c>
      <c r="B119" s="121" t="s">
        <v>394</v>
      </c>
      <c r="C119" s="138"/>
      <c r="D119" s="134"/>
      <c r="E119" s="134"/>
      <c r="F119" s="134"/>
      <c r="G119" s="210">
        <v>0.8</v>
      </c>
      <c r="H119" s="210">
        <v>0.8</v>
      </c>
      <c r="I119" s="210">
        <v>0.8</v>
      </c>
      <c r="J119" s="210">
        <v>0.8</v>
      </c>
      <c r="K119" s="210">
        <v>0.8</v>
      </c>
      <c r="L119" s="210">
        <v>0.8</v>
      </c>
      <c r="M119" s="210">
        <v>0.8</v>
      </c>
      <c r="N119" s="210">
        <v>0.8</v>
      </c>
      <c r="O119" s="210">
        <v>0.8</v>
      </c>
      <c r="P119" s="210">
        <v>0.8</v>
      </c>
    </row>
    <row r="120" spans="1:16" s="119" customFormat="1" ht="12.6" outlineLevel="1">
      <c r="A120" s="135" t="s">
        <v>1278</v>
      </c>
      <c r="B120" s="121" t="s">
        <v>394</v>
      </c>
      <c r="C120" s="138"/>
      <c r="D120" s="134"/>
      <c r="E120" s="134"/>
      <c r="F120" s="134"/>
      <c r="G120" s="210">
        <v>0.2</v>
      </c>
      <c r="H120" s="210">
        <v>0.2</v>
      </c>
      <c r="I120" s="210">
        <v>0.2</v>
      </c>
      <c r="J120" s="210">
        <v>0.2</v>
      </c>
      <c r="K120" s="210">
        <v>0.2</v>
      </c>
      <c r="L120" s="210">
        <v>0.2</v>
      </c>
      <c r="M120" s="210">
        <v>0.2</v>
      </c>
      <c r="N120" s="210">
        <v>0.2</v>
      </c>
      <c r="O120" s="210">
        <v>0.2</v>
      </c>
      <c r="P120" s="210">
        <v>0.2</v>
      </c>
    </row>
    <row r="121" spans="1:16" s="119" customFormat="1" ht="12.6" outlineLevel="1">
      <c r="A121" s="227" t="s">
        <v>1279</v>
      </c>
      <c r="B121" s="121" t="s">
        <v>394</v>
      </c>
      <c r="C121" s="138"/>
      <c r="D121" s="134"/>
      <c r="E121" s="134"/>
      <c r="F121" s="134"/>
      <c r="G121" s="223">
        <f t="shared" ref="G121:P121" si="126">G122+G123</f>
        <v>572.21086926904104</v>
      </c>
      <c r="H121" s="223">
        <f t="shared" si="126"/>
        <v>726.88286246400025</v>
      </c>
      <c r="I121" s="223">
        <f t="shared" si="126"/>
        <v>1100.7386190535681</v>
      </c>
      <c r="J121" s="223">
        <f t="shared" si="126"/>
        <v>1674.7799316465257</v>
      </c>
      <c r="K121" s="223">
        <f t="shared" si="126"/>
        <v>2550.0984274833409</v>
      </c>
      <c r="L121" s="223">
        <f t="shared" si="126"/>
        <v>3880.8248062286661</v>
      </c>
      <c r="M121" s="223">
        <f t="shared" si="126"/>
        <v>5192.6314497189578</v>
      </c>
      <c r="N121" s="223">
        <f t="shared" si="126"/>
        <v>6940.816428761902</v>
      </c>
      <c r="O121" s="223">
        <f t="shared" si="126"/>
        <v>9358.3455166380227</v>
      </c>
      <c r="P121" s="223">
        <f t="shared" si="126"/>
        <v>12593.720716119151</v>
      </c>
    </row>
    <row r="122" spans="1:16" s="119" customFormat="1" ht="12.6" outlineLevel="1">
      <c r="A122" s="135" t="s">
        <v>1277</v>
      </c>
      <c r="B122" s="121" t="s">
        <v>394</v>
      </c>
      <c r="C122" s="138"/>
      <c r="D122" s="134"/>
      <c r="E122" s="134"/>
      <c r="F122" s="134"/>
      <c r="G122" s="226">
        <f t="shared" ref="G122:P122" si="127">G117*G119</f>
        <v>457.76869541523286</v>
      </c>
      <c r="H122" s="226">
        <f t="shared" si="127"/>
        <v>581.5062899712002</v>
      </c>
      <c r="I122" s="226">
        <f t="shared" si="127"/>
        <v>880.59089524285446</v>
      </c>
      <c r="J122" s="226">
        <f t="shared" si="127"/>
        <v>1339.8239453172205</v>
      </c>
      <c r="K122" s="226">
        <f t="shared" si="127"/>
        <v>2040.0787419866729</v>
      </c>
      <c r="L122" s="226">
        <f t="shared" si="127"/>
        <v>3104.659844982933</v>
      </c>
      <c r="M122" s="226">
        <f t="shared" si="127"/>
        <v>4154.1051597751666</v>
      </c>
      <c r="N122" s="226">
        <f t="shared" si="127"/>
        <v>5552.653143009522</v>
      </c>
      <c r="O122" s="226">
        <f t="shared" si="127"/>
        <v>7486.6764133104189</v>
      </c>
      <c r="P122" s="226">
        <f t="shared" si="127"/>
        <v>10074.976572895321</v>
      </c>
    </row>
    <row r="123" spans="1:16" s="119" customFormat="1" ht="12.6" outlineLevel="1">
      <c r="A123" s="135" t="s">
        <v>1278</v>
      </c>
      <c r="B123" s="121" t="s">
        <v>394</v>
      </c>
      <c r="C123" s="138"/>
      <c r="D123" s="134"/>
      <c r="E123" s="134"/>
      <c r="F123" s="134"/>
      <c r="G123" s="226">
        <f t="shared" ref="G123:P123" si="128">G117*G120</f>
        <v>114.44217385380821</v>
      </c>
      <c r="H123" s="226">
        <f t="shared" si="128"/>
        <v>145.37657249280005</v>
      </c>
      <c r="I123" s="226">
        <f t="shared" si="128"/>
        <v>220.14772381071361</v>
      </c>
      <c r="J123" s="226">
        <f t="shared" si="128"/>
        <v>334.95598632930512</v>
      </c>
      <c r="K123" s="226">
        <f t="shared" si="128"/>
        <v>510.01968549666822</v>
      </c>
      <c r="L123" s="226">
        <f t="shared" si="128"/>
        <v>776.16496124573325</v>
      </c>
      <c r="M123" s="226">
        <f t="shared" si="128"/>
        <v>1038.5262899437917</v>
      </c>
      <c r="N123" s="226">
        <f t="shared" si="128"/>
        <v>1388.1632857523805</v>
      </c>
      <c r="O123" s="226">
        <f t="shared" si="128"/>
        <v>1871.6691033276047</v>
      </c>
      <c r="P123" s="226">
        <f t="shared" si="128"/>
        <v>2518.7441432238302</v>
      </c>
    </row>
    <row r="124" spans="1:16" s="227" customFormat="1" ht="12.6" outlineLevel="1">
      <c r="A124" s="227" t="s">
        <v>1280</v>
      </c>
      <c r="B124" s="121" t="s">
        <v>1267</v>
      </c>
      <c r="C124" s="138"/>
      <c r="D124" s="134"/>
      <c r="E124" s="134"/>
      <c r="F124" s="134"/>
      <c r="G124" s="223">
        <f t="shared" ref="G124:P124" si="129">G130/G121</f>
        <v>440.00000000000006</v>
      </c>
      <c r="H124" s="223">
        <f t="shared" si="129"/>
        <v>393.18662708934579</v>
      </c>
      <c r="I124" s="223">
        <f t="shared" si="129"/>
        <v>365.27902171686935</v>
      </c>
      <c r="J124" s="223">
        <f t="shared" si="129"/>
        <v>364.59362189377794</v>
      </c>
      <c r="K124" s="223">
        <f t="shared" si="129"/>
        <v>444.48524064455648</v>
      </c>
      <c r="L124" s="223">
        <f t="shared" si="129"/>
        <v>497.13065300374836</v>
      </c>
      <c r="M124" s="223">
        <f t="shared" si="129"/>
        <v>604.21145292944163</v>
      </c>
      <c r="N124" s="223">
        <f t="shared" si="129"/>
        <v>664.28931540625433</v>
      </c>
      <c r="O124" s="223">
        <f t="shared" si="129"/>
        <v>741.83509983045019</v>
      </c>
      <c r="P124" s="223">
        <f t="shared" si="129"/>
        <v>801.82423405209977</v>
      </c>
    </row>
    <row r="125" spans="1:16" s="227" customFormat="1" ht="12.6" outlineLevel="1">
      <c r="A125" s="135" t="s">
        <v>1277</v>
      </c>
      <c r="B125" s="121" t="s">
        <v>1267</v>
      </c>
      <c r="C125" s="138"/>
      <c r="D125" s="134"/>
      <c r="E125" s="134"/>
      <c r="F125" s="134"/>
      <c r="G125" s="221">
        <v>300</v>
      </c>
      <c r="H125" s="221">
        <v>300</v>
      </c>
      <c r="I125" s="221">
        <v>300</v>
      </c>
      <c r="J125" s="221">
        <v>300</v>
      </c>
      <c r="K125" s="221">
        <v>500</v>
      </c>
      <c r="L125" s="221">
        <v>500</v>
      </c>
      <c r="M125" s="221">
        <v>700</v>
      </c>
      <c r="N125" s="221">
        <v>700</v>
      </c>
      <c r="O125" s="221">
        <v>900</v>
      </c>
      <c r="P125" s="221">
        <v>900</v>
      </c>
    </row>
    <row r="126" spans="1:16" s="227" customFormat="1" ht="12.6" outlineLevel="1">
      <c r="A126" s="135" t="s">
        <v>1278</v>
      </c>
      <c r="B126" s="121" t="s">
        <v>1267</v>
      </c>
      <c r="C126" s="138"/>
      <c r="D126" s="134"/>
      <c r="E126" s="134"/>
      <c r="F126" s="134"/>
      <c r="G126" s="221">
        <v>1000</v>
      </c>
      <c r="H126" s="221">
        <v>1000</v>
      </c>
      <c r="I126" s="221">
        <v>1000</v>
      </c>
      <c r="J126" s="221">
        <v>1000</v>
      </c>
      <c r="K126" s="221">
        <v>1000</v>
      </c>
      <c r="L126" s="221">
        <v>1000</v>
      </c>
      <c r="M126" s="221">
        <v>1000</v>
      </c>
      <c r="N126" s="221">
        <v>1000</v>
      </c>
      <c r="O126" s="221">
        <v>1000</v>
      </c>
      <c r="P126" s="221">
        <v>1000</v>
      </c>
    </row>
    <row r="127" spans="1:16" s="119" customFormat="1" ht="12.6" outlineLevel="1">
      <c r="A127" s="227" t="s">
        <v>1281</v>
      </c>
      <c r="B127" s="121" t="s">
        <v>1267</v>
      </c>
      <c r="C127" s="138"/>
      <c r="D127" s="134"/>
      <c r="E127" s="134"/>
      <c r="F127" s="134"/>
      <c r="G127" s="223">
        <f>G128+G129</f>
        <v>251772.7824783781</v>
      </c>
      <c r="H127" s="223">
        <f t="shared" ref="H127" si="130">H128+H129</f>
        <v>319828.45948416006</v>
      </c>
      <c r="I127" s="223">
        <f t="shared" ref="I127" si="131">I128+I129</f>
        <v>484324.99238356994</v>
      </c>
      <c r="J127" s="223">
        <f t="shared" ref="J127" si="132">J128+J129</f>
        <v>736903.16992447129</v>
      </c>
      <c r="K127" s="223">
        <f t="shared" ref="K127" si="133">K128+K129</f>
        <v>1530059.0564900045</v>
      </c>
      <c r="L127" s="223">
        <f t="shared" ref="L127" si="134">L128+L129</f>
        <v>2328494.8837371995</v>
      </c>
      <c r="M127" s="223">
        <f t="shared" ref="M127" si="135">M128+M129</f>
        <v>3946399.9017864084</v>
      </c>
      <c r="N127" s="223">
        <f t="shared" ref="N127" si="136">N128+N129</f>
        <v>5275020.4858590458</v>
      </c>
      <c r="O127" s="223">
        <f t="shared" ref="O127" si="137">O128+O129</f>
        <v>8609677.8753069807</v>
      </c>
      <c r="P127" s="223">
        <f t="shared" ref="P127" si="138">P128+P129</f>
        <v>11586223.058829619</v>
      </c>
    </row>
    <row r="128" spans="1:16" s="227" customFormat="1" ht="12.6" outlineLevel="1">
      <c r="A128" s="135" t="s">
        <v>1277</v>
      </c>
      <c r="B128" s="121" t="s">
        <v>1267</v>
      </c>
      <c r="C128" s="138"/>
      <c r="D128" s="134"/>
      <c r="E128" s="134"/>
      <c r="F128" s="134"/>
      <c r="G128" s="134">
        <f>G122*G125</f>
        <v>137330.60862456987</v>
      </c>
      <c r="H128" s="134">
        <f t="shared" ref="H128:P128" si="139">H122*H125</f>
        <v>174451.88699136005</v>
      </c>
      <c r="I128" s="134">
        <f t="shared" si="139"/>
        <v>264177.26857285632</v>
      </c>
      <c r="J128" s="134">
        <f t="shared" si="139"/>
        <v>401947.18359516613</v>
      </c>
      <c r="K128" s="134">
        <f t="shared" si="139"/>
        <v>1020039.3709933364</v>
      </c>
      <c r="L128" s="134">
        <f t="shared" si="139"/>
        <v>1552329.9224914664</v>
      </c>
      <c r="M128" s="134">
        <f t="shared" si="139"/>
        <v>2907873.6118426165</v>
      </c>
      <c r="N128" s="134">
        <f t="shared" si="139"/>
        <v>3886857.2001066655</v>
      </c>
      <c r="O128" s="134">
        <f t="shared" si="139"/>
        <v>6738008.7719793767</v>
      </c>
      <c r="P128" s="134">
        <f t="shared" si="139"/>
        <v>9067478.9156057891</v>
      </c>
    </row>
    <row r="129" spans="1:17" s="227" customFormat="1" ht="12.6" outlineLevel="1">
      <c r="A129" s="135" t="s">
        <v>1278</v>
      </c>
      <c r="B129" s="121" t="s">
        <v>1267</v>
      </c>
      <c r="C129" s="138"/>
      <c r="D129" s="134"/>
      <c r="E129" s="134"/>
      <c r="F129" s="134"/>
      <c r="G129" s="134">
        <f>G123*G126</f>
        <v>114442.17385380821</v>
      </c>
      <c r="H129" s="134">
        <f t="shared" ref="H129:P129" si="140">H123*H126</f>
        <v>145376.57249280004</v>
      </c>
      <c r="I129" s="134">
        <f t="shared" si="140"/>
        <v>220147.72381071362</v>
      </c>
      <c r="J129" s="134">
        <f t="shared" si="140"/>
        <v>334955.9863293051</v>
      </c>
      <c r="K129" s="134">
        <f t="shared" si="140"/>
        <v>510019.68549666821</v>
      </c>
      <c r="L129" s="134">
        <f t="shared" si="140"/>
        <v>776164.9612457332</v>
      </c>
      <c r="M129" s="134">
        <f t="shared" si="140"/>
        <v>1038526.2899437917</v>
      </c>
      <c r="N129" s="134">
        <f t="shared" si="140"/>
        <v>1388163.2857523805</v>
      </c>
      <c r="O129" s="134">
        <f t="shared" si="140"/>
        <v>1871669.1033276047</v>
      </c>
      <c r="P129" s="134">
        <f t="shared" si="140"/>
        <v>2518744.14322383</v>
      </c>
    </row>
    <row r="130" spans="1:17" s="174" customFormat="1" ht="12.6" outlineLevel="1">
      <c r="A130" s="227" t="s">
        <v>1282</v>
      </c>
      <c r="B130" s="121" t="s">
        <v>1267</v>
      </c>
      <c r="C130" s="138"/>
      <c r="D130" s="134"/>
      <c r="E130" s="134"/>
      <c r="F130" s="134"/>
      <c r="G130" s="226">
        <f t="shared" ref="G130:P130" si="141">G131+G132</f>
        <v>251772.7824783781</v>
      </c>
      <c r="H130" s="226">
        <f t="shared" si="141"/>
        <v>285800.62098126911</v>
      </c>
      <c r="I130" s="226">
        <f t="shared" si="141"/>
        <v>402076.72593386506</v>
      </c>
      <c r="J130" s="226">
        <f t="shared" si="141"/>
        <v>610614.08115402062</v>
      </c>
      <c r="K130" s="226">
        <f t="shared" si="141"/>
        <v>1133481.1132072378</v>
      </c>
      <c r="L130" s="226">
        <f t="shared" si="141"/>
        <v>1929276.970113602</v>
      </c>
      <c r="M130" s="226">
        <f t="shared" si="141"/>
        <v>3137447.3927618042</v>
      </c>
      <c r="N130" s="226">
        <f t="shared" si="141"/>
        <v>4610710.1938227266</v>
      </c>
      <c r="O130" s="226">
        <f t="shared" si="141"/>
        <v>6942349.1805830132</v>
      </c>
      <c r="P130" s="226">
        <f t="shared" si="141"/>
        <v>10097950.4670683</v>
      </c>
    </row>
    <row r="131" spans="1:17" s="174" customFormat="1" ht="12.6" outlineLevel="1">
      <c r="A131" s="135" t="s">
        <v>1277</v>
      </c>
      <c r="B131" s="121" t="s">
        <v>1267</v>
      </c>
      <c r="C131" s="138"/>
      <c r="D131" s="134"/>
      <c r="E131" s="134"/>
      <c r="F131" s="134"/>
      <c r="G131" s="226">
        <f t="shared" ref="G131:I132" si="142">AVERAGE(F128:G128)</f>
        <v>137330.60862456987</v>
      </c>
      <c r="H131" s="226">
        <f t="shared" si="142"/>
        <v>155891.24780796497</v>
      </c>
      <c r="I131" s="226">
        <f t="shared" si="142"/>
        <v>219314.57778210819</v>
      </c>
      <c r="J131" s="226">
        <f t="shared" ref="J131:P131" si="143">AVERAGE(I128:J128)</f>
        <v>333062.22608401126</v>
      </c>
      <c r="K131" s="226">
        <f t="shared" si="143"/>
        <v>710993.27729425125</v>
      </c>
      <c r="L131" s="226">
        <f t="shared" si="143"/>
        <v>1286184.6467424014</v>
      </c>
      <c r="M131" s="226">
        <f t="shared" si="143"/>
        <v>2230101.7671670415</v>
      </c>
      <c r="N131" s="226">
        <f t="shared" si="143"/>
        <v>3397365.405974641</v>
      </c>
      <c r="O131" s="226">
        <f t="shared" si="143"/>
        <v>5312432.9860430211</v>
      </c>
      <c r="P131" s="226">
        <f t="shared" si="143"/>
        <v>7902743.8437925829</v>
      </c>
    </row>
    <row r="132" spans="1:17" s="174" customFormat="1" ht="12.6" outlineLevel="1">
      <c r="A132" s="135" t="s">
        <v>1278</v>
      </c>
      <c r="B132" s="121" t="s">
        <v>1267</v>
      </c>
      <c r="C132" s="138"/>
      <c r="D132" s="134"/>
      <c r="E132" s="134"/>
      <c r="F132" s="134"/>
      <c r="G132" s="226">
        <f t="shared" si="142"/>
        <v>114442.17385380821</v>
      </c>
      <c r="H132" s="226">
        <f t="shared" si="142"/>
        <v>129909.37317330413</v>
      </c>
      <c r="I132" s="226">
        <f t="shared" si="142"/>
        <v>182762.14815175685</v>
      </c>
      <c r="J132" s="226">
        <f t="shared" ref="J132:P132" si="144">AVERAGE(I129:J129)</f>
        <v>277551.85507000936</v>
      </c>
      <c r="K132" s="226">
        <f t="shared" si="144"/>
        <v>422487.83591298666</v>
      </c>
      <c r="L132" s="226">
        <f t="shared" si="144"/>
        <v>643092.32337120071</v>
      </c>
      <c r="M132" s="226">
        <f t="shared" si="144"/>
        <v>907345.62559476239</v>
      </c>
      <c r="N132" s="226">
        <f t="shared" si="144"/>
        <v>1213344.7878480861</v>
      </c>
      <c r="O132" s="226">
        <f t="shared" si="144"/>
        <v>1629916.1945399926</v>
      </c>
      <c r="P132" s="226">
        <f t="shared" si="144"/>
        <v>2195206.6232757173</v>
      </c>
    </row>
    <row r="133" spans="1:17" s="174" customFormat="1" ht="12.6" outlineLevel="1">
      <c r="A133" s="174" t="s">
        <v>1283</v>
      </c>
      <c r="B133" s="121"/>
      <c r="C133" s="138"/>
      <c r="D133" s="134"/>
      <c r="E133" s="134"/>
      <c r="F133" s="134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</row>
    <row r="134" spans="1:17" s="227" customFormat="1" ht="12.6" outlineLevel="1">
      <c r="A134" s="135" t="s">
        <v>1277</v>
      </c>
      <c r="B134" s="121" t="s">
        <v>1284</v>
      </c>
      <c r="C134" s="138"/>
      <c r="D134" s="134"/>
      <c r="E134" s="134"/>
      <c r="F134" s="134"/>
      <c r="G134" s="210">
        <v>3</v>
      </c>
      <c r="H134" s="210">
        <v>3</v>
      </c>
      <c r="I134" s="210">
        <v>3</v>
      </c>
      <c r="J134" s="210">
        <v>3</v>
      </c>
      <c r="K134" s="210">
        <v>3</v>
      </c>
      <c r="L134" s="210">
        <v>3</v>
      </c>
      <c r="M134" s="210">
        <v>3</v>
      </c>
      <c r="N134" s="210">
        <v>3</v>
      </c>
      <c r="O134" s="210">
        <v>3</v>
      </c>
      <c r="P134" s="210">
        <v>3</v>
      </c>
    </row>
    <row r="135" spans="1:17" s="227" customFormat="1" ht="12.6" outlineLevel="1">
      <c r="A135" s="135" t="s">
        <v>1278</v>
      </c>
      <c r="B135" s="121" t="s">
        <v>1284</v>
      </c>
      <c r="C135" s="138"/>
      <c r="D135" s="134"/>
      <c r="E135" s="134"/>
      <c r="F135" s="134"/>
      <c r="G135" s="210">
        <v>12</v>
      </c>
      <c r="H135" s="210">
        <v>12</v>
      </c>
      <c r="I135" s="210">
        <v>12</v>
      </c>
      <c r="J135" s="210">
        <v>12</v>
      </c>
      <c r="K135" s="210">
        <v>12</v>
      </c>
      <c r="L135" s="210">
        <v>12</v>
      </c>
      <c r="M135" s="210">
        <v>12</v>
      </c>
      <c r="N135" s="210">
        <v>12</v>
      </c>
      <c r="O135" s="210">
        <v>12</v>
      </c>
      <c r="P135" s="210">
        <v>12</v>
      </c>
    </row>
    <row r="136" spans="1:17" s="227" customFormat="1" ht="12.6" outlineLevel="1">
      <c r="A136" s="227" t="s">
        <v>1285</v>
      </c>
      <c r="B136" s="229"/>
      <c r="C136" s="138"/>
      <c r="D136" s="134"/>
      <c r="E136" s="134"/>
      <c r="F136" s="134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</row>
    <row r="137" spans="1:17" s="227" customFormat="1" ht="12.6" outlineLevel="1">
      <c r="A137" s="135" t="s">
        <v>1277</v>
      </c>
      <c r="B137" s="229" t="s">
        <v>231</v>
      </c>
      <c r="C137" s="138"/>
      <c r="D137" s="134"/>
      <c r="E137" s="134"/>
      <c r="F137" s="134"/>
      <c r="G137" s="137">
        <v>2E-3</v>
      </c>
      <c r="H137" s="137">
        <v>2E-3</v>
      </c>
      <c r="I137" s="137">
        <v>2E-3</v>
      </c>
      <c r="J137" s="137">
        <v>2E-3</v>
      </c>
      <c r="K137" s="137">
        <v>2E-3</v>
      </c>
      <c r="L137" s="137">
        <v>2E-3</v>
      </c>
      <c r="M137" s="137">
        <v>2E-3</v>
      </c>
      <c r="N137" s="137">
        <v>2E-3</v>
      </c>
      <c r="O137" s="137">
        <v>2E-3</v>
      </c>
      <c r="P137" s="137">
        <v>2E-3</v>
      </c>
    </row>
    <row r="138" spans="1:17" s="227" customFormat="1" ht="12.6" outlineLevel="1">
      <c r="A138" s="135" t="s">
        <v>1278</v>
      </c>
      <c r="B138" s="229" t="s">
        <v>231</v>
      </c>
      <c r="C138" s="138"/>
      <c r="D138" s="134"/>
      <c r="E138" s="134"/>
      <c r="F138" s="134"/>
      <c r="G138" s="137">
        <v>2E-3</v>
      </c>
      <c r="H138" s="137">
        <v>2E-3</v>
      </c>
      <c r="I138" s="137">
        <v>2E-3</v>
      </c>
      <c r="J138" s="137">
        <v>2E-3</v>
      </c>
      <c r="K138" s="137">
        <v>2E-3</v>
      </c>
      <c r="L138" s="137">
        <v>2E-3</v>
      </c>
      <c r="M138" s="137">
        <v>2E-3</v>
      </c>
      <c r="N138" s="137">
        <v>2E-3</v>
      </c>
      <c r="O138" s="137">
        <v>2E-3</v>
      </c>
      <c r="P138" s="137">
        <v>2E-3</v>
      </c>
    </row>
    <row r="139" spans="1:17" s="119" customFormat="1" ht="12.6" outlineLevel="1">
      <c r="A139" s="227" t="s">
        <v>1286</v>
      </c>
      <c r="B139" s="121"/>
      <c r="C139" s="138"/>
      <c r="D139" s="134"/>
      <c r="E139" s="134"/>
      <c r="F139" s="134"/>
      <c r="G139" s="223"/>
      <c r="H139" s="223"/>
      <c r="I139" s="223"/>
      <c r="J139" s="223"/>
      <c r="K139" s="223"/>
      <c r="L139" s="223"/>
      <c r="M139" s="223"/>
      <c r="N139" s="223"/>
      <c r="O139" s="223"/>
      <c r="P139" s="223"/>
    </row>
    <row r="140" spans="1:17" s="227" customFormat="1" ht="12.6" outlineLevel="1">
      <c r="A140" s="135" t="s">
        <v>1277</v>
      </c>
      <c r="B140" s="229" t="s">
        <v>231</v>
      </c>
      <c r="C140" s="138"/>
      <c r="D140" s="134"/>
      <c r="E140" s="134"/>
      <c r="F140" s="134"/>
      <c r="G140" s="137">
        <v>0.12</v>
      </c>
      <c r="H140" s="137">
        <v>0.12</v>
      </c>
      <c r="I140" s="137">
        <v>0.12</v>
      </c>
      <c r="J140" s="137">
        <v>0.12</v>
      </c>
      <c r="K140" s="137">
        <v>0.14000000000000001</v>
      </c>
      <c r="L140" s="137">
        <v>0.14000000000000001</v>
      </c>
      <c r="M140" s="137">
        <v>0.15</v>
      </c>
      <c r="N140" s="137">
        <v>0.15</v>
      </c>
      <c r="O140" s="137">
        <v>0.16</v>
      </c>
      <c r="P140" s="137">
        <v>0.16</v>
      </c>
    </row>
    <row r="141" spans="1:17" s="227" customFormat="1" ht="12.6" outlineLevel="1">
      <c r="A141" s="135" t="s">
        <v>1278</v>
      </c>
      <c r="B141" s="229" t="s">
        <v>231</v>
      </c>
      <c r="C141" s="138"/>
      <c r="D141" s="134"/>
      <c r="E141" s="134"/>
      <c r="F141" s="134"/>
      <c r="G141" s="137">
        <v>0.01</v>
      </c>
      <c r="H141" s="137">
        <v>0.01</v>
      </c>
      <c r="I141" s="137">
        <v>0.01</v>
      </c>
      <c r="J141" s="137">
        <v>0.01</v>
      </c>
      <c r="K141" s="137">
        <v>0.01</v>
      </c>
      <c r="L141" s="137">
        <v>0.01</v>
      </c>
      <c r="M141" s="137">
        <v>0.01</v>
      </c>
      <c r="N141" s="137">
        <v>0.01</v>
      </c>
      <c r="O141" s="137">
        <v>0.01</v>
      </c>
      <c r="P141" s="137">
        <v>0.01</v>
      </c>
    </row>
    <row r="142" spans="1:17" s="174" customFormat="1" ht="12.6" outlineLevel="1">
      <c r="A142" s="174" t="s">
        <v>1287</v>
      </c>
      <c r="B142" s="229"/>
      <c r="C142" s="138"/>
      <c r="D142" s="134"/>
      <c r="E142" s="134"/>
      <c r="F142" s="134"/>
      <c r="G142" s="125"/>
      <c r="H142" s="125"/>
      <c r="I142" s="125"/>
      <c r="J142" s="125"/>
      <c r="K142" s="125"/>
      <c r="L142" s="125"/>
      <c r="M142" s="125"/>
      <c r="N142" s="125"/>
      <c r="O142" s="125"/>
      <c r="P142" s="125"/>
    </row>
    <row r="143" spans="1:17" s="227" customFormat="1" ht="12.6" outlineLevel="1">
      <c r="A143" s="135" t="s">
        <v>1277</v>
      </c>
      <c r="B143" s="229" t="s">
        <v>231</v>
      </c>
      <c r="C143" s="138"/>
      <c r="D143" s="134"/>
      <c r="E143" s="134"/>
      <c r="F143" s="134"/>
      <c r="G143" s="137">
        <v>0.14000000000000001</v>
      </c>
      <c r="H143" s="137">
        <v>0.14000000000000001</v>
      </c>
      <c r="I143" s="137">
        <v>0.14000000000000001</v>
      </c>
      <c r="J143" s="137">
        <v>0.14000000000000001</v>
      </c>
      <c r="K143" s="137">
        <v>0.15</v>
      </c>
      <c r="L143" s="137">
        <v>0.15</v>
      </c>
      <c r="M143" s="137">
        <v>0.155</v>
      </c>
      <c r="N143" s="137">
        <v>0.155</v>
      </c>
      <c r="O143" s="137">
        <v>0.16500000000000001</v>
      </c>
      <c r="P143" s="137">
        <v>0.16500000000000001</v>
      </c>
    </row>
    <row r="144" spans="1:17" s="227" customFormat="1" ht="12.6" outlineLevel="1">
      <c r="A144" s="135" t="s">
        <v>1278</v>
      </c>
      <c r="B144" s="229" t="s">
        <v>231</v>
      </c>
      <c r="C144" s="138"/>
      <c r="D144" s="134"/>
      <c r="E144" s="134"/>
      <c r="F144" s="134"/>
      <c r="G144" s="137">
        <v>0.03</v>
      </c>
      <c r="H144" s="137">
        <v>0.03</v>
      </c>
      <c r="I144" s="137">
        <v>0.03</v>
      </c>
      <c r="J144" s="137">
        <v>0.03</v>
      </c>
      <c r="K144" s="137">
        <v>0.03</v>
      </c>
      <c r="L144" s="137">
        <v>0.03</v>
      </c>
      <c r="M144" s="137">
        <v>0.03</v>
      </c>
      <c r="N144" s="137">
        <v>0.03</v>
      </c>
      <c r="O144" s="137">
        <v>0.03</v>
      </c>
      <c r="P144" s="137">
        <v>0.03</v>
      </c>
    </row>
    <row r="145" spans="1:16" s="174" customFormat="1" ht="12.6" outlineLevel="1">
      <c r="A145" s="703" t="s">
        <v>1288</v>
      </c>
      <c r="B145" s="229"/>
      <c r="C145" s="138"/>
      <c r="D145" s="134"/>
      <c r="E145" s="134"/>
      <c r="F145" s="134"/>
      <c r="G145" s="230"/>
      <c r="H145" s="230"/>
      <c r="I145" s="230"/>
      <c r="J145" s="230"/>
      <c r="K145" s="230"/>
      <c r="L145" s="230"/>
      <c r="M145" s="230"/>
      <c r="N145" s="230"/>
      <c r="O145" s="230"/>
      <c r="P145" s="230"/>
    </row>
    <row r="146" spans="1:16" s="119" customFormat="1" ht="12.6" outlineLevel="1">
      <c r="A146" s="227" t="s">
        <v>1270</v>
      </c>
      <c r="B146" s="121" t="s">
        <v>1267</v>
      </c>
      <c r="C146" s="138"/>
      <c r="D146" s="134"/>
      <c r="E146" s="134"/>
      <c r="F146" s="134"/>
      <c r="G146" s="223">
        <f>(G143*G131)/4+(G144*G132)/4</f>
        <v>5664.887605763508</v>
      </c>
      <c r="H146" s="223">
        <f t="shared" ref="H146" si="145">(H143*H131)/4+(H144*H132)/4</f>
        <v>6430.5139720785555</v>
      </c>
      <c r="I146" s="223">
        <f>(I143*I131)/2+(I144*I132)/2</f>
        <v>18093.452667023928</v>
      </c>
      <c r="J146" s="223">
        <f t="shared" ref="J146:P146" si="146">(J143*J131)/2+(J144*J132)/2</f>
        <v>27477.63365193093</v>
      </c>
      <c r="K146" s="223">
        <f t="shared" si="146"/>
        <v>59661.81333576364</v>
      </c>
      <c r="L146" s="223">
        <f t="shared" si="146"/>
        <v>106110.23335624811</v>
      </c>
      <c r="M146" s="223">
        <f t="shared" si="146"/>
        <v>186443.07133936716</v>
      </c>
      <c r="N146" s="223">
        <f t="shared" si="146"/>
        <v>281495.99078075594</v>
      </c>
      <c r="O146" s="223">
        <f t="shared" si="146"/>
        <v>462724.4642666491</v>
      </c>
      <c r="P146" s="223">
        <f t="shared" si="146"/>
        <v>684904.46646202391</v>
      </c>
    </row>
    <row r="147" spans="1:16" s="119" customFormat="1" ht="12.6" outlineLevel="1">
      <c r="A147" s="227" t="s">
        <v>1269</v>
      </c>
      <c r="B147" s="121" t="s">
        <v>1267</v>
      </c>
      <c r="C147" s="138"/>
      <c r="D147" s="134"/>
      <c r="E147" s="134"/>
      <c r="F147" s="134"/>
      <c r="G147" s="223">
        <f>-((G140*G131)/4+(G141*G132)/4)</f>
        <v>-4406.0236933716169</v>
      </c>
      <c r="H147" s="223">
        <f t="shared" ref="H147" si="147">-((H140*H131)/4+(H141*H132)/4)</f>
        <v>-5001.5108671722101</v>
      </c>
      <c r="I147" s="223">
        <f>-((I140*I131)/2+(I141*I132)/2)</f>
        <v>-14072.685407685276</v>
      </c>
      <c r="J147" s="223">
        <f t="shared" ref="J147:P147" si="148">-((J140*J131)/2+(J141*J132)/2)</f>
        <v>-21371.492840390722</v>
      </c>
      <c r="K147" s="223">
        <f t="shared" si="148"/>
        <v>-51881.968590162527</v>
      </c>
      <c r="L147" s="223">
        <f t="shared" si="148"/>
        <v>-93248.386888824112</v>
      </c>
      <c r="M147" s="223">
        <f t="shared" si="148"/>
        <v>-171794.36066550194</v>
      </c>
      <c r="N147" s="223">
        <f t="shared" si="148"/>
        <v>-260869.1293873385</v>
      </c>
      <c r="O147" s="223">
        <f t="shared" si="148"/>
        <v>-433144.21985614166</v>
      </c>
      <c r="P147" s="223">
        <f t="shared" si="148"/>
        <v>-643195.5406197852</v>
      </c>
    </row>
    <row r="148" spans="1:16" s="231" customFormat="1" ht="12.6" outlineLevel="1">
      <c r="A148" s="174" t="s">
        <v>1289</v>
      </c>
      <c r="B148" s="121" t="s">
        <v>1267</v>
      </c>
      <c r="C148" s="138"/>
      <c r="D148" s="134"/>
      <c r="E148" s="134"/>
      <c r="F148" s="134"/>
      <c r="G148" s="232">
        <f>-((G128-F128)*G137+(G129-F129)*G138)</f>
        <v>-503.54556495675615</v>
      </c>
      <c r="H148" s="232">
        <f t="shared" ref="H148:P148" si="149">-((H128-G128)*H137+(H129-G129)*H138)</f>
        <v>-136.11135401156403</v>
      </c>
      <c r="I148" s="232">
        <f t="shared" si="149"/>
        <v>-328.99306579881971</v>
      </c>
      <c r="J148" s="232">
        <f t="shared" si="149"/>
        <v>-505.15635508180259</v>
      </c>
      <c r="K148" s="232">
        <f t="shared" si="149"/>
        <v>-1586.311773131067</v>
      </c>
      <c r="L148" s="232">
        <f t="shared" si="149"/>
        <v>-1596.87165449439</v>
      </c>
      <c r="M148" s="232">
        <f t="shared" si="149"/>
        <v>-3235.8100360984172</v>
      </c>
      <c r="N148" s="232">
        <f t="shared" si="149"/>
        <v>-2657.2411681452759</v>
      </c>
      <c r="O148" s="232">
        <f t="shared" si="149"/>
        <v>-6669.3147788958713</v>
      </c>
      <c r="P148" s="232">
        <f t="shared" si="149"/>
        <v>-5953.0903670452753</v>
      </c>
    </row>
    <row r="149" spans="1:16" s="231" customFormat="1" ht="12.6" outlineLevel="1">
      <c r="A149" s="231" t="s">
        <v>232</v>
      </c>
      <c r="B149" s="121" t="s">
        <v>1267</v>
      </c>
      <c r="C149" s="138"/>
      <c r="D149" s="134"/>
      <c r="E149" s="134"/>
      <c r="F149" s="134"/>
      <c r="G149" s="232">
        <f>SUM(G146:G148)</f>
        <v>755.31834743513491</v>
      </c>
      <c r="H149" s="232">
        <f>SUM(H146:H148)</f>
        <v>1292.8917508947814</v>
      </c>
      <c r="I149" s="232">
        <f>SUM(I146:I148)</f>
        <v>3691.7741935398326</v>
      </c>
      <c r="J149" s="232">
        <f t="shared" ref="J149" si="150">SUM(J146:J148)</f>
        <v>5600.9844564584055</v>
      </c>
      <c r="K149" s="232">
        <f>SUM(K146:K148)</f>
        <v>6193.5329724700459</v>
      </c>
      <c r="L149" s="232">
        <f t="shared" ref="L149:P149" si="151">SUM(L146:L148)</f>
        <v>11264.974812929606</v>
      </c>
      <c r="M149" s="232">
        <f t="shared" si="151"/>
        <v>11412.900637766805</v>
      </c>
      <c r="N149" s="232">
        <f t="shared" si="151"/>
        <v>17969.62022527216</v>
      </c>
      <c r="O149" s="232">
        <f t="shared" si="151"/>
        <v>22910.929631611569</v>
      </c>
      <c r="P149" s="232">
        <f t="shared" si="151"/>
        <v>35755.835475193431</v>
      </c>
    </row>
    <row r="150" spans="1:16" s="231" customFormat="1" ht="12.6" outlineLevel="1">
      <c r="A150" s="231" t="s">
        <v>233</v>
      </c>
      <c r="B150" s="253" t="s">
        <v>231</v>
      </c>
      <c r="C150" s="138"/>
      <c r="D150" s="134"/>
      <c r="E150" s="134"/>
      <c r="F150" s="134"/>
      <c r="G150" s="128">
        <f t="shared" ref="G150" si="152">G149*4/((F130+G130)/2)</f>
        <v>2.4000000000000021E-2</v>
      </c>
      <c r="H150" s="128">
        <f t="shared" ref="H150" si="153">H149*4/((G130+H130)/2)</f>
        <v>1.9240412454547065E-2</v>
      </c>
      <c r="I150" s="128">
        <f>I149*2/((H130+I130)/2)</f>
        <v>2.1467630589063719E-2</v>
      </c>
      <c r="J150" s="128">
        <f t="shared" ref="J150" si="154">J149*2/((I130+J130)/2)</f>
        <v>2.2123176856180655E-2</v>
      </c>
      <c r="K150" s="128">
        <f t="shared" ref="K150" si="155">K149*2/((J130+K130)/2)</f>
        <v>1.4204575512836751E-2</v>
      </c>
      <c r="L150" s="128">
        <f t="shared" ref="L150" si="156">L149*2/((K130+L130)/2)</f>
        <v>1.4712196662578579E-2</v>
      </c>
      <c r="M150" s="128">
        <f t="shared" ref="M150" si="157">M149*2/((L130+M130)/2)</f>
        <v>9.0100821125307044E-3</v>
      </c>
      <c r="N150" s="128">
        <f t="shared" ref="N150" si="158">N149*2/((M130+N130)/2)</f>
        <v>9.2768480890917746E-3</v>
      </c>
      <c r="O150" s="128">
        <f t="shared" ref="O150" si="159">O149*2/((N130+O130)/2)</f>
        <v>7.9324199380010722E-3</v>
      </c>
      <c r="P150" s="128">
        <f t="shared" ref="P150" si="160">P149*2/((O130+P130)/2)</f>
        <v>8.3932410144258712E-3</v>
      </c>
    </row>
    <row r="151" spans="1:16" s="174" customFormat="1" ht="12.6" outlineLevel="1">
      <c r="A151" s="174" t="s">
        <v>1290</v>
      </c>
      <c r="B151" s="121" t="s">
        <v>1267</v>
      </c>
      <c r="C151" s="138"/>
      <c r="D151" s="134"/>
      <c r="E151" s="134"/>
      <c r="F151" s="134"/>
      <c r="G151" s="236">
        <f t="shared" ref="G151:P151" si="161">G152/AVERAGE(F121:G121)</f>
        <v>0</v>
      </c>
      <c r="H151" s="236">
        <f t="shared" si="161"/>
        <v>0</v>
      </c>
      <c r="I151" s="236">
        <f t="shared" si="161"/>
        <v>0</v>
      </c>
      <c r="J151" s="236">
        <f t="shared" si="161"/>
        <v>0</v>
      </c>
      <c r="K151" s="236">
        <f t="shared" si="161"/>
        <v>0</v>
      </c>
      <c r="L151" s="236">
        <f t="shared" si="161"/>
        <v>0</v>
      </c>
      <c r="M151" s="236">
        <f t="shared" si="161"/>
        <v>0</v>
      </c>
      <c r="N151" s="236">
        <f t="shared" si="161"/>
        <v>0</v>
      </c>
      <c r="O151" s="236">
        <f t="shared" si="161"/>
        <v>0</v>
      </c>
      <c r="P151" s="236">
        <f t="shared" si="161"/>
        <v>0</v>
      </c>
    </row>
    <row r="152" spans="1:16" s="231" customFormat="1" ht="12.6" outlineLevel="1">
      <c r="A152" s="231" t="s">
        <v>307</v>
      </c>
      <c r="B152" s="121" t="s">
        <v>1267</v>
      </c>
      <c r="C152" s="138"/>
      <c r="D152" s="134"/>
      <c r="E152" s="134"/>
      <c r="F152" s="134"/>
      <c r="G152" s="232">
        <f>-G156*G149</f>
        <v>0</v>
      </c>
      <c r="H152" s="232">
        <f t="shared" ref="H152:K152" si="162">-H156*H149</f>
        <v>0</v>
      </c>
      <c r="I152" s="232">
        <f t="shared" si="162"/>
        <v>0</v>
      </c>
      <c r="J152" s="232">
        <f t="shared" si="162"/>
        <v>0</v>
      </c>
      <c r="K152" s="232">
        <f t="shared" si="162"/>
        <v>0</v>
      </c>
      <c r="L152" s="232">
        <f>-L156*L149</f>
        <v>0</v>
      </c>
      <c r="M152" s="232">
        <f t="shared" ref="M152" si="163">-M156*M149</f>
        <v>0</v>
      </c>
      <c r="N152" s="232">
        <f>-N156*N149</f>
        <v>0</v>
      </c>
      <c r="O152" s="232">
        <f t="shared" ref="O152:P152" si="164">-O156*O149</f>
        <v>0</v>
      </c>
      <c r="P152" s="232">
        <f t="shared" si="164"/>
        <v>0</v>
      </c>
    </row>
    <row r="153" spans="1:16" s="174" customFormat="1" ht="12.6" outlineLevel="1">
      <c r="A153" s="174" t="s">
        <v>1272</v>
      </c>
      <c r="B153" s="121" t="s">
        <v>1267</v>
      </c>
      <c r="C153" s="138"/>
      <c r="D153" s="134"/>
      <c r="E153" s="134"/>
      <c r="F153" s="134"/>
      <c r="G153" s="228">
        <f t="shared" ref="G153:O153" si="165">G149+G152</f>
        <v>755.31834743513491</v>
      </c>
      <c r="H153" s="228">
        <f t="shared" si="165"/>
        <v>1292.8917508947814</v>
      </c>
      <c r="I153" s="228">
        <f t="shared" si="165"/>
        <v>3691.7741935398326</v>
      </c>
      <c r="J153" s="228">
        <f t="shared" si="165"/>
        <v>5600.9844564584055</v>
      </c>
      <c r="K153" s="228">
        <f t="shared" si="165"/>
        <v>6193.5329724700459</v>
      </c>
      <c r="L153" s="228">
        <f t="shared" si="165"/>
        <v>11264.974812929606</v>
      </c>
      <c r="M153" s="228">
        <f t="shared" si="165"/>
        <v>11412.900637766805</v>
      </c>
      <c r="N153" s="228">
        <f t="shared" si="165"/>
        <v>17969.62022527216</v>
      </c>
      <c r="O153" s="228">
        <f t="shared" si="165"/>
        <v>22910.929631611569</v>
      </c>
      <c r="P153" s="228">
        <f>P149+P152</f>
        <v>35755.835475193431</v>
      </c>
    </row>
    <row r="154" spans="1:16" s="174" customFormat="1" ht="12.6" outlineLevel="1">
      <c r="A154" s="174" t="s">
        <v>1291</v>
      </c>
      <c r="B154" s="121" t="s">
        <v>1267</v>
      </c>
      <c r="C154" s="138"/>
      <c r="D154" s="134"/>
      <c r="E154" s="134"/>
      <c r="F154" s="134"/>
      <c r="G154" s="228">
        <f t="shared" ref="G154" si="166">F154+G153</f>
        <v>755.31834743513491</v>
      </c>
      <c r="H154" s="228">
        <f>G154+H153</f>
        <v>2048.210098329916</v>
      </c>
      <c r="I154" s="228">
        <f>I153</f>
        <v>3691.7741935398326</v>
      </c>
      <c r="J154" s="228">
        <f>I154+J153</f>
        <v>9292.758649998239</v>
      </c>
      <c r="K154" s="228">
        <f>K153</f>
        <v>6193.5329724700459</v>
      </c>
      <c r="L154" s="228">
        <f>K154+L153</f>
        <v>17458.507785399652</v>
      </c>
      <c r="M154" s="228">
        <f>M153</f>
        <v>11412.900637766805</v>
      </c>
      <c r="N154" s="228">
        <f>M154+N153</f>
        <v>29382.520863038964</v>
      </c>
      <c r="O154" s="228">
        <f>O153</f>
        <v>22910.929631611569</v>
      </c>
      <c r="P154" s="228">
        <f>O154+P153</f>
        <v>58666.765106805004</v>
      </c>
    </row>
    <row r="155" spans="1:16" s="168" customFormat="1" ht="12.6" outlineLevel="1">
      <c r="A155" s="177" t="s">
        <v>236</v>
      </c>
      <c r="B155" s="233" t="s">
        <v>231</v>
      </c>
      <c r="C155" s="138"/>
      <c r="D155" s="134"/>
      <c r="E155" s="134"/>
      <c r="F155" s="134"/>
      <c r="G155" s="234"/>
      <c r="H155" s="234">
        <f>H154/AVERAGE(E130:H130)</f>
        <v>7.6202062272735351E-3</v>
      </c>
      <c r="I155" s="234"/>
      <c r="J155" s="234">
        <f>J154/AVERAGE(I130:J130)</f>
        <v>1.8352607893658449E-2</v>
      </c>
      <c r="K155" s="234"/>
      <c r="L155" s="234">
        <f>L154/AVERAGE(K130:L130)</f>
        <v>1.1400513726810583E-2</v>
      </c>
      <c r="M155" s="234"/>
      <c r="N155" s="234">
        <f>N154/AVERAGE(M130:N130)</f>
        <v>7.5843890717744392E-3</v>
      </c>
      <c r="O155" s="234"/>
      <c r="P155" s="234">
        <f>P154/AVERAGE(O130:P130)</f>
        <v>6.8856494685985304E-3</v>
      </c>
    </row>
    <row r="156" spans="1:16" s="231" customFormat="1" ht="12.6" outlineLevel="1">
      <c r="A156" s="231" t="s">
        <v>374</v>
      </c>
      <c r="B156" s="121" t="s">
        <v>231</v>
      </c>
      <c r="C156" s="138"/>
      <c r="D156" s="134"/>
      <c r="E156" s="134"/>
      <c r="F156" s="134"/>
      <c r="G156" s="235"/>
      <c r="H156" s="235"/>
      <c r="I156" s="235"/>
      <c r="J156" s="235"/>
      <c r="K156" s="235"/>
      <c r="L156" s="235"/>
      <c r="M156" s="235"/>
      <c r="N156" s="235"/>
      <c r="O156" s="235"/>
      <c r="P156" s="235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7" tint="0.79998168889431442"/>
  </sheetPr>
  <dimension ref="A1:W326"/>
  <sheetViews>
    <sheetView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ColWidth="8.88671875" defaultRowHeight="13.8" outlineLevelRow="1" outlineLevelCol="1"/>
  <cols>
    <col min="1" max="1" width="60.33203125" style="143" customWidth="1"/>
    <col min="2" max="2" width="9.88671875" style="143" bestFit="1" customWidth="1"/>
    <col min="3" max="3" width="5.6640625" style="143" customWidth="1" outlineLevel="1"/>
    <col min="4" max="4" width="13.44140625" style="143" customWidth="1" outlineLevel="1"/>
    <col min="5" max="6" width="12.44140625" style="143" customWidth="1" outlineLevel="1"/>
    <col min="7" max="8" width="12.109375" style="143" customWidth="1" outlineLevel="1"/>
    <col min="9" max="9" width="15.33203125" style="143" customWidth="1" outlineLevel="1"/>
    <col min="10" max="10" width="16.88671875" style="143" customWidth="1" outlineLevel="1"/>
    <col min="11" max="11" width="17.6640625" style="143" customWidth="1" outlineLevel="1"/>
    <col min="12" max="12" width="15.33203125" style="143" customWidth="1" outlineLevel="1"/>
    <col min="13" max="16" width="16.5546875" style="143" customWidth="1" outlineLevel="1"/>
    <col min="17" max="17" width="5.88671875" style="143" customWidth="1"/>
    <col min="18" max="23" width="10.88671875" style="143" hidden="1" customWidth="1"/>
    <col min="24" max="16384" width="8.88671875" style="143"/>
  </cols>
  <sheetData>
    <row r="1" spans="1:23" s="105" customFormat="1" ht="19.8">
      <c r="A1" s="156" t="s">
        <v>928</v>
      </c>
      <c r="B1" s="156"/>
      <c r="C1" s="156"/>
      <c r="D1" s="156"/>
      <c r="E1" s="156"/>
      <c r="F1" s="156"/>
      <c r="G1" s="157"/>
      <c r="H1" s="157"/>
      <c r="I1" s="157"/>
      <c r="J1" s="157"/>
      <c r="K1" s="157"/>
      <c r="L1" s="157"/>
      <c r="M1" s="157"/>
      <c r="N1" s="157"/>
      <c r="O1" s="157"/>
      <c r="P1" s="157"/>
      <c r="R1" s="104"/>
      <c r="S1" s="104"/>
      <c r="T1" s="104"/>
      <c r="U1" s="104"/>
      <c r="V1" s="104"/>
      <c r="W1" s="104"/>
    </row>
    <row r="2" spans="1:23" s="107" customFormat="1">
      <c r="A2" s="106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R2" s="109"/>
      <c r="S2" s="109"/>
      <c r="T2" s="109"/>
      <c r="U2" s="109"/>
      <c r="V2" s="109"/>
      <c r="W2" s="109"/>
    </row>
    <row r="3" spans="1:23" s="108" customFormat="1">
      <c r="A3" s="110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R3" s="111"/>
      <c r="S3" s="111"/>
      <c r="T3" s="111"/>
      <c r="U3" s="111"/>
      <c r="V3" s="111"/>
      <c r="W3" s="111"/>
    </row>
    <row r="4" spans="1:23" s="108" customFormat="1">
      <c r="D4" s="148">
        <v>2024</v>
      </c>
      <c r="E4" s="148">
        <v>2025</v>
      </c>
      <c r="F4" s="148">
        <v>2025</v>
      </c>
      <c r="G4" s="148">
        <v>2025</v>
      </c>
      <c r="H4" s="148">
        <v>2025</v>
      </c>
      <c r="I4" s="148">
        <v>2026</v>
      </c>
      <c r="J4" s="148">
        <v>2026</v>
      </c>
      <c r="K4" s="148">
        <v>2027</v>
      </c>
      <c r="L4" s="148">
        <v>2027</v>
      </c>
      <c r="M4" s="148">
        <v>2028</v>
      </c>
      <c r="N4" s="148">
        <v>2028</v>
      </c>
      <c r="O4" s="148">
        <v>2029</v>
      </c>
      <c r="P4" s="148">
        <v>2029</v>
      </c>
      <c r="R4" s="148">
        <v>2024</v>
      </c>
      <c r="S4" s="148">
        <v>2025</v>
      </c>
      <c r="T4" s="148">
        <v>2026</v>
      </c>
      <c r="U4" s="148">
        <v>2027</v>
      </c>
      <c r="V4" s="148">
        <v>2028</v>
      </c>
      <c r="W4" s="148">
        <v>2029</v>
      </c>
    </row>
    <row r="5" spans="1:23" s="113" customFormat="1">
      <c r="A5" s="112"/>
      <c r="B5" s="112"/>
      <c r="C5" s="112"/>
      <c r="D5" s="151" t="s">
        <v>294</v>
      </c>
      <c r="E5" s="151" t="s">
        <v>431</v>
      </c>
      <c r="F5" s="151" t="s">
        <v>432</v>
      </c>
      <c r="G5" s="151" t="s">
        <v>433</v>
      </c>
      <c r="H5" s="151" t="s">
        <v>434</v>
      </c>
      <c r="I5" s="151" t="s">
        <v>435</v>
      </c>
      <c r="J5" s="151" t="s">
        <v>436</v>
      </c>
      <c r="K5" s="151" t="s">
        <v>435</v>
      </c>
      <c r="L5" s="151" t="s">
        <v>436</v>
      </c>
      <c r="M5" s="151" t="s">
        <v>435</v>
      </c>
      <c r="N5" s="151" t="s">
        <v>436</v>
      </c>
      <c r="O5" s="151" t="s">
        <v>435</v>
      </c>
      <c r="P5" s="151" t="s">
        <v>436</v>
      </c>
      <c r="R5" s="151" t="s">
        <v>294</v>
      </c>
      <c r="S5" s="151" t="s">
        <v>308</v>
      </c>
      <c r="T5" s="151" t="s">
        <v>309</v>
      </c>
      <c r="U5" s="151" t="s">
        <v>311</v>
      </c>
      <c r="V5" s="151" t="s">
        <v>310</v>
      </c>
      <c r="W5" s="151" t="s">
        <v>312</v>
      </c>
    </row>
    <row r="6" spans="1:23" s="114" customFormat="1">
      <c r="D6" s="158">
        <v>0</v>
      </c>
      <c r="E6" s="115">
        <v>1</v>
      </c>
      <c r="F6" s="115">
        <v>2</v>
      </c>
      <c r="G6" s="115">
        <v>3</v>
      </c>
      <c r="H6" s="115">
        <v>4</v>
      </c>
      <c r="I6" s="115">
        <v>5</v>
      </c>
      <c r="J6" s="115">
        <v>6</v>
      </c>
      <c r="K6" s="115">
        <v>7</v>
      </c>
      <c r="L6" s="115">
        <v>8</v>
      </c>
      <c r="M6" s="115">
        <v>9</v>
      </c>
      <c r="N6" s="115">
        <v>10</v>
      </c>
      <c r="O6" s="115">
        <v>11</v>
      </c>
      <c r="P6" s="115">
        <v>12</v>
      </c>
    </row>
    <row r="7" spans="1:23" s="119" customFormat="1" ht="12.6">
      <c r="A7" s="132" t="s">
        <v>1294</v>
      </c>
      <c r="B7" s="116"/>
      <c r="C7" s="117"/>
      <c r="D7" s="117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</row>
    <row r="8" spans="1:23" s="127" customFormat="1" ht="12.6" outlineLevel="1">
      <c r="A8" s="122" t="s">
        <v>928</v>
      </c>
      <c r="B8" s="138" t="s">
        <v>394</v>
      </c>
      <c r="D8" s="134"/>
      <c r="E8" s="134"/>
      <c r="F8" s="134"/>
      <c r="G8" s="134"/>
      <c r="H8" s="134"/>
      <c r="I8" s="134"/>
      <c r="J8" s="134">
        <f>'Funnel QH'!J25</f>
        <v>30000</v>
      </c>
      <c r="K8" s="134">
        <f>'Funnel QH'!K25</f>
        <v>49833.333333333336</v>
      </c>
      <c r="L8" s="134">
        <f>'Funnel QH'!L25</f>
        <v>69666.666666666672</v>
      </c>
      <c r="M8" s="134">
        <f>'Funnel QH'!M25</f>
        <v>89500</v>
      </c>
      <c r="N8" s="134">
        <f>'Funnel QH'!N25</f>
        <v>109333.33333333334</v>
      </c>
      <c r="O8" s="134">
        <f>'Funnel QH'!O25</f>
        <v>129166.66666666667</v>
      </c>
      <c r="P8" s="134">
        <f>'Funnel QH'!P25</f>
        <v>149000</v>
      </c>
      <c r="R8" s="134">
        <f>D8</f>
        <v>0</v>
      </c>
      <c r="S8" s="134">
        <f t="shared" ref="S8:S9" si="0">H8</f>
        <v>0</v>
      </c>
      <c r="T8" s="134">
        <f>J8</f>
        <v>30000</v>
      </c>
      <c r="U8" s="134">
        <f>L8</f>
        <v>69666.666666666672</v>
      </c>
      <c r="V8" s="134">
        <f>N8</f>
        <v>109333.33333333334</v>
      </c>
      <c r="W8" s="134">
        <f>P8</f>
        <v>149000</v>
      </c>
    </row>
    <row r="9" spans="1:23" ht="14.4" outlineLevel="1">
      <c r="A9" s="122" t="s">
        <v>1299</v>
      </c>
      <c r="B9" s="121" t="s">
        <v>231</v>
      </c>
      <c r="C9" s="122"/>
      <c r="D9" s="238"/>
      <c r="E9" s="238"/>
      <c r="F9" s="238"/>
      <c r="G9" s="134"/>
      <c r="H9" s="134"/>
      <c r="I9" s="134"/>
      <c r="J9" s="137">
        <v>0.2</v>
      </c>
      <c r="K9" s="137">
        <v>0.25</v>
      </c>
      <c r="L9" s="137">
        <v>0.3</v>
      </c>
      <c r="M9" s="137">
        <v>0.3</v>
      </c>
      <c r="N9" s="137">
        <v>0.3</v>
      </c>
      <c r="O9" s="137">
        <v>0.3</v>
      </c>
      <c r="P9" s="137">
        <v>0.3</v>
      </c>
      <c r="Q9" s="162"/>
      <c r="R9" s="205"/>
      <c r="S9" s="205">
        <f t="shared" si="0"/>
        <v>0</v>
      </c>
      <c r="T9" s="205">
        <f t="shared" ref="T9" si="1">J9</f>
        <v>0.2</v>
      </c>
      <c r="U9" s="205">
        <f t="shared" ref="U9" si="2">L9</f>
        <v>0.3</v>
      </c>
      <c r="V9" s="205">
        <f t="shared" ref="V9" si="3">N9</f>
        <v>0.3</v>
      </c>
      <c r="W9" s="205">
        <f t="shared" ref="W9" si="4">P9</f>
        <v>0.3</v>
      </c>
    </row>
    <row r="10" spans="1:23" ht="14.4" outlineLevel="1">
      <c r="A10" s="122" t="s">
        <v>1300</v>
      </c>
      <c r="B10" s="138" t="s">
        <v>394</v>
      </c>
      <c r="C10" s="122"/>
      <c r="D10" s="238"/>
      <c r="E10" s="238"/>
      <c r="F10" s="238"/>
      <c r="G10" s="134"/>
      <c r="H10" s="134"/>
      <c r="I10" s="134"/>
      <c r="J10" s="185">
        <f t="shared" ref="J10:P10" si="5">J8*J9</f>
        <v>6000</v>
      </c>
      <c r="K10" s="185">
        <f t="shared" si="5"/>
        <v>12458.333333333334</v>
      </c>
      <c r="L10" s="185">
        <f t="shared" si="5"/>
        <v>20900</v>
      </c>
      <c r="M10" s="185">
        <f t="shared" si="5"/>
        <v>26850</v>
      </c>
      <c r="N10" s="185">
        <f t="shared" si="5"/>
        <v>32800</v>
      </c>
      <c r="O10" s="185">
        <f t="shared" si="5"/>
        <v>38750</v>
      </c>
      <c r="P10" s="185">
        <f t="shared" si="5"/>
        <v>44700</v>
      </c>
      <c r="Q10" s="162"/>
      <c r="R10" s="205"/>
      <c r="S10" s="205"/>
      <c r="T10" s="205"/>
      <c r="U10" s="205"/>
      <c r="V10" s="205"/>
      <c r="W10" s="205"/>
    </row>
    <row r="11" spans="1:23" ht="14.4" outlineLevel="1">
      <c r="A11" s="122" t="s">
        <v>581</v>
      </c>
      <c r="B11" s="121" t="s">
        <v>231</v>
      </c>
      <c r="C11" s="122"/>
      <c r="D11" s="238"/>
      <c r="E11" s="238"/>
      <c r="F11" s="238"/>
      <c r="G11" s="134"/>
      <c r="H11" s="134"/>
      <c r="I11" s="134"/>
      <c r="J11" s="137">
        <v>0.2</v>
      </c>
      <c r="K11" s="235">
        <f t="shared" ref="K11:P11" si="6">J11+1%</f>
        <v>0.21000000000000002</v>
      </c>
      <c r="L11" s="235">
        <f t="shared" si="6"/>
        <v>0.22000000000000003</v>
      </c>
      <c r="M11" s="235">
        <f t="shared" si="6"/>
        <v>0.23000000000000004</v>
      </c>
      <c r="N11" s="235">
        <f t="shared" si="6"/>
        <v>0.24000000000000005</v>
      </c>
      <c r="O11" s="235">
        <f t="shared" si="6"/>
        <v>0.25000000000000006</v>
      </c>
      <c r="P11" s="235">
        <f t="shared" si="6"/>
        <v>0.26000000000000006</v>
      </c>
      <c r="Q11" s="162"/>
      <c r="R11" s="205"/>
      <c r="S11" s="205"/>
      <c r="T11" s="205"/>
      <c r="U11" s="205"/>
      <c r="V11" s="205"/>
      <c r="W11" s="205"/>
    </row>
    <row r="12" spans="1:23" ht="14.4" outlineLevel="1">
      <c r="A12" s="122" t="s">
        <v>1301</v>
      </c>
      <c r="B12" s="138" t="s">
        <v>394</v>
      </c>
      <c r="C12" s="122"/>
      <c r="D12" s="238"/>
      <c r="E12" s="238"/>
      <c r="F12" s="238"/>
      <c r="G12" s="134"/>
      <c r="H12" s="134"/>
      <c r="I12" s="134"/>
      <c r="J12" s="185">
        <f t="shared" ref="J12:P12" si="7">J10*J11</f>
        <v>1200</v>
      </c>
      <c r="K12" s="185">
        <f t="shared" si="7"/>
        <v>2616.2500000000005</v>
      </c>
      <c r="L12" s="185">
        <f t="shared" si="7"/>
        <v>4598.0000000000009</v>
      </c>
      <c r="M12" s="185">
        <f t="shared" si="7"/>
        <v>6175.5000000000009</v>
      </c>
      <c r="N12" s="185">
        <f t="shared" si="7"/>
        <v>7872.0000000000018</v>
      </c>
      <c r="O12" s="185">
        <f t="shared" si="7"/>
        <v>9687.5000000000018</v>
      </c>
      <c r="P12" s="185">
        <f t="shared" si="7"/>
        <v>11622.000000000004</v>
      </c>
      <c r="Q12" s="162"/>
      <c r="R12" s="205"/>
      <c r="S12" s="205"/>
      <c r="T12" s="205"/>
      <c r="U12" s="205"/>
      <c r="V12" s="205"/>
      <c r="W12" s="205"/>
    </row>
    <row r="13" spans="1:23" ht="14.4" outlineLevel="1">
      <c r="A13" s="122" t="s">
        <v>580</v>
      </c>
      <c r="B13" s="121" t="s">
        <v>231</v>
      </c>
      <c r="C13" s="122"/>
      <c r="D13" s="238"/>
      <c r="E13" s="238"/>
      <c r="F13" s="238"/>
      <c r="G13" s="134"/>
      <c r="H13" s="134"/>
      <c r="I13" s="134"/>
      <c r="J13" s="137">
        <v>0.9</v>
      </c>
      <c r="K13" s="137">
        <v>0.9</v>
      </c>
      <c r="L13" s="137">
        <v>0.9</v>
      </c>
      <c r="M13" s="137">
        <v>0.9</v>
      </c>
      <c r="N13" s="137">
        <v>0.9</v>
      </c>
      <c r="O13" s="137">
        <v>0.9</v>
      </c>
      <c r="P13" s="137">
        <v>0.9</v>
      </c>
      <c r="Q13" s="162"/>
      <c r="R13" s="205"/>
      <c r="S13" s="205"/>
      <c r="T13" s="205"/>
      <c r="U13" s="205"/>
      <c r="V13" s="205"/>
      <c r="W13" s="205"/>
    </row>
    <row r="14" spans="1:23" outlineLevel="1">
      <c r="A14" s="122" t="s">
        <v>1302</v>
      </c>
      <c r="B14" s="138" t="s">
        <v>394</v>
      </c>
      <c r="C14" s="122"/>
      <c r="D14" s="238"/>
      <c r="E14" s="238"/>
      <c r="F14" s="238"/>
      <c r="G14" s="134"/>
      <c r="H14" s="134"/>
      <c r="I14" s="134"/>
      <c r="J14" s="134">
        <f t="shared" ref="J14:P14" si="8">J12*J13</f>
        <v>1080</v>
      </c>
      <c r="K14" s="134">
        <f t="shared" si="8"/>
        <v>2354.6250000000005</v>
      </c>
      <c r="L14" s="134">
        <f t="shared" si="8"/>
        <v>4138.2000000000007</v>
      </c>
      <c r="M14" s="134">
        <f t="shared" si="8"/>
        <v>5557.9500000000007</v>
      </c>
      <c r="N14" s="134">
        <f t="shared" si="8"/>
        <v>7084.800000000002</v>
      </c>
      <c r="O14" s="134">
        <f t="shared" si="8"/>
        <v>8718.7500000000018</v>
      </c>
      <c r="P14" s="134">
        <f t="shared" si="8"/>
        <v>10459.800000000003</v>
      </c>
    </row>
    <row r="15" spans="1:23" outlineLevel="1">
      <c r="A15" s="174" t="s">
        <v>1303</v>
      </c>
      <c r="B15" s="229" t="s">
        <v>1267</v>
      </c>
      <c r="C15" s="122"/>
      <c r="D15" s="238"/>
      <c r="E15" s="238"/>
      <c r="F15" s="238"/>
      <c r="G15" s="134"/>
      <c r="H15" s="134"/>
      <c r="I15" s="134"/>
      <c r="J15" s="136">
        <f t="shared" ref="J15:P15" si="9">13750*500</f>
        <v>6875000</v>
      </c>
      <c r="K15" s="136">
        <f t="shared" si="9"/>
        <v>6875000</v>
      </c>
      <c r="L15" s="136">
        <f t="shared" si="9"/>
        <v>6875000</v>
      </c>
      <c r="M15" s="136">
        <f t="shared" si="9"/>
        <v>6875000</v>
      </c>
      <c r="N15" s="136">
        <f t="shared" si="9"/>
        <v>6875000</v>
      </c>
      <c r="O15" s="136">
        <f t="shared" si="9"/>
        <v>6875000</v>
      </c>
      <c r="P15" s="136">
        <f t="shared" si="9"/>
        <v>6875000</v>
      </c>
    </row>
    <row r="16" spans="1:23" outlineLevel="1">
      <c r="A16" s="174" t="s">
        <v>1304</v>
      </c>
      <c r="B16" s="229" t="s">
        <v>1267</v>
      </c>
      <c r="C16" s="122"/>
      <c r="D16" s="238"/>
      <c r="E16" s="238"/>
      <c r="F16" s="238"/>
      <c r="G16" s="134"/>
      <c r="H16" s="134"/>
      <c r="I16" s="134"/>
      <c r="J16" s="136">
        <f t="shared" ref="J16:P16" si="10">J14*J15/1000</f>
        <v>7425000</v>
      </c>
      <c r="K16" s="136">
        <f t="shared" si="10"/>
        <v>16188046.875000004</v>
      </c>
      <c r="L16" s="136">
        <f t="shared" si="10"/>
        <v>28450125.000000004</v>
      </c>
      <c r="M16" s="136">
        <f t="shared" si="10"/>
        <v>38210906.250000007</v>
      </c>
      <c r="N16" s="136">
        <f t="shared" si="10"/>
        <v>48708000.000000015</v>
      </c>
      <c r="O16" s="136">
        <f t="shared" si="10"/>
        <v>59941406.250000015</v>
      </c>
      <c r="P16" s="136">
        <f t="shared" si="10"/>
        <v>71911125.000000015</v>
      </c>
    </row>
    <row r="17" spans="1:16" outlineLevel="1">
      <c r="A17" s="174" t="s">
        <v>1305</v>
      </c>
      <c r="B17" s="229" t="s">
        <v>231</v>
      </c>
      <c r="C17" s="121"/>
      <c r="D17" s="134"/>
      <c r="E17" s="134"/>
      <c r="F17" s="134"/>
      <c r="G17" s="134"/>
      <c r="H17" s="134"/>
      <c r="I17" s="134"/>
      <c r="J17" s="137">
        <v>0.7</v>
      </c>
      <c r="K17" s="137">
        <v>0.7</v>
      </c>
      <c r="L17" s="137">
        <v>0.7</v>
      </c>
      <c r="M17" s="137">
        <v>0.7</v>
      </c>
      <c r="N17" s="137">
        <v>0.7</v>
      </c>
      <c r="O17" s="137">
        <v>0.7</v>
      </c>
      <c r="P17" s="137">
        <v>0.7</v>
      </c>
    </row>
    <row r="18" spans="1:16" outlineLevel="1">
      <c r="A18" s="174" t="s">
        <v>1302</v>
      </c>
      <c r="B18" s="229" t="s">
        <v>1267</v>
      </c>
      <c r="C18" s="121"/>
      <c r="D18" s="134"/>
      <c r="E18" s="134"/>
      <c r="F18" s="134"/>
      <c r="G18" s="134"/>
      <c r="H18" s="134"/>
      <c r="I18" s="134"/>
      <c r="J18" s="134">
        <f t="shared" ref="J18:P18" si="11">J16*J17</f>
        <v>5197500</v>
      </c>
      <c r="K18" s="134">
        <f t="shared" si="11"/>
        <v>11331632.812500002</v>
      </c>
      <c r="L18" s="134">
        <f t="shared" si="11"/>
        <v>19915087.5</v>
      </c>
      <c r="M18" s="134">
        <f t="shared" si="11"/>
        <v>26747634.375000004</v>
      </c>
      <c r="N18" s="134">
        <f t="shared" si="11"/>
        <v>34095600.000000007</v>
      </c>
      <c r="O18" s="134">
        <f t="shared" si="11"/>
        <v>41958984.375000007</v>
      </c>
      <c r="P18" s="134">
        <f t="shared" si="11"/>
        <v>50337787.500000007</v>
      </c>
    </row>
    <row r="19" spans="1:16" outlineLevel="1">
      <c r="A19" s="174" t="s">
        <v>1048</v>
      </c>
      <c r="B19" s="229" t="s">
        <v>231</v>
      </c>
      <c r="C19" s="121"/>
      <c r="D19" s="254"/>
      <c r="E19" s="254"/>
      <c r="F19" s="254"/>
      <c r="G19" s="134"/>
      <c r="H19" s="134"/>
      <c r="I19" s="134"/>
      <c r="J19" s="137">
        <v>0.38</v>
      </c>
      <c r="K19" s="137">
        <v>0.38</v>
      </c>
      <c r="L19" s="137">
        <v>0.38</v>
      </c>
      <c r="M19" s="137">
        <v>0.38</v>
      </c>
      <c r="N19" s="137">
        <v>0.38</v>
      </c>
      <c r="O19" s="137">
        <v>0.38</v>
      </c>
      <c r="P19" s="137">
        <v>0.38</v>
      </c>
    </row>
    <row r="20" spans="1:16" outlineLevel="1">
      <c r="A20" s="174" t="s">
        <v>1306</v>
      </c>
      <c r="B20" s="229" t="s">
        <v>1284</v>
      </c>
      <c r="C20" s="121"/>
      <c r="D20" s="254"/>
      <c r="E20" s="254"/>
      <c r="F20" s="254"/>
      <c r="G20" s="134"/>
      <c r="H20" s="134"/>
      <c r="I20" s="134"/>
      <c r="J20" s="186">
        <v>12</v>
      </c>
      <c r="K20" s="186">
        <v>12</v>
      </c>
      <c r="L20" s="186">
        <v>12</v>
      </c>
      <c r="M20" s="186">
        <v>12</v>
      </c>
      <c r="N20" s="186">
        <v>12</v>
      </c>
      <c r="O20" s="186">
        <v>12</v>
      </c>
      <c r="P20" s="186">
        <v>12</v>
      </c>
    </row>
    <row r="21" spans="1:16" outlineLevel="1">
      <c r="A21" s="133" t="s">
        <v>1311</v>
      </c>
      <c r="B21" s="121"/>
      <c r="C21" s="121"/>
      <c r="D21" s="134"/>
      <c r="E21" s="134"/>
      <c r="F21" s="134"/>
      <c r="G21" s="134"/>
      <c r="H21" s="134"/>
      <c r="I21" s="134"/>
    </row>
    <row r="22" spans="1:16" outlineLevel="1">
      <c r="A22" s="174" t="s">
        <v>1314</v>
      </c>
      <c r="B22" s="229" t="s">
        <v>1267</v>
      </c>
      <c r="C22" s="121"/>
      <c r="G22" s="134"/>
      <c r="H22" s="134"/>
      <c r="I22" s="134"/>
      <c r="J22" s="225">
        <f t="shared" ref="J22:P22" si="12">J18</f>
        <v>5197500</v>
      </c>
      <c r="K22" s="225">
        <f t="shared" si="12"/>
        <v>11331632.812500002</v>
      </c>
      <c r="L22" s="225">
        <f t="shared" si="12"/>
        <v>19915087.5</v>
      </c>
      <c r="M22" s="225">
        <f t="shared" si="12"/>
        <v>26747634.375000004</v>
      </c>
      <c r="N22" s="225">
        <f t="shared" si="12"/>
        <v>34095600.000000007</v>
      </c>
      <c r="O22" s="225">
        <f t="shared" si="12"/>
        <v>41958984.375000007</v>
      </c>
      <c r="P22" s="225">
        <f t="shared" si="12"/>
        <v>50337787.500000007</v>
      </c>
    </row>
    <row r="23" spans="1:16" outlineLevel="1">
      <c r="A23" s="181" t="s">
        <v>1313</v>
      </c>
      <c r="B23" s="229" t="s">
        <v>231</v>
      </c>
      <c r="C23" s="121"/>
      <c r="G23" s="134"/>
      <c r="H23" s="134"/>
      <c r="I23" s="134"/>
      <c r="J23" s="137">
        <v>0.15</v>
      </c>
      <c r="K23" s="137">
        <v>0.15</v>
      </c>
      <c r="L23" s="137">
        <v>0.15</v>
      </c>
      <c r="M23" s="137">
        <v>0.15</v>
      </c>
      <c r="N23" s="137">
        <v>0.15</v>
      </c>
      <c r="O23" s="137">
        <v>0.15</v>
      </c>
      <c r="P23" s="137">
        <v>0.15</v>
      </c>
    </row>
    <row r="24" spans="1:16" outlineLevel="1">
      <c r="A24" s="181" t="s">
        <v>1312</v>
      </c>
      <c r="B24" s="229" t="s">
        <v>1267</v>
      </c>
      <c r="C24" s="121"/>
      <c r="G24" s="134"/>
      <c r="H24" s="134"/>
      <c r="I24" s="134"/>
      <c r="J24" s="225">
        <f t="shared" ref="J24:P24" si="13">J23*J22</f>
        <v>779625</v>
      </c>
      <c r="K24" s="225">
        <f t="shared" si="13"/>
        <v>1699744.9218750002</v>
      </c>
      <c r="L24" s="225">
        <f t="shared" si="13"/>
        <v>2987263.125</v>
      </c>
      <c r="M24" s="225">
        <f t="shared" si="13"/>
        <v>4012145.1562500005</v>
      </c>
      <c r="N24" s="225">
        <f t="shared" si="13"/>
        <v>5114340.0000000009</v>
      </c>
      <c r="O24" s="225">
        <f t="shared" si="13"/>
        <v>6293847.6562500009</v>
      </c>
      <c r="P24" s="225">
        <f t="shared" si="13"/>
        <v>7550668.1250000009</v>
      </c>
    </row>
    <row r="25" spans="1:16" outlineLevel="1">
      <c r="A25" s="174" t="s">
        <v>1316</v>
      </c>
      <c r="B25" s="229" t="s">
        <v>1267</v>
      </c>
      <c r="C25" s="121"/>
      <c r="G25" s="225"/>
      <c r="H25" s="225"/>
      <c r="I25" s="134"/>
      <c r="J25" s="225">
        <f t="shared" ref="J25:P25" si="14">J22-J24</f>
        <v>4417875</v>
      </c>
      <c r="K25" s="225">
        <f t="shared" si="14"/>
        <v>9631887.8906250019</v>
      </c>
      <c r="L25" s="225">
        <f t="shared" si="14"/>
        <v>16927824.375</v>
      </c>
      <c r="M25" s="225">
        <f t="shared" si="14"/>
        <v>22735489.218750004</v>
      </c>
      <c r="N25" s="225">
        <f t="shared" si="14"/>
        <v>28981260.000000007</v>
      </c>
      <c r="O25" s="225">
        <f t="shared" si="14"/>
        <v>35665136.718750007</v>
      </c>
      <c r="P25" s="225">
        <f t="shared" si="14"/>
        <v>42787119.375000007</v>
      </c>
    </row>
    <row r="26" spans="1:16" outlineLevel="1">
      <c r="A26" s="174" t="s">
        <v>1317</v>
      </c>
      <c r="B26" s="229" t="s">
        <v>1267</v>
      </c>
      <c r="C26" s="121"/>
      <c r="G26" s="225"/>
      <c r="H26" s="225"/>
      <c r="I26" s="134"/>
      <c r="J26" s="225">
        <f>AVERAGE(I25:J25)</f>
        <v>4417875</v>
      </c>
      <c r="K26" s="225">
        <f t="shared" ref="K26:P26" si="15">AVERAGE(J25:K25)</f>
        <v>7024881.4453125009</v>
      </c>
      <c r="L26" s="225">
        <f t="shared" si="15"/>
        <v>13279856.1328125</v>
      </c>
      <c r="M26" s="225">
        <f t="shared" si="15"/>
        <v>19831656.796875</v>
      </c>
      <c r="N26" s="225">
        <f t="shared" si="15"/>
        <v>25858374.609375007</v>
      </c>
      <c r="O26" s="225">
        <f t="shared" si="15"/>
        <v>32323198.359375007</v>
      </c>
      <c r="P26" s="225">
        <f t="shared" si="15"/>
        <v>39226128.046875007</v>
      </c>
    </row>
    <row r="27" spans="1:16" outlineLevel="1">
      <c r="A27" s="174" t="s">
        <v>1317</v>
      </c>
      <c r="B27" s="229" t="s">
        <v>803</v>
      </c>
      <c r="C27" s="121"/>
      <c r="G27" s="225"/>
      <c r="H27" s="225"/>
      <c r="I27" s="134"/>
      <c r="J27" s="225">
        <f>J26/AVERAGE('Funnel QH'!I30:J30)</f>
        <v>8835.75</v>
      </c>
      <c r="K27" s="225">
        <f>K26/AVERAGE('Funnel QH'!J30:K30)</f>
        <v>14049.762890625001</v>
      </c>
      <c r="L27" s="225">
        <f>L26/AVERAGE('Funnel QH'!K30:L30)</f>
        <v>26559.712265624999</v>
      </c>
      <c r="M27" s="225">
        <f>M26/AVERAGE('Funnel QH'!L30:M30)</f>
        <v>39663.313593749997</v>
      </c>
      <c r="N27" s="225">
        <f>N26/AVERAGE('Funnel QH'!M30:N30)</f>
        <v>51716.749218750017</v>
      </c>
      <c r="O27" s="225">
        <f>O26/AVERAGE('Funnel QH'!N30:O30)</f>
        <v>64646.396718750017</v>
      </c>
      <c r="P27" s="225">
        <f>P26/AVERAGE('Funnel QH'!O30:P30)</f>
        <v>78452.256093750009</v>
      </c>
    </row>
    <row r="28" spans="1:16" outlineLevel="1">
      <c r="A28" s="133" t="s">
        <v>1322</v>
      </c>
      <c r="B28" s="121"/>
      <c r="C28" s="121"/>
      <c r="G28" s="134"/>
      <c r="H28" s="134"/>
      <c r="I28" s="134"/>
    </row>
    <row r="29" spans="1:16" outlineLevel="1">
      <c r="A29" s="174" t="s">
        <v>1318</v>
      </c>
      <c r="B29" s="229" t="s">
        <v>231</v>
      </c>
      <c r="C29" s="121"/>
      <c r="G29" s="134"/>
      <c r="H29" s="134"/>
      <c r="I29" s="134"/>
      <c r="J29" s="255">
        <f t="shared" ref="J29:P29" si="16">J19</f>
        <v>0.38</v>
      </c>
      <c r="K29" s="255">
        <f t="shared" si="16"/>
        <v>0.38</v>
      </c>
      <c r="L29" s="255">
        <f t="shared" si="16"/>
        <v>0.38</v>
      </c>
      <c r="M29" s="255">
        <f t="shared" si="16"/>
        <v>0.38</v>
      </c>
      <c r="N29" s="255">
        <f t="shared" si="16"/>
        <v>0.38</v>
      </c>
      <c r="O29" s="255">
        <f t="shared" si="16"/>
        <v>0.38</v>
      </c>
      <c r="P29" s="255">
        <f t="shared" si="16"/>
        <v>0.38</v>
      </c>
    </row>
    <row r="30" spans="1:16" outlineLevel="1">
      <c r="A30" s="174" t="s">
        <v>1319</v>
      </c>
      <c r="B30" s="229" t="s">
        <v>231</v>
      </c>
      <c r="C30" s="121"/>
      <c r="G30" s="134"/>
      <c r="H30" s="134"/>
      <c r="I30" s="134"/>
      <c r="J30" s="255">
        <f t="shared" ref="J30:P30" si="17">J29</f>
        <v>0.38</v>
      </c>
      <c r="K30" s="255">
        <f t="shared" si="17"/>
        <v>0.38</v>
      </c>
      <c r="L30" s="255">
        <f t="shared" si="17"/>
        <v>0.38</v>
      </c>
      <c r="M30" s="255">
        <f t="shared" si="17"/>
        <v>0.38</v>
      </c>
      <c r="N30" s="255">
        <f t="shared" si="17"/>
        <v>0.38</v>
      </c>
      <c r="O30" s="255">
        <f t="shared" si="17"/>
        <v>0.38</v>
      </c>
      <c r="P30" s="255">
        <f t="shared" si="17"/>
        <v>0.38</v>
      </c>
    </row>
    <row r="31" spans="1:16" outlineLevel="1">
      <c r="A31" s="174" t="s">
        <v>1320</v>
      </c>
      <c r="B31" s="229" t="s">
        <v>231</v>
      </c>
      <c r="C31" s="121"/>
      <c r="G31" s="134"/>
      <c r="H31" s="134"/>
      <c r="I31" s="134"/>
      <c r="J31" s="137">
        <v>0.13</v>
      </c>
      <c r="K31" s="137">
        <v>0.13</v>
      </c>
      <c r="L31" s="137">
        <v>0.13</v>
      </c>
      <c r="M31" s="137">
        <v>0.13</v>
      </c>
      <c r="N31" s="137">
        <v>0.13</v>
      </c>
      <c r="O31" s="137">
        <v>0.13</v>
      </c>
      <c r="P31" s="137">
        <v>0.13</v>
      </c>
    </row>
    <row r="32" spans="1:16" outlineLevel="1">
      <c r="A32" s="133" t="s">
        <v>1323</v>
      </c>
      <c r="B32" s="229"/>
      <c r="C32" s="121"/>
      <c r="G32" s="134"/>
      <c r="H32" s="134"/>
      <c r="I32" s="134"/>
    </row>
    <row r="33" spans="1:16" outlineLevel="1">
      <c r="A33" s="174" t="s">
        <v>1321</v>
      </c>
      <c r="B33" s="229" t="s">
        <v>1267</v>
      </c>
      <c r="C33" s="121"/>
      <c r="G33" s="134"/>
      <c r="H33" s="134"/>
      <c r="I33" s="134"/>
      <c r="J33" s="161"/>
      <c r="K33" s="161">
        <f t="shared" ref="K33:P33" si="18">J35</f>
        <v>742500</v>
      </c>
      <c r="L33" s="161">
        <f t="shared" si="18"/>
        <v>1618804.6875000005</v>
      </c>
      <c r="M33" s="161">
        <f t="shared" si="18"/>
        <v>2845012.5000000005</v>
      </c>
      <c r="N33" s="161">
        <f t="shared" si="18"/>
        <v>3821090.6250000009</v>
      </c>
      <c r="O33" s="161">
        <f t="shared" si="18"/>
        <v>4870800.0000000019</v>
      </c>
      <c r="P33" s="161">
        <f t="shared" si="18"/>
        <v>5994140.6250000019</v>
      </c>
    </row>
    <row r="34" spans="1:16" outlineLevel="1">
      <c r="A34" s="174" t="s">
        <v>1326</v>
      </c>
      <c r="B34" s="121" t="s">
        <v>231</v>
      </c>
      <c r="C34" s="121"/>
      <c r="G34" s="134"/>
      <c r="H34" s="134"/>
      <c r="I34" s="134"/>
      <c r="J34" s="235">
        <v>0.1</v>
      </c>
      <c r="K34" s="235">
        <v>0.1</v>
      </c>
      <c r="L34" s="235">
        <v>0.1</v>
      </c>
      <c r="M34" s="235">
        <v>0.1</v>
      </c>
      <c r="N34" s="235">
        <v>0.1</v>
      </c>
      <c r="O34" s="235">
        <v>0.1</v>
      </c>
      <c r="P34" s="235">
        <v>0.1</v>
      </c>
    </row>
    <row r="35" spans="1:16" outlineLevel="1">
      <c r="A35" s="174" t="s">
        <v>1324</v>
      </c>
      <c r="B35" s="229" t="s">
        <v>1267</v>
      </c>
      <c r="C35" s="121"/>
      <c r="G35" s="134"/>
      <c r="H35" s="134"/>
      <c r="I35" s="134"/>
      <c r="J35" s="256">
        <f t="shared" ref="J35:P35" si="19">J16*J34</f>
        <v>742500</v>
      </c>
      <c r="K35" s="256">
        <f t="shared" si="19"/>
        <v>1618804.6875000005</v>
      </c>
      <c r="L35" s="256">
        <f t="shared" si="19"/>
        <v>2845012.5000000005</v>
      </c>
      <c r="M35" s="256">
        <f t="shared" si="19"/>
        <v>3821090.6250000009</v>
      </c>
      <c r="N35" s="256">
        <f t="shared" si="19"/>
        <v>4870800.0000000019</v>
      </c>
      <c r="O35" s="256">
        <f t="shared" si="19"/>
        <v>5994140.6250000019</v>
      </c>
      <c r="P35" s="256">
        <f t="shared" si="19"/>
        <v>7191112.5000000019</v>
      </c>
    </row>
    <row r="36" spans="1:16" outlineLevel="1">
      <c r="A36" s="174" t="s">
        <v>1325</v>
      </c>
      <c r="B36" s="229" t="s">
        <v>231</v>
      </c>
      <c r="C36" s="121"/>
      <c r="G36" s="134"/>
      <c r="H36" s="134"/>
      <c r="I36" s="134"/>
      <c r="J36" s="257">
        <f>J35/J24</f>
        <v>0.95238095238095233</v>
      </c>
      <c r="K36" s="257">
        <f t="shared" ref="K36:P36" si="20">K35/K24</f>
        <v>0.95238095238095255</v>
      </c>
      <c r="L36" s="257">
        <f t="shared" si="20"/>
        <v>0.95238095238095255</v>
      </c>
      <c r="M36" s="257">
        <f t="shared" si="20"/>
        <v>0.95238095238095255</v>
      </c>
      <c r="N36" s="257">
        <f t="shared" si="20"/>
        <v>0.95238095238095255</v>
      </c>
      <c r="O36" s="257">
        <f t="shared" si="20"/>
        <v>0.95238095238095255</v>
      </c>
      <c r="P36" s="257">
        <f t="shared" si="20"/>
        <v>0.95238095238095255</v>
      </c>
    </row>
    <row r="37" spans="1:16" outlineLevel="1">
      <c r="A37" s="133" t="s">
        <v>1288</v>
      </c>
      <c r="B37" s="229"/>
      <c r="C37" s="121"/>
      <c r="G37" s="258"/>
      <c r="H37" s="258"/>
      <c r="I37" s="134"/>
    </row>
    <row r="38" spans="1:16" outlineLevel="1">
      <c r="A38" s="174" t="s">
        <v>861</v>
      </c>
      <c r="B38" s="229" t="s">
        <v>1267</v>
      </c>
      <c r="C38" s="121"/>
      <c r="G38" s="256"/>
      <c r="H38" s="256"/>
      <c r="I38" s="134"/>
      <c r="J38" s="256">
        <f t="shared" ref="J38:P38" si="21">J26*J30/2</f>
        <v>839396.25</v>
      </c>
      <c r="K38" s="256">
        <f t="shared" si="21"/>
        <v>1334727.4746093752</v>
      </c>
      <c r="L38" s="256">
        <f t="shared" si="21"/>
        <v>2523172.6652343748</v>
      </c>
      <c r="M38" s="256">
        <f t="shared" si="21"/>
        <v>3768014.7914062501</v>
      </c>
      <c r="N38" s="256">
        <f t="shared" si="21"/>
        <v>4913091.1757812519</v>
      </c>
      <c r="O38" s="256">
        <f t="shared" si="21"/>
        <v>6141407.6882812511</v>
      </c>
      <c r="P38" s="256">
        <f t="shared" si="21"/>
        <v>7452964.3289062511</v>
      </c>
    </row>
    <row r="39" spans="1:16" outlineLevel="1">
      <c r="A39" s="174" t="s">
        <v>867</v>
      </c>
      <c r="B39" s="229" t="s">
        <v>1267</v>
      </c>
      <c r="C39" s="121"/>
      <c r="G39" s="256"/>
      <c r="H39" s="256"/>
      <c r="I39" s="134"/>
      <c r="J39" s="256">
        <f t="shared" ref="J39:P39" si="22">-J26*J31/2</f>
        <v>-287161.875</v>
      </c>
      <c r="K39" s="256">
        <f t="shared" si="22"/>
        <v>-456617.29394531256</v>
      </c>
      <c r="L39" s="256">
        <f t="shared" si="22"/>
        <v>-863190.64863281255</v>
      </c>
      <c r="M39" s="256">
        <f t="shared" si="22"/>
        <v>-1289057.6917968751</v>
      </c>
      <c r="N39" s="256">
        <f t="shared" si="22"/>
        <v>-1680794.3496093755</v>
      </c>
      <c r="O39" s="256">
        <f t="shared" si="22"/>
        <v>-2101007.8933593757</v>
      </c>
      <c r="P39" s="256">
        <f t="shared" si="22"/>
        <v>-2549698.3230468757</v>
      </c>
    </row>
    <row r="40" spans="1:16" outlineLevel="1">
      <c r="A40" s="183" t="s">
        <v>232</v>
      </c>
      <c r="B40" s="229" t="s">
        <v>1267</v>
      </c>
      <c r="C40" s="121"/>
      <c r="G40" s="259"/>
      <c r="H40" s="259"/>
      <c r="I40" s="134"/>
      <c r="J40" s="259">
        <f t="shared" ref="J40:P40" si="23">SUM(J38:J39)</f>
        <v>552234.375</v>
      </c>
      <c r="K40" s="259">
        <f t="shared" si="23"/>
        <v>878110.18066406273</v>
      </c>
      <c r="L40" s="259">
        <f t="shared" si="23"/>
        <v>1659982.0166015623</v>
      </c>
      <c r="M40" s="259">
        <f t="shared" si="23"/>
        <v>2478957.099609375</v>
      </c>
      <c r="N40" s="259">
        <f t="shared" si="23"/>
        <v>3232296.8261718764</v>
      </c>
      <c r="O40" s="259">
        <f t="shared" si="23"/>
        <v>4040399.7949218755</v>
      </c>
      <c r="P40" s="259">
        <f t="shared" si="23"/>
        <v>4903266.005859375</v>
      </c>
    </row>
    <row r="41" spans="1:16" outlineLevel="1">
      <c r="A41" s="183" t="s">
        <v>233</v>
      </c>
      <c r="B41" s="253" t="s">
        <v>231</v>
      </c>
      <c r="C41" s="121"/>
      <c r="G41" s="128"/>
      <c r="H41" s="128"/>
      <c r="I41" s="134"/>
      <c r="J41" s="128">
        <f t="shared" ref="J41:P41" si="24">J40*2/J26</f>
        <v>0.25</v>
      </c>
      <c r="K41" s="128">
        <f t="shared" si="24"/>
        <v>0.25000000000000006</v>
      </c>
      <c r="L41" s="128">
        <f t="shared" si="24"/>
        <v>0.24999999999999997</v>
      </c>
      <c r="M41" s="128">
        <f t="shared" si="24"/>
        <v>0.25</v>
      </c>
      <c r="N41" s="128">
        <f t="shared" si="24"/>
        <v>0.25000000000000006</v>
      </c>
      <c r="O41" s="128">
        <f t="shared" si="24"/>
        <v>0.24999999999999997</v>
      </c>
      <c r="P41" s="128">
        <f t="shared" si="24"/>
        <v>0.24999999999999994</v>
      </c>
    </row>
    <row r="42" spans="1:16" outlineLevel="1">
      <c r="A42" s="174" t="s">
        <v>873</v>
      </c>
      <c r="B42" s="229" t="s">
        <v>1267</v>
      </c>
      <c r="C42" s="121"/>
      <c r="G42" s="161"/>
      <c r="H42" s="161"/>
      <c r="I42" s="134"/>
      <c r="J42" s="161">
        <f>-(J35-J33)</f>
        <v>-742500</v>
      </c>
      <c r="K42" s="161">
        <f>-(K35-K33)</f>
        <v>-876304.68750000047</v>
      </c>
      <c r="L42" s="161">
        <f t="shared" ref="L42:P42" si="25">-(L35-L33)</f>
        <v>-1226207.8125</v>
      </c>
      <c r="M42" s="161">
        <f t="shared" si="25"/>
        <v>-976078.12500000047</v>
      </c>
      <c r="N42" s="161">
        <f t="shared" si="25"/>
        <v>-1049709.3750000009</v>
      </c>
      <c r="O42" s="161">
        <f t="shared" si="25"/>
        <v>-1123340.625</v>
      </c>
      <c r="P42" s="161">
        <f t="shared" si="25"/>
        <v>-1196971.875</v>
      </c>
    </row>
    <row r="43" spans="1:16" outlineLevel="1">
      <c r="A43" s="183" t="s">
        <v>413</v>
      </c>
      <c r="B43" s="229" t="s">
        <v>231</v>
      </c>
      <c r="C43" s="121"/>
      <c r="G43" s="255"/>
      <c r="H43" s="255"/>
      <c r="I43" s="134"/>
      <c r="J43" s="255">
        <f>-J42/AVERAGE(I26:J26)</f>
        <v>0.16806722689075632</v>
      </c>
      <c r="K43" s="255">
        <f t="shared" ref="K43:P43" si="26">-K42/AVERAGE(J26:K26)</f>
        <v>0.15316321581920531</v>
      </c>
      <c r="L43" s="255">
        <f t="shared" si="26"/>
        <v>0.12078046394660488</v>
      </c>
      <c r="M43" s="255">
        <f t="shared" si="26"/>
        <v>5.8957023623336595E-2</v>
      </c>
      <c r="N43" s="255">
        <f t="shared" si="26"/>
        <v>4.5949164082054433E-2</v>
      </c>
      <c r="O43" s="255">
        <f t="shared" si="26"/>
        <v>3.8614996731125131E-2</v>
      </c>
      <c r="P43" s="255">
        <f t="shared" si="26"/>
        <v>3.3458648323359798E-2</v>
      </c>
    </row>
    <row r="44" spans="1:16" outlineLevel="1">
      <c r="A44" s="183" t="s">
        <v>414</v>
      </c>
      <c r="B44" s="229" t="s">
        <v>1267</v>
      </c>
      <c r="C44" s="121"/>
      <c r="G44" s="175"/>
      <c r="H44" s="175"/>
      <c r="I44" s="134"/>
      <c r="J44" s="175">
        <f>J40+J42</f>
        <v>-190265.625</v>
      </c>
      <c r="K44" s="175">
        <f>K40+K42</f>
        <v>1805.4931640622672</v>
      </c>
      <c r="L44" s="175">
        <f t="shared" ref="L44:P44" si="27">L40+L42</f>
        <v>433774.20410156227</v>
      </c>
      <c r="M44" s="175">
        <f t="shared" si="27"/>
        <v>1502878.9746093745</v>
      </c>
      <c r="N44" s="175">
        <f t="shared" si="27"/>
        <v>2182587.4511718755</v>
      </c>
      <c r="O44" s="175">
        <f t="shared" si="27"/>
        <v>2917059.1699218755</v>
      </c>
      <c r="P44" s="175">
        <f t="shared" si="27"/>
        <v>3706294.130859375</v>
      </c>
    </row>
    <row r="45" spans="1:16" outlineLevel="1">
      <c r="A45" s="174" t="s">
        <v>863</v>
      </c>
      <c r="B45" s="229" t="s">
        <v>231</v>
      </c>
      <c r="C45" s="121"/>
      <c r="G45" s="175"/>
      <c r="H45" s="175"/>
      <c r="I45" s="134"/>
      <c r="J45" s="137"/>
      <c r="K45" s="137"/>
      <c r="L45" s="137"/>
      <c r="M45" s="137"/>
      <c r="N45" s="137"/>
      <c r="O45" s="137"/>
      <c r="P45" s="137"/>
    </row>
    <row r="46" spans="1:16" outlineLevel="1">
      <c r="A46" s="174" t="s">
        <v>863</v>
      </c>
      <c r="B46" s="229" t="s">
        <v>1267</v>
      </c>
      <c r="C46" s="121"/>
      <c r="G46" s="175"/>
      <c r="H46" s="175"/>
      <c r="I46" s="134"/>
      <c r="J46" s="161">
        <f t="shared" ref="J46:P46" si="28">J16*J45</f>
        <v>0</v>
      </c>
      <c r="K46" s="161">
        <f t="shared" si="28"/>
        <v>0</v>
      </c>
      <c r="L46" s="161">
        <f t="shared" si="28"/>
        <v>0</v>
      </c>
      <c r="M46" s="161">
        <f t="shared" si="28"/>
        <v>0</v>
      </c>
      <c r="N46" s="161">
        <f t="shared" si="28"/>
        <v>0</v>
      </c>
      <c r="O46" s="161">
        <f t="shared" si="28"/>
        <v>0</v>
      </c>
      <c r="P46" s="161">
        <f t="shared" si="28"/>
        <v>0</v>
      </c>
    </row>
    <row r="47" spans="1:16" outlineLevel="1">
      <c r="A47" s="183" t="s">
        <v>237</v>
      </c>
      <c r="B47" s="229" t="s">
        <v>1267</v>
      </c>
      <c r="C47" s="121"/>
      <c r="G47" s="175"/>
      <c r="H47" s="175"/>
      <c r="I47" s="134"/>
      <c r="J47" s="175">
        <f t="shared" ref="J47:P47" si="29">J44+J46</f>
        <v>-190265.625</v>
      </c>
      <c r="K47" s="175">
        <f t="shared" si="29"/>
        <v>1805.4931640622672</v>
      </c>
      <c r="L47" s="175">
        <f t="shared" si="29"/>
        <v>433774.20410156227</v>
      </c>
      <c r="M47" s="175">
        <f t="shared" si="29"/>
        <v>1502878.9746093745</v>
      </c>
      <c r="N47" s="175">
        <f t="shared" si="29"/>
        <v>2182587.4511718755</v>
      </c>
      <c r="O47" s="175">
        <f t="shared" si="29"/>
        <v>2917059.1699218755</v>
      </c>
      <c r="P47" s="175">
        <f t="shared" si="29"/>
        <v>3706294.130859375</v>
      </c>
    </row>
    <row r="48" spans="1:16" outlineLevel="1">
      <c r="A48" s="174" t="s">
        <v>1327</v>
      </c>
      <c r="B48" s="229" t="s">
        <v>1267</v>
      </c>
      <c r="C48" s="121"/>
      <c r="G48" s="175"/>
      <c r="H48" s="175"/>
      <c r="I48" s="134"/>
      <c r="J48" s="210">
        <v>5</v>
      </c>
      <c r="K48" s="210">
        <v>5</v>
      </c>
      <c r="L48" s="210">
        <v>5</v>
      </c>
      <c r="M48" s="210">
        <v>5</v>
      </c>
      <c r="N48" s="210">
        <v>5</v>
      </c>
      <c r="O48" s="210">
        <v>5</v>
      </c>
      <c r="P48" s="210">
        <v>5</v>
      </c>
    </row>
    <row r="49" spans="1:23" outlineLevel="1">
      <c r="A49" s="183" t="s">
        <v>417</v>
      </c>
      <c r="B49" s="229" t="s">
        <v>1267</v>
      </c>
      <c r="C49" s="121"/>
      <c r="G49" s="175"/>
      <c r="H49" s="175"/>
      <c r="I49" s="134"/>
      <c r="J49" s="161">
        <f t="shared" ref="J49:P49" si="30">-J14*J48</f>
        <v>-5400</v>
      </c>
      <c r="K49" s="161">
        <f t="shared" si="30"/>
        <v>-11773.125000000002</v>
      </c>
      <c r="L49" s="161">
        <f t="shared" si="30"/>
        <v>-20691.000000000004</v>
      </c>
      <c r="M49" s="161">
        <f t="shared" si="30"/>
        <v>-27789.750000000004</v>
      </c>
      <c r="N49" s="161">
        <f t="shared" si="30"/>
        <v>-35424.000000000007</v>
      </c>
      <c r="O49" s="161">
        <f t="shared" si="30"/>
        <v>-43593.750000000007</v>
      </c>
      <c r="P49" s="161">
        <f t="shared" si="30"/>
        <v>-52299.000000000015</v>
      </c>
    </row>
    <row r="50" spans="1:23" outlineLevel="1">
      <c r="A50" s="174" t="s">
        <v>1328</v>
      </c>
      <c r="B50" s="229" t="s">
        <v>394</v>
      </c>
      <c r="C50" s="121"/>
      <c r="G50" s="175"/>
      <c r="H50" s="175"/>
      <c r="I50" s="134"/>
      <c r="J50" s="161">
        <f t="shared" ref="J50:P50" si="31">J14</f>
        <v>1080</v>
      </c>
      <c r="K50" s="161">
        <f t="shared" si="31"/>
        <v>2354.6250000000005</v>
      </c>
      <c r="L50" s="161">
        <f t="shared" si="31"/>
        <v>4138.2000000000007</v>
      </c>
      <c r="M50" s="161">
        <f t="shared" si="31"/>
        <v>5557.9500000000007</v>
      </c>
      <c r="N50" s="161">
        <f t="shared" si="31"/>
        <v>7084.800000000002</v>
      </c>
      <c r="O50" s="161">
        <f t="shared" si="31"/>
        <v>8718.7500000000018</v>
      </c>
      <c r="P50" s="161">
        <f t="shared" si="31"/>
        <v>10459.800000000003</v>
      </c>
    </row>
    <row r="51" spans="1:23" outlineLevel="1">
      <c r="A51" s="174" t="s">
        <v>1347</v>
      </c>
      <c r="B51" s="229" t="s">
        <v>1267</v>
      </c>
      <c r="C51" s="121"/>
      <c r="G51" s="175"/>
      <c r="H51" s="175"/>
      <c r="I51" s="134"/>
      <c r="J51" s="210"/>
      <c r="K51" s="210"/>
      <c r="L51" s="210"/>
      <c r="M51" s="210"/>
      <c r="N51" s="210"/>
      <c r="O51" s="210"/>
      <c r="P51" s="210"/>
    </row>
    <row r="52" spans="1:23" outlineLevel="1">
      <c r="A52" s="183" t="s">
        <v>420</v>
      </c>
      <c r="B52" s="229" t="s">
        <v>1267</v>
      </c>
      <c r="C52" s="121"/>
      <c r="G52" s="259"/>
      <c r="H52" s="259"/>
      <c r="I52" s="134"/>
      <c r="J52" s="259">
        <f t="shared" ref="J52:P52" si="32">-J50*J51</f>
        <v>0</v>
      </c>
      <c r="K52" s="259">
        <f t="shared" si="32"/>
        <v>0</v>
      </c>
      <c r="L52" s="259">
        <f t="shared" si="32"/>
        <v>0</v>
      </c>
      <c r="M52" s="259">
        <f t="shared" si="32"/>
        <v>0</v>
      </c>
      <c r="N52" s="259">
        <f t="shared" si="32"/>
        <v>0</v>
      </c>
      <c r="O52" s="259">
        <f t="shared" si="32"/>
        <v>0</v>
      </c>
      <c r="P52" s="259">
        <f t="shared" si="32"/>
        <v>0</v>
      </c>
    </row>
    <row r="53" spans="1:23" outlineLevel="1">
      <c r="A53" s="174" t="s">
        <v>1329</v>
      </c>
      <c r="B53" s="229" t="s">
        <v>1267</v>
      </c>
      <c r="C53" s="121"/>
      <c r="G53" s="161"/>
      <c r="H53" s="161"/>
      <c r="I53" s="134"/>
      <c r="J53" s="161">
        <f t="shared" ref="J53:P53" si="33">J47+J49+J52</f>
        <v>-195665.625</v>
      </c>
      <c r="K53" s="161">
        <f t="shared" si="33"/>
        <v>-9967.6318359377346</v>
      </c>
      <c r="L53" s="161">
        <f t="shared" si="33"/>
        <v>413083.20410156227</v>
      </c>
      <c r="M53" s="161">
        <f t="shared" si="33"/>
        <v>1475089.2246093745</v>
      </c>
      <c r="N53" s="161">
        <f t="shared" si="33"/>
        <v>2147163.4511718755</v>
      </c>
      <c r="O53" s="161">
        <f t="shared" si="33"/>
        <v>2873465.4199218755</v>
      </c>
      <c r="P53" s="161">
        <f t="shared" si="33"/>
        <v>3653995.130859375</v>
      </c>
    </row>
    <row r="54" spans="1:23" outlineLevel="1">
      <c r="A54" s="174" t="s">
        <v>1291</v>
      </c>
      <c r="B54" s="229" t="s">
        <v>1267</v>
      </c>
      <c r="C54" s="121"/>
      <c r="G54" s="161"/>
      <c r="H54" s="161"/>
      <c r="I54" s="134"/>
      <c r="J54" s="161">
        <f t="shared" ref="J54:P54" si="34">I54+J53</f>
        <v>-195665.625</v>
      </c>
      <c r="K54" s="161">
        <f t="shared" si="34"/>
        <v>-205633.25683593773</v>
      </c>
      <c r="L54" s="161">
        <f t="shared" si="34"/>
        <v>207449.94726562453</v>
      </c>
      <c r="M54" s="161">
        <f t="shared" si="34"/>
        <v>1682539.1718749991</v>
      </c>
      <c r="N54" s="161">
        <f t="shared" si="34"/>
        <v>3829702.6230468745</v>
      </c>
      <c r="O54" s="161">
        <f t="shared" si="34"/>
        <v>6703168.04296875</v>
      </c>
      <c r="P54" s="161">
        <f t="shared" si="34"/>
        <v>10357163.173828125</v>
      </c>
    </row>
    <row r="55" spans="1:23" outlineLevel="1">
      <c r="A55" s="183" t="s">
        <v>236</v>
      </c>
      <c r="B55" s="253" t="s">
        <v>231</v>
      </c>
      <c r="C55" s="121"/>
      <c r="G55" s="128"/>
      <c r="H55" s="128"/>
      <c r="I55" s="134"/>
      <c r="J55" s="128"/>
      <c r="K55" s="128"/>
      <c r="L55" s="128"/>
      <c r="M55" s="128"/>
      <c r="N55" s="128"/>
      <c r="O55" s="128"/>
      <c r="P55" s="128"/>
    </row>
    <row r="56" spans="1:23" outlineLevel="1">
      <c r="A56" s="183" t="s">
        <v>374</v>
      </c>
      <c r="B56" s="253" t="s">
        <v>231</v>
      </c>
      <c r="C56" s="121"/>
      <c r="G56" s="128"/>
      <c r="H56" s="128"/>
      <c r="I56" s="134"/>
      <c r="J56" s="128">
        <f t="shared" ref="J56:P56" si="35">-(J49+J52)/(J47-J42)</f>
        <v>9.7784568372803662E-3</v>
      </c>
      <c r="K56" s="128">
        <f t="shared" si="35"/>
        <v>1.3407343701557684E-2</v>
      </c>
      <c r="L56" s="128">
        <f t="shared" si="35"/>
        <v>1.2464592864903529E-2</v>
      </c>
      <c r="M56" s="128">
        <f t="shared" si="35"/>
        <v>1.1210258541537088E-2</v>
      </c>
      <c r="N56" s="128">
        <f t="shared" si="35"/>
        <v>1.0959389531670551E-2</v>
      </c>
      <c r="O56" s="128">
        <f t="shared" si="35"/>
        <v>1.078946446210354E-2</v>
      </c>
      <c r="P56" s="128">
        <f t="shared" si="35"/>
        <v>1.066615597389638E-2</v>
      </c>
    </row>
    <row r="57" spans="1:23" outlineLevel="1">
      <c r="A57" s="174" t="s">
        <v>1329</v>
      </c>
      <c r="B57" s="229" t="s">
        <v>803</v>
      </c>
      <c r="C57" s="121"/>
      <c r="G57" s="161"/>
      <c r="H57" s="161"/>
      <c r="I57" s="134"/>
      <c r="J57" s="161">
        <f>J53/AVERAGE('Funnel QH'!I30:J30)</f>
        <v>-391.33125000000001</v>
      </c>
      <c r="K57" s="161">
        <f>K53/AVERAGE('Funnel QH'!J30:K30)</f>
        <v>-19.935263671875468</v>
      </c>
      <c r="L57" s="161">
        <f>L53/AVERAGE('Funnel QH'!K30:L30)</f>
        <v>826.16640820312455</v>
      </c>
      <c r="M57" s="161">
        <f>M53/AVERAGE('Funnel QH'!L30:M30)</f>
        <v>2950.1784492187489</v>
      </c>
      <c r="N57" s="161">
        <f>N53/AVERAGE('Funnel QH'!M30:N30)</f>
        <v>4294.3269023437506</v>
      </c>
      <c r="O57" s="161">
        <f>O53/AVERAGE('Funnel QH'!N30:O30)</f>
        <v>5746.9308398437506</v>
      </c>
      <c r="P57" s="161">
        <f>P53/AVERAGE('Funnel QH'!O30:P30)</f>
        <v>7307.9902617187499</v>
      </c>
    </row>
    <row r="58" spans="1:23" outlineLevel="1">
      <c r="A58" s="122" t="s">
        <v>1330</v>
      </c>
      <c r="B58" s="138" t="s">
        <v>231</v>
      </c>
      <c r="G58" s="238"/>
      <c r="H58" s="238"/>
      <c r="I58" s="134"/>
      <c r="J58" s="238">
        <f>J57*2/J27</f>
        <v>-8.8579067990832705E-2</v>
      </c>
      <c r="K58" s="238">
        <f t="shared" ref="K58:P58" si="36">K57*2/K27</f>
        <v>-2.8378078444551815E-3</v>
      </c>
      <c r="L58" s="238">
        <f t="shared" si="36"/>
        <v>6.2211999884681984E-2</v>
      </c>
      <c r="M58" s="238">
        <f t="shared" si="36"/>
        <v>0.14876106819696616</v>
      </c>
      <c r="N58" s="238">
        <f t="shared" si="36"/>
        <v>0.16607102987775701</v>
      </c>
      <c r="O58" s="238">
        <f t="shared" si="36"/>
        <v>0.17779585967788095</v>
      </c>
      <c r="P58" s="238">
        <f t="shared" si="36"/>
        <v>0.18630414536417519</v>
      </c>
    </row>
    <row r="59" spans="1:23">
      <c r="I59" s="238"/>
      <c r="J59" s="238"/>
      <c r="K59" s="238"/>
      <c r="L59" s="238"/>
      <c r="M59" s="238"/>
      <c r="N59" s="238"/>
      <c r="O59" s="238"/>
      <c r="P59" s="238"/>
    </row>
    <row r="60" spans="1:23" s="119" customFormat="1" ht="12.6">
      <c r="A60" s="132" t="s">
        <v>1337</v>
      </c>
      <c r="B60" s="116"/>
      <c r="C60" s="117"/>
      <c r="D60" s="117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</row>
    <row r="61" spans="1:23" s="127" customFormat="1" ht="12.6" outlineLevel="1">
      <c r="A61" s="122" t="s">
        <v>928</v>
      </c>
      <c r="B61" s="138" t="s">
        <v>394</v>
      </c>
      <c r="D61" s="134"/>
      <c r="E61" s="134"/>
      <c r="F61" s="134"/>
      <c r="G61" s="134"/>
      <c r="H61" s="134"/>
      <c r="I61" s="134"/>
      <c r="J61" s="134">
        <f t="shared" ref="J61:P61" si="37">J8</f>
        <v>30000</v>
      </c>
      <c r="K61" s="134">
        <f t="shared" si="37"/>
        <v>49833.333333333336</v>
      </c>
      <c r="L61" s="134">
        <f t="shared" si="37"/>
        <v>69666.666666666672</v>
      </c>
      <c r="M61" s="134">
        <f t="shared" si="37"/>
        <v>89500</v>
      </c>
      <c r="N61" s="134">
        <f t="shared" si="37"/>
        <v>109333.33333333334</v>
      </c>
      <c r="O61" s="134">
        <f t="shared" si="37"/>
        <v>129166.66666666667</v>
      </c>
      <c r="P61" s="134">
        <f t="shared" si="37"/>
        <v>149000</v>
      </c>
      <c r="R61" s="134">
        <f>D61</f>
        <v>0</v>
      </c>
      <c r="S61" s="134">
        <f t="shared" ref="S61:S62" si="38">H61</f>
        <v>0</v>
      </c>
      <c r="T61" s="134">
        <f>J61</f>
        <v>30000</v>
      </c>
      <c r="U61" s="134">
        <f>L61</f>
        <v>69666.666666666672</v>
      </c>
      <c r="V61" s="134">
        <f>N61</f>
        <v>109333.33333333334</v>
      </c>
      <c r="W61" s="134">
        <f>P61</f>
        <v>149000</v>
      </c>
    </row>
    <row r="62" spans="1:23" ht="14.4" outlineLevel="1">
      <c r="A62" s="122" t="s">
        <v>1299</v>
      </c>
      <c r="B62" s="121" t="s">
        <v>231</v>
      </c>
      <c r="C62" s="122"/>
      <c r="D62" s="238"/>
      <c r="E62" s="238"/>
      <c r="F62" s="238"/>
      <c r="G62" s="134"/>
      <c r="H62" s="134"/>
      <c r="I62" s="134"/>
      <c r="J62" s="137">
        <v>0.05</v>
      </c>
      <c r="K62" s="137">
        <v>0.05</v>
      </c>
      <c r="L62" s="137">
        <v>0.05</v>
      </c>
      <c r="M62" s="137">
        <v>0.05</v>
      </c>
      <c r="N62" s="137">
        <v>0.05</v>
      </c>
      <c r="O62" s="137">
        <v>0.05</v>
      </c>
      <c r="P62" s="137">
        <v>0.05</v>
      </c>
      <c r="Q62" s="162"/>
      <c r="R62" s="205"/>
      <c r="S62" s="205">
        <f t="shared" si="38"/>
        <v>0</v>
      </c>
      <c r="T62" s="205">
        <f t="shared" ref="T62" si="39">J62</f>
        <v>0.05</v>
      </c>
      <c r="U62" s="205">
        <f t="shared" ref="U62" si="40">L62</f>
        <v>0.05</v>
      </c>
      <c r="V62" s="205">
        <f t="shared" ref="V62" si="41">N62</f>
        <v>0.05</v>
      </c>
      <c r="W62" s="205">
        <f t="shared" ref="W62" si="42">P62</f>
        <v>0.05</v>
      </c>
    </row>
    <row r="63" spans="1:23" ht="14.4" outlineLevel="1">
      <c r="A63" s="122" t="s">
        <v>1300</v>
      </c>
      <c r="B63" s="138" t="s">
        <v>394</v>
      </c>
      <c r="C63" s="122"/>
      <c r="D63" s="238"/>
      <c r="E63" s="238"/>
      <c r="F63" s="238"/>
      <c r="G63" s="134"/>
      <c r="H63" s="134"/>
      <c r="I63" s="134"/>
      <c r="J63" s="185">
        <f t="shared" ref="J63:P63" si="43">J61*J62</f>
        <v>1500</v>
      </c>
      <c r="K63" s="185">
        <f t="shared" si="43"/>
        <v>2491.666666666667</v>
      </c>
      <c r="L63" s="185">
        <f t="shared" si="43"/>
        <v>3483.3333333333339</v>
      </c>
      <c r="M63" s="185">
        <f t="shared" si="43"/>
        <v>4475</v>
      </c>
      <c r="N63" s="185">
        <f t="shared" si="43"/>
        <v>5466.6666666666679</v>
      </c>
      <c r="O63" s="185">
        <f t="shared" si="43"/>
        <v>6458.3333333333339</v>
      </c>
      <c r="P63" s="185">
        <f t="shared" si="43"/>
        <v>7450</v>
      </c>
      <c r="Q63" s="162"/>
      <c r="R63" s="205"/>
      <c r="S63" s="205"/>
      <c r="T63" s="205"/>
      <c r="U63" s="205"/>
      <c r="V63" s="205"/>
      <c r="W63" s="205"/>
    </row>
    <row r="64" spans="1:23" ht="14.4" outlineLevel="1">
      <c r="A64" s="122" t="s">
        <v>581</v>
      </c>
      <c r="B64" s="121" t="s">
        <v>231</v>
      </c>
      <c r="C64" s="122"/>
      <c r="D64" s="238"/>
      <c r="E64" s="238"/>
      <c r="F64" s="238"/>
      <c r="G64" s="134"/>
      <c r="H64" s="134"/>
      <c r="I64" s="134"/>
      <c r="J64" s="137">
        <v>0.6</v>
      </c>
      <c r="K64" s="137">
        <v>0.6</v>
      </c>
      <c r="L64" s="137">
        <v>0.6</v>
      </c>
      <c r="M64" s="137">
        <v>0.6</v>
      </c>
      <c r="N64" s="137">
        <v>0.6</v>
      </c>
      <c r="O64" s="137">
        <v>0.6</v>
      </c>
      <c r="P64" s="137">
        <v>0.6</v>
      </c>
      <c r="Q64" s="162"/>
      <c r="R64" s="205"/>
      <c r="S64" s="205"/>
      <c r="T64" s="205"/>
      <c r="U64" s="205"/>
      <c r="V64" s="205"/>
      <c r="W64" s="205"/>
    </row>
    <row r="65" spans="1:23" ht="14.4" outlineLevel="1">
      <c r="A65" s="122" t="s">
        <v>1301</v>
      </c>
      <c r="B65" s="138" t="s">
        <v>394</v>
      </c>
      <c r="C65" s="122"/>
      <c r="D65" s="238"/>
      <c r="E65" s="238"/>
      <c r="F65" s="238"/>
      <c r="G65" s="134"/>
      <c r="H65" s="134"/>
      <c r="I65" s="134"/>
      <c r="J65" s="185">
        <f t="shared" ref="J65:P65" si="44">J63*J64</f>
        <v>900</v>
      </c>
      <c r="K65" s="185">
        <f t="shared" si="44"/>
        <v>1495.0000000000002</v>
      </c>
      <c r="L65" s="185">
        <f t="shared" si="44"/>
        <v>2090.0000000000005</v>
      </c>
      <c r="M65" s="185">
        <f t="shared" si="44"/>
        <v>2685</v>
      </c>
      <c r="N65" s="185">
        <f t="shared" si="44"/>
        <v>3280.0000000000005</v>
      </c>
      <c r="O65" s="185">
        <f t="shared" si="44"/>
        <v>3875</v>
      </c>
      <c r="P65" s="185">
        <f t="shared" si="44"/>
        <v>4470</v>
      </c>
      <c r="Q65" s="162"/>
      <c r="R65" s="205"/>
      <c r="S65" s="205"/>
      <c r="T65" s="205"/>
      <c r="U65" s="205"/>
      <c r="V65" s="205"/>
      <c r="W65" s="205"/>
    </row>
    <row r="66" spans="1:23" ht="14.4" outlineLevel="1">
      <c r="A66" s="122" t="s">
        <v>580</v>
      </c>
      <c r="B66" s="121" t="s">
        <v>231</v>
      </c>
      <c r="C66" s="122"/>
      <c r="D66" s="238"/>
      <c r="E66" s="238"/>
      <c r="F66" s="238"/>
      <c r="G66" s="134"/>
      <c r="H66" s="134"/>
      <c r="I66" s="134"/>
      <c r="J66" s="137">
        <v>0.8</v>
      </c>
      <c r="K66" s="137">
        <v>0.8</v>
      </c>
      <c r="L66" s="137">
        <v>0.8</v>
      </c>
      <c r="M66" s="137">
        <v>0.8</v>
      </c>
      <c r="N66" s="137">
        <v>0.8</v>
      </c>
      <c r="O66" s="137">
        <v>0.8</v>
      </c>
      <c r="P66" s="137">
        <v>0.8</v>
      </c>
      <c r="Q66" s="162"/>
      <c r="R66" s="205"/>
      <c r="S66" s="205"/>
      <c r="T66" s="205"/>
      <c r="U66" s="205"/>
      <c r="V66" s="205"/>
      <c r="W66" s="205"/>
    </row>
    <row r="67" spans="1:23" outlineLevel="1">
      <c r="A67" s="122" t="s">
        <v>1302</v>
      </c>
      <c r="B67" s="138" t="s">
        <v>394</v>
      </c>
      <c r="C67" s="122"/>
      <c r="D67" s="238"/>
      <c r="E67" s="238"/>
      <c r="F67" s="238"/>
      <c r="G67" s="134"/>
      <c r="H67" s="134"/>
      <c r="I67" s="134"/>
      <c r="J67" s="134">
        <f>J65*J66</f>
        <v>720</v>
      </c>
      <c r="K67" s="134">
        <f t="shared" ref="K67:P67" si="45">K65*K66</f>
        <v>1196.0000000000002</v>
      </c>
      <c r="L67" s="134">
        <f t="shared" si="45"/>
        <v>1672.0000000000005</v>
      </c>
      <c r="M67" s="134">
        <f t="shared" si="45"/>
        <v>2148</v>
      </c>
      <c r="N67" s="134">
        <f t="shared" si="45"/>
        <v>2624.0000000000005</v>
      </c>
      <c r="O67" s="134">
        <f t="shared" si="45"/>
        <v>3100</v>
      </c>
      <c r="P67" s="134">
        <f t="shared" si="45"/>
        <v>3576</v>
      </c>
    </row>
    <row r="68" spans="1:23" outlineLevel="1">
      <c r="A68" s="174" t="s">
        <v>1331</v>
      </c>
      <c r="B68" s="229" t="s">
        <v>1267</v>
      </c>
      <c r="C68" s="121"/>
      <c r="D68" s="134"/>
      <c r="E68" s="134"/>
      <c r="F68" s="134"/>
      <c r="G68" s="134"/>
      <c r="H68" s="134"/>
      <c r="I68" s="134"/>
      <c r="J68" s="136">
        <f>60000*500/1000</f>
        <v>30000</v>
      </c>
      <c r="K68" s="136">
        <f t="shared" ref="K68:P68" si="46">60000*500/1000</f>
        <v>30000</v>
      </c>
      <c r="L68" s="136">
        <f t="shared" si="46"/>
        <v>30000</v>
      </c>
      <c r="M68" s="136">
        <f t="shared" si="46"/>
        <v>30000</v>
      </c>
      <c r="N68" s="136">
        <f t="shared" si="46"/>
        <v>30000</v>
      </c>
      <c r="O68" s="136">
        <f t="shared" si="46"/>
        <v>30000</v>
      </c>
      <c r="P68" s="136">
        <f t="shared" si="46"/>
        <v>30000</v>
      </c>
    </row>
    <row r="69" spans="1:23" outlineLevel="1">
      <c r="A69" s="174" t="s">
        <v>1302</v>
      </c>
      <c r="B69" s="229" t="s">
        <v>1267</v>
      </c>
      <c r="C69" s="121"/>
      <c r="D69" s="134"/>
      <c r="E69" s="134"/>
      <c r="F69" s="134"/>
      <c r="G69" s="134"/>
      <c r="H69" s="134"/>
      <c r="I69" s="134"/>
      <c r="J69" s="134">
        <f>J67*J68</f>
        <v>21600000</v>
      </c>
      <c r="K69" s="134">
        <f t="shared" ref="K69:P69" si="47">K67*K68</f>
        <v>35880000.000000007</v>
      </c>
      <c r="L69" s="134">
        <f t="shared" si="47"/>
        <v>50160000.000000015</v>
      </c>
      <c r="M69" s="134">
        <f t="shared" si="47"/>
        <v>64440000</v>
      </c>
      <c r="N69" s="134">
        <f t="shared" si="47"/>
        <v>78720000.000000015</v>
      </c>
      <c r="O69" s="134">
        <f t="shared" si="47"/>
        <v>93000000</v>
      </c>
      <c r="P69" s="134">
        <f t="shared" si="47"/>
        <v>107280000</v>
      </c>
    </row>
    <row r="70" spans="1:23" outlineLevel="1">
      <c r="A70" s="174" t="s">
        <v>1048</v>
      </c>
      <c r="B70" s="229" t="s">
        <v>231</v>
      </c>
      <c r="C70" s="121"/>
      <c r="D70" s="254"/>
      <c r="E70" s="254"/>
      <c r="F70" s="254"/>
      <c r="G70" s="134"/>
      <c r="H70" s="134"/>
      <c r="I70" s="134"/>
      <c r="J70" s="137">
        <v>0.27</v>
      </c>
      <c r="K70" s="137">
        <f>J70-0.25%</f>
        <v>0.26750000000000002</v>
      </c>
      <c r="L70" s="137">
        <f t="shared" ref="L70:P70" si="48">K70-0.25%</f>
        <v>0.26500000000000001</v>
      </c>
      <c r="M70" s="137">
        <f t="shared" si="48"/>
        <v>0.26250000000000001</v>
      </c>
      <c r="N70" s="137">
        <f t="shared" si="48"/>
        <v>0.26</v>
      </c>
      <c r="O70" s="137">
        <f t="shared" si="48"/>
        <v>0.25750000000000001</v>
      </c>
      <c r="P70" s="137">
        <f t="shared" si="48"/>
        <v>0.255</v>
      </c>
    </row>
    <row r="71" spans="1:23" outlineLevel="1">
      <c r="A71" s="174" t="s">
        <v>1306</v>
      </c>
      <c r="B71" s="229" t="s">
        <v>1284</v>
      </c>
      <c r="C71" s="121"/>
      <c r="D71" s="254"/>
      <c r="E71" s="254"/>
      <c r="F71" s="254"/>
      <c r="G71" s="134"/>
      <c r="H71" s="134"/>
      <c r="I71" s="134"/>
      <c r="J71" s="136">
        <v>24</v>
      </c>
      <c r="K71" s="136">
        <v>24</v>
      </c>
      <c r="L71" s="136">
        <v>24</v>
      </c>
      <c r="M71" s="136">
        <v>24</v>
      </c>
      <c r="N71" s="136">
        <v>24</v>
      </c>
      <c r="O71" s="136">
        <v>24</v>
      </c>
      <c r="P71" s="136">
        <v>24</v>
      </c>
    </row>
    <row r="72" spans="1:23" outlineLevel="1">
      <c r="A72" s="133" t="s">
        <v>1311</v>
      </c>
      <c r="B72" s="121"/>
      <c r="C72" s="121"/>
      <c r="D72" s="134"/>
      <c r="E72" s="134"/>
      <c r="F72" s="134"/>
      <c r="G72" s="134"/>
      <c r="H72" s="134"/>
      <c r="I72" s="134"/>
    </row>
    <row r="73" spans="1:23" outlineLevel="1">
      <c r="A73" s="174" t="s">
        <v>1315</v>
      </c>
      <c r="B73" s="229" t="s">
        <v>1267</v>
      </c>
      <c r="C73" s="121"/>
      <c r="G73" s="134"/>
      <c r="H73" s="134"/>
      <c r="I73" s="134"/>
      <c r="J73" s="134">
        <f t="shared" ref="J73:P73" si="49">I81</f>
        <v>0</v>
      </c>
      <c r="K73" s="134">
        <f>J81</f>
        <v>15300000</v>
      </c>
      <c r="L73" s="134">
        <f t="shared" si="49"/>
        <v>40251750.000000007</v>
      </c>
      <c r="M73" s="134">
        <f t="shared" si="49"/>
        <v>68296490.62500003</v>
      </c>
      <c r="N73" s="134">
        <f t="shared" si="49"/>
        <v>98313012.77343753</v>
      </c>
      <c r="O73" s="134">
        <f t="shared" si="49"/>
        <v>129586545.64306647</v>
      </c>
      <c r="P73" s="134">
        <f t="shared" si="49"/>
        <v>161661422.84745488</v>
      </c>
    </row>
    <row r="74" spans="1:23" outlineLevel="1">
      <c r="A74" s="174" t="s">
        <v>1333</v>
      </c>
      <c r="B74" s="229" t="s">
        <v>231</v>
      </c>
      <c r="C74" s="121"/>
      <c r="G74" s="134"/>
      <c r="H74" s="134"/>
      <c r="I74" s="134"/>
      <c r="J74" s="238">
        <f>(1/J71)*6</f>
        <v>0.25</v>
      </c>
      <c r="K74" s="238">
        <f t="shared" ref="K74:P74" si="50">(1/K71)*6</f>
        <v>0.25</v>
      </c>
      <c r="L74" s="238">
        <f t="shared" si="50"/>
        <v>0.25</v>
      </c>
      <c r="M74" s="238">
        <f t="shared" si="50"/>
        <v>0.25</v>
      </c>
      <c r="N74" s="238">
        <f t="shared" si="50"/>
        <v>0.25</v>
      </c>
      <c r="O74" s="238">
        <f t="shared" si="50"/>
        <v>0.25</v>
      </c>
      <c r="P74" s="238">
        <f t="shared" si="50"/>
        <v>0.25</v>
      </c>
    </row>
    <row r="75" spans="1:23" outlineLevel="1">
      <c r="A75" s="174" t="s">
        <v>1332</v>
      </c>
      <c r="B75" s="229" t="s">
        <v>1267</v>
      </c>
      <c r="C75" s="121"/>
      <c r="G75" s="134"/>
      <c r="H75" s="134"/>
      <c r="I75" s="134"/>
      <c r="J75" s="161">
        <f>J69/6</f>
        <v>3600000</v>
      </c>
      <c r="K75" s="161">
        <f t="shared" ref="K75:P75" si="51">K73*K74</f>
        <v>3825000</v>
      </c>
      <c r="L75" s="161">
        <f t="shared" si="51"/>
        <v>10062937.500000002</v>
      </c>
      <c r="M75" s="161">
        <f t="shared" si="51"/>
        <v>17074122.656250007</v>
      </c>
      <c r="N75" s="161">
        <f t="shared" si="51"/>
        <v>24578253.193359382</v>
      </c>
      <c r="O75" s="161">
        <f t="shared" si="51"/>
        <v>32396636.410766616</v>
      </c>
      <c r="P75" s="161">
        <f t="shared" si="51"/>
        <v>40415355.711863719</v>
      </c>
    </row>
    <row r="76" spans="1:23" outlineLevel="1">
      <c r="A76" s="174" t="s">
        <v>1314</v>
      </c>
      <c r="B76" s="229" t="s">
        <v>1267</v>
      </c>
      <c r="C76" s="121"/>
      <c r="G76" s="134"/>
      <c r="H76" s="134"/>
      <c r="I76" s="134"/>
      <c r="J76" s="225">
        <f>J73-J75+J69</f>
        <v>18000000</v>
      </c>
      <c r="K76" s="225">
        <f t="shared" ref="K76:P76" si="52">K73-K75+K69</f>
        <v>47355000.000000007</v>
      </c>
      <c r="L76" s="225">
        <f t="shared" si="52"/>
        <v>80348812.50000003</v>
      </c>
      <c r="M76" s="225">
        <f t="shared" si="52"/>
        <v>115662367.96875003</v>
      </c>
      <c r="N76" s="225">
        <f t="shared" si="52"/>
        <v>152454759.58007818</v>
      </c>
      <c r="O76" s="225">
        <f t="shared" si="52"/>
        <v>190189909.23229986</v>
      </c>
      <c r="P76" s="225">
        <f t="shared" si="52"/>
        <v>228526067.13559115</v>
      </c>
    </row>
    <row r="77" spans="1:23" outlineLevel="1">
      <c r="A77" s="181" t="s">
        <v>1313</v>
      </c>
      <c r="B77" s="229" t="s">
        <v>231</v>
      </c>
      <c r="C77" s="121"/>
      <c r="G77" s="134"/>
      <c r="H77" s="134"/>
      <c r="I77" s="134"/>
      <c r="J77" s="137">
        <f t="shared" ref="J77:L77" si="53">I77*(1-10%)</f>
        <v>0</v>
      </c>
      <c r="K77" s="137">
        <f t="shared" si="53"/>
        <v>0</v>
      </c>
      <c r="L77" s="137">
        <f t="shared" si="53"/>
        <v>0</v>
      </c>
      <c r="M77" s="137">
        <v>0.12</v>
      </c>
      <c r="N77" s="137">
        <v>0.12</v>
      </c>
      <c r="O77" s="137">
        <v>0.12</v>
      </c>
      <c r="P77" s="137">
        <v>0.12</v>
      </c>
    </row>
    <row r="78" spans="1:23" outlineLevel="1">
      <c r="A78" s="181" t="s">
        <v>1312</v>
      </c>
      <c r="B78" s="229" t="s">
        <v>1267</v>
      </c>
      <c r="C78" s="121"/>
      <c r="G78" s="134"/>
      <c r="H78" s="134"/>
      <c r="I78" s="134"/>
      <c r="J78" s="225">
        <f t="shared" ref="J78:P78" si="54">J75*J77</f>
        <v>0</v>
      </c>
      <c r="K78" s="225">
        <f t="shared" si="54"/>
        <v>0</v>
      </c>
      <c r="L78" s="225">
        <f t="shared" si="54"/>
        <v>0</v>
      </c>
      <c r="M78" s="225">
        <f t="shared" si="54"/>
        <v>2048894.7187500009</v>
      </c>
      <c r="N78" s="225">
        <f t="shared" si="54"/>
        <v>2949390.3832031256</v>
      </c>
      <c r="O78" s="225">
        <f t="shared" si="54"/>
        <v>3887596.3692919938</v>
      </c>
      <c r="P78" s="225">
        <f t="shared" si="54"/>
        <v>4849842.6854236461</v>
      </c>
    </row>
    <row r="79" spans="1:23" outlineLevel="1">
      <c r="A79" s="181" t="s">
        <v>1334</v>
      </c>
      <c r="B79" s="229" t="s">
        <v>231</v>
      </c>
      <c r="C79" s="121"/>
      <c r="G79" s="134"/>
      <c r="H79" s="134"/>
      <c r="I79" s="134"/>
      <c r="J79" s="137">
        <v>0.15</v>
      </c>
      <c r="K79" s="137">
        <v>0.15</v>
      </c>
      <c r="L79" s="137">
        <v>0.15</v>
      </c>
      <c r="M79" s="137">
        <v>0.15</v>
      </c>
      <c r="N79" s="137">
        <v>0.15</v>
      </c>
      <c r="O79" s="137">
        <v>0.15</v>
      </c>
      <c r="P79" s="137">
        <v>0.15</v>
      </c>
    </row>
    <row r="80" spans="1:23" outlineLevel="1">
      <c r="A80" s="181" t="s">
        <v>1335</v>
      </c>
      <c r="B80" s="229" t="s">
        <v>1267</v>
      </c>
      <c r="C80" s="121"/>
      <c r="G80" s="134"/>
      <c r="H80" s="134"/>
      <c r="I80" s="134"/>
      <c r="J80" s="225">
        <f t="shared" ref="J80:P80" si="55">J76*J79</f>
        <v>2700000</v>
      </c>
      <c r="K80" s="225">
        <f t="shared" si="55"/>
        <v>7103250.0000000009</v>
      </c>
      <c r="L80" s="225">
        <f t="shared" si="55"/>
        <v>12052321.875000004</v>
      </c>
      <c r="M80" s="225">
        <f t="shared" si="55"/>
        <v>17349355.195312504</v>
      </c>
      <c r="N80" s="225">
        <f t="shared" si="55"/>
        <v>22868213.937011726</v>
      </c>
      <c r="O80" s="225">
        <f t="shared" si="55"/>
        <v>28528486.384844977</v>
      </c>
      <c r="P80" s="225">
        <f t="shared" si="55"/>
        <v>34278910.070338674</v>
      </c>
    </row>
    <row r="81" spans="1:16" outlineLevel="1">
      <c r="A81" s="174" t="s">
        <v>1336</v>
      </c>
      <c r="B81" s="229" t="s">
        <v>1267</v>
      </c>
      <c r="C81" s="121"/>
      <c r="G81" s="134"/>
      <c r="H81" s="134"/>
      <c r="I81" s="134"/>
      <c r="J81" s="225">
        <f>J76-J80</f>
        <v>15300000</v>
      </c>
      <c r="K81" s="225">
        <f t="shared" ref="K81:P81" si="56">K76-K80</f>
        <v>40251750.000000007</v>
      </c>
      <c r="L81" s="225">
        <f t="shared" si="56"/>
        <v>68296490.62500003</v>
      </c>
      <c r="M81" s="225">
        <f t="shared" si="56"/>
        <v>98313012.77343753</v>
      </c>
      <c r="N81" s="225">
        <f t="shared" si="56"/>
        <v>129586545.64306647</v>
      </c>
      <c r="O81" s="225">
        <f t="shared" si="56"/>
        <v>161661422.84745488</v>
      </c>
      <c r="P81" s="225">
        <f t="shared" si="56"/>
        <v>194247157.06525248</v>
      </c>
    </row>
    <row r="82" spans="1:16" outlineLevel="1">
      <c r="A82" s="174" t="s">
        <v>1317</v>
      </c>
      <c r="B82" s="229" t="s">
        <v>1267</v>
      </c>
      <c r="C82" s="121"/>
      <c r="G82" s="134"/>
      <c r="H82" s="134"/>
      <c r="I82" s="134"/>
      <c r="J82" s="225">
        <f t="shared" ref="J82:P82" si="57">AVERAGE(I81:J81)</f>
        <v>15300000</v>
      </c>
      <c r="K82" s="225">
        <f t="shared" si="57"/>
        <v>27775875.000000004</v>
      </c>
      <c r="L82" s="225">
        <f t="shared" si="57"/>
        <v>54274120.312500015</v>
      </c>
      <c r="M82" s="225">
        <f t="shared" si="57"/>
        <v>83304751.69921878</v>
      </c>
      <c r="N82" s="225">
        <f t="shared" si="57"/>
        <v>113949779.208252</v>
      </c>
      <c r="O82" s="225">
        <f t="shared" si="57"/>
        <v>145623984.24526066</v>
      </c>
      <c r="P82" s="225">
        <f t="shared" si="57"/>
        <v>177954289.95635366</v>
      </c>
    </row>
    <row r="83" spans="1:16" outlineLevel="1">
      <c r="A83" s="174" t="s">
        <v>1317</v>
      </c>
      <c r="B83" s="229" t="s">
        <v>803</v>
      </c>
      <c r="C83" s="121"/>
      <c r="G83" s="134"/>
      <c r="H83" s="134"/>
      <c r="I83" s="134"/>
      <c r="J83" s="225">
        <f>J82/AVERAGE('Funnel QH'!I30:J30)</f>
        <v>30600</v>
      </c>
      <c r="K83" s="225">
        <f>K82/AVERAGE('Funnel QH'!J30:K30)</f>
        <v>55551.750000000007</v>
      </c>
      <c r="L83" s="225">
        <f>L82/AVERAGE('Funnel QH'!K30:L30)</f>
        <v>108548.24062500003</v>
      </c>
      <c r="M83" s="225">
        <f>M82/AVERAGE('Funnel QH'!L30:M30)</f>
        <v>166609.50339843755</v>
      </c>
      <c r="N83" s="225">
        <f>N82/AVERAGE('Funnel QH'!M30:N30)</f>
        <v>227899.55841650401</v>
      </c>
      <c r="O83" s="225">
        <f>O82/AVERAGE('Funnel QH'!N30:O30)</f>
        <v>291247.96849052131</v>
      </c>
      <c r="P83" s="225">
        <f>P82/AVERAGE('Funnel QH'!O30:P30)</f>
        <v>355908.57991270733</v>
      </c>
    </row>
    <row r="84" spans="1:16" outlineLevel="1">
      <c r="A84" s="133" t="s">
        <v>1322</v>
      </c>
      <c r="B84" s="121"/>
      <c r="C84" s="121"/>
      <c r="G84" s="134"/>
      <c r="H84" s="134"/>
      <c r="I84" s="134"/>
    </row>
    <row r="85" spans="1:16" outlineLevel="1">
      <c r="A85" s="174" t="s">
        <v>1318</v>
      </c>
      <c r="B85" s="229" t="s">
        <v>231</v>
      </c>
      <c r="C85" s="121"/>
      <c r="G85" s="134"/>
      <c r="H85" s="134"/>
      <c r="I85" s="134"/>
      <c r="J85" s="255">
        <f>J70</f>
        <v>0.27</v>
      </c>
      <c r="K85" s="255">
        <f t="shared" ref="K85:P85" si="58">J86</f>
        <v>0.27</v>
      </c>
      <c r="L85" s="255">
        <f t="shared" si="58"/>
        <v>0.26824736225087925</v>
      </c>
      <c r="M85" s="255">
        <f t="shared" si="58"/>
        <v>0.26644574143827349</v>
      </c>
      <c r="N85" s="255">
        <f t="shared" si="58"/>
        <v>0.26453018997925026</v>
      </c>
      <c r="O85" s="255">
        <f t="shared" si="58"/>
        <v>0.26251578289449384</v>
      </c>
      <c r="P85" s="255">
        <f t="shared" si="58"/>
        <v>0.2604201135096248</v>
      </c>
    </row>
    <row r="86" spans="1:16" outlineLevel="1">
      <c r="A86" s="174" t="s">
        <v>1319</v>
      </c>
      <c r="B86" s="229" t="s">
        <v>231</v>
      </c>
      <c r="C86" s="121"/>
      <c r="G86" s="134"/>
      <c r="H86" s="134"/>
      <c r="I86" s="134"/>
      <c r="J86" s="255">
        <f t="shared" ref="J86:P86" si="59">(J73*J85+J69*J70)/(J73+J69)</f>
        <v>0.27</v>
      </c>
      <c r="K86" s="255">
        <f t="shared" si="59"/>
        <v>0.26824736225087925</v>
      </c>
      <c r="L86" s="255">
        <f t="shared" si="59"/>
        <v>0.26644574143827349</v>
      </c>
      <c r="M86" s="255">
        <f t="shared" si="59"/>
        <v>0.26453018997925026</v>
      </c>
      <c r="N86" s="255">
        <f t="shared" si="59"/>
        <v>0.26251578289449384</v>
      </c>
      <c r="O86" s="255">
        <f t="shared" si="59"/>
        <v>0.2604201135096248</v>
      </c>
      <c r="P86" s="255">
        <f t="shared" si="59"/>
        <v>0.25825804501472299</v>
      </c>
    </row>
    <row r="87" spans="1:16" outlineLevel="1">
      <c r="A87" s="174" t="s">
        <v>1320</v>
      </c>
      <c r="B87" s="229" t="s">
        <v>231</v>
      </c>
      <c r="C87" s="121"/>
      <c r="G87" s="134"/>
      <c r="H87" s="134"/>
      <c r="I87" s="134"/>
      <c r="J87" s="137">
        <v>0.16</v>
      </c>
      <c r="K87" s="137">
        <v>0.16</v>
      </c>
      <c r="L87" s="137">
        <v>0.16</v>
      </c>
      <c r="M87" s="137">
        <v>0.16</v>
      </c>
      <c r="N87" s="137">
        <v>0.16</v>
      </c>
      <c r="O87" s="137">
        <v>0.16</v>
      </c>
      <c r="P87" s="137">
        <v>0.16</v>
      </c>
    </row>
    <row r="88" spans="1:16" outlineLevel="1">
      <c r="A88" s="133" t="s">
        <v>1323</v>
      </c>
      <c r="B88" s="229"/>
      <c r="C88" s="121"/>
      <c r="G88" s="134"/>
      <c r="H88" s="134"/>
      <c r="I88" s="134"/>
    </row>
    <row r="89" spans="1:16" outlineLevel="1">
      <c r="A89" s="174" t="s">
        <v>1321</v>
      </c>
      <c r="B89" s="229" t="s">
        <v>1267</v>
      </c>
      <c r="C89" s="121"/>
      <c r="G89" s="134"/>
      <c r="H89" s="134"/>
      <c r="I89" s="134"/>
      <c r="J89" s="161">
        <f t="shared" ref="J89:P89" si="60">I91</f>
        <v>0</v>
      </c>
      <c r="K89" s="161">
        <f t="shared" si="60"/>
        <v>1800000</v>
      </c>
      <c r="L89" s="161">
        <f t="shared" si="60"/>
        <v>4735500.0000000009</v>
      </c>
      <c r="M89" s="161">
        <f t="shared" si="60"/>
        <v>8034881.2500000037</v>
      </c>
      <c r="N89" s="161">
        <f t="shared" si="60"/>
        <v>11566236.796875004</v>
      </c>
      <c r="O89" s="161">
        <f t="shared" si="60"/>
        <v>15245475.95800782</v>
      </c>
      <c r="P89" s="161">
        <f t="shared" si="60"/>
        <v>19018990.923229989</v>
      </c>
    </row>
    <row r="90" spans="1:16" outlineLevel="1">
      <c r="A90" s="174" t="s">
        <v>1326</v>
      </c>
      <c r="B90" s="121" t="s">
        <v>231</v>
      </c>
      <c r="C90" s="121"/>
      <c r="G90" s="134"/>
      <c r="H90" s="134"/>
      <c r="I90" s="134"/>
      <c r="J90" s="235">
        <v>0.1</v>
      </c>
      <c r="K90" s="235">
        <v>0.1</v>
      </c>
      <c r="L90" s="235">
        <v>0.1</v>
      </c>
      <c r="M90" s="235">
        <v>0.1</v>
      </c>
      <c r="N90" s="235">
        <v>0.1</v>
      </c>
      <c r="O90" s="235">
        <v>0.1</v>
      </c>
      <c r="P90" s="235">
        <v>0.1</v>
      </c>
    </row>
    <row r="91" spans="1:16" outlineLevel="1">
      <c r="A91" s="174" t="s">
        <v>1324</v>
      </c>
      <c r="B91" s="229" t="s">
        <v>1267</v>
      </c>
      <c r="C91" s="121"/>
      <c r="G91" s="134"/>
      <c r="H91" s="134"/>
      <c r="I91" s="134"/>
      <c r="J91" s="256">
        <f t="shared" ref="J91:P91" si="61">J76*J90</f>
        <v>1800000</v>
      </c>
      <c r="K91" s="256">
        <f t="shared" si="61"/>
        <v>4735500.0000000009</v>
      </c>
      <c r="L91" s="256">
        <f t="shared" si="61"/>
        <v>8034881.2500000037</v>
      </c>
      <c r="M91" s="256">
        <f t="shared" si="61"/>
        <v>11566236.796875004</v>
      </c>
      <c r="N91" s="256">
        <f t="shared" si="61"/>
        <v>15245475.95800782</v>
      </c>
      <c r="O91" s="256">
        <f t="shared" si="61"/>
        <v>19018990.923229989</v>
      </c>
      <c r="P91" s="256">
        <f t="shared" si="61"/>
        <v>22852606.713559117</v>
      </c>
    </row>
    <row r="92" spans="1:16" outlineLevel="1">
      <c r="A92" s="174" t="s">
        <v>1325</v>
      </c>
      <c r="B92" s="229" t="s">
        <v>231</v>
      </c>
      <c r="C92" s="121"/>
      <c r="G92" s="134"/>
      <c r="H92" s="134"/>
      <c r="I92" s="134"/>
      <c r="J92" s="257"/>
      <c r="K92" s="257"/>
      <c r="L92" s="257"/>
      <c r="M92" s="257"/>
      <c r="N92" s="257"/>
      <c r="O92" s="257"/>
      <c r="P92" s="257"/>
    </row>
    <row r="93" spans="1:16" outlineLevel="1">
      <c r="A93" s="133" t="s">
        <v>1288</v>
      </c>
      <c r="B93" s="229"/>
      <c r="C93" s="121"/>
      <c r="G93" s="134"/>
      <c r="H93" s="134"/>
      <c r="I93" s="134"/>
    </row>
    <row r="94" spans="1:16" outlineLevel="1">
      <c r="A94" s="174" t="s">
        <v>861</v>
      </c>
      <c r="B94" s="229" t="s">
        <v>1267</v>
      </c>
      <c r="C94" s="121"/>
      <c r="G94" s="134"/>
      <c r="H94" s="134"/>
      <c r="I94" s="134"/>
      <c r="J94" s="256">
        <f t="shared" ref="J94:P94" si="62">J82*J86/2</f>
        <v>2065500.0000000002</v>
      </c>
      <c r="K94" s="256">
        <f t="shared" si="62"/>
        <v>3725402.601480071</v>
      </c>
      <c r="L94" s="256">
        <f t="shared" si="62"/>
        <v>7230554.1137870634</v>
      </c>
      <c r="M94" s="256">
        <f t="shared" si="62"/>
        <v>11018310.896584308</v>
      </c>
      <c r="N94" s="256">
        <f t="shared" si="62"/>
        <v>14956807.749754496</v>
      </c>
      <c r="O94" s="256">
        <f t="shared" si="62"/>
        <v>18961707.253437296</v>
      </c>
      <c r="P94" s="256">
        <f t="shared" si="62"/>
        <v>22979063.513055526</v>
      </c>
    </row>
    <row r="95" spans="1:16" outlineLevel="1">
      <c r="A95" s="174" t="s">
        <v>867</v>
      </c>
      <c r="B95" s="229" t="s">
        <v>1267</v>
      </c>
      <c r="C95" s="121"/>
      <c r="G95" s="134"/>
      <c r="H95" s="134"/>
      <c r="I95" s="134"/>
      <c r="J95" s="256">
        <f t="shared" ref="J95:P95" si="63">-J82*J87/2</f>
        <v>-1224000</v>
      </c>
      <c r="K95" s="256">
        <f t="shared" si="63"/>
        <v>-2222070.0000000005</v>
      </c>
      <c r="L95" s="256">
        <f t="shared" si="63"/>
        <v>-4341929.6250000009</v>
      </c>
      <c r="M95" s="256">
        <f t="shared" si="63"/>
        <v>-6664380.1359375026</v>
      </c>
      <c r="N95" s="256">
        <f t="shared" si="63"/>
        <v>-9115982.3366601598</v>
      </c>
      <c r="O95" s="256">
        <f t="shared" si="63"/>
        <v>-11649918.739620853</v>
      </c>
      <c r="P95" s="256">
        <f t="shared" si="63"/>
        <v>-14236343.196508294</v>
      </c>
    </row>
    <row r="96" spans="1:16" outlineLevel="1">
      <c r="A96" s="183" t="s">
        <v>232</v>
      </c>
      <c r="B96" s="229" t="s">
        <v>1267</v>
      </c>
      <c r="C96" s="121"/>
      <c r="G96" s="134"/>
      <c r="H96" s="134"/>
      <c r="I96" s="134"/>
      <c r="J96" s="259">
        <f t="shared" ref="J96:P96" si="64">SUM(J94:J95)</f>
        <v>841500.00000000023</v>
      </c>
      <c r="K96" s="259">
        <f t="shared" si="64"/>
        <v>1503332.6014800705</v>
      </c>
      <c r="L96" s="259">
        <f t="shared" si="64"/>
        <v>2888624.4887870625</v>
      </c>
      <c r="M96" s="259">
        <f t="shared" si="64"/>
        <v>4353930.7606468052</v>
      </c>
      <c r="N96" s="259">
        <f t="shared" si="64"/>
        <v>5840825.4130943362</v>
      </c>
      <c r="O96" s="259">
        <f t="shared" si="64"/>
        <v>7311788.5138164423</v>
      </c>
      <c r="P96" s="259">
        <f t="shared" si="64"/>
        <v>8742720.3165472317</v>
      </c>
    </row>
    <row r="97" spans="1:16" outlineLevel="1">
      <c r="A97" s="183" t="s">
        <v>233</v>
      </c>
      <c r="B97" s="253" t="s">
        <v>231</v>
      </c>
      <c r="C97" s="121"/>
      <c r="G97" s="134"/>
      <c r="H97" s="134"/>
      <c r="I97" s="134"/>
      <c r="J97" s="128">
        <f t="shared" ref="J97:P97" si="65">J96*2/J82</f>
        <v>0.11000000000000003</v>
      </c>
      <c r="K97" s="128">
        <f t="shared" si="65"/>
        <v>0.10824736225087925</v>
      </c>
      <c r="L97" s="128">
        <f t="shared" si="65"/>
        <v>0.10644574143827351</v>
      </c>
      <c r="M97" s="128">
        <f t="shared" si="65"/>
        <v>0.10453018997925026</v>
      </c>
      <c r="N97" s="128">
        <f t="shared" si="65"/>
        <v>0.10251578289449385</v>
      </c>
      <c r="O97" s="128">
        <f t="shared" si="65"/>
        <v>0.10042011350962478</v>
      </c>
      <c r="P97" s="128">
        <f t="shared" si="65"/>
        <v>9.8258045014722975E-2</v>
      </c>
    </row>
    <row r="98" spans="1:16" outlineLevel="1">
      <c r="A98" s="174" t="s">
        <v>873</v>
      </c>
      <c r="B98" s="229" t="s">
        <v>1267</v>
      </c>
      <c r="C98" s="121"/>
      <c r="G98" s="134"/>
      <c r="H98" s="134"/>
      <c r="I98" s="134"/>
      <c r="J98" s="161">
        <f>-(J91-J89)</f>
        <v>-1800000</v>
      </c>
      <c r="K98" s="161">
        <f t="shared" ref="K98:P98" si="66">-(K91-K89)</f>
        <v>-2935500.0000000009</v>
      </c>
      <c r="L98" s="161">
        <f t="shared" si="66"/>
        <v>-3299381.2500000028</v>
      </c>
      <c r="M98" s="161">
        <f t="shared" si="66"/>
        <v>-3531355.546875</v>
      </c>
      <c r="N98" s="161">
        <f t="shared" si="66"/>
        <v>-3679239.1611328162</v>
      </c>
      <c r="O98" s="161">
        <f t="shared" si="66"/>
        <v>-3773514.9652221687</v>
      </c>
      <c r="P98" s="161">
        <f t="shared" si="66"/>
        <v>-3833615.7903291285</v>
      </c>
    </row>
    <row r="99" spans="1:16" outlineLevel="1">
      <c r="A99" s="183" t="s">
        <v>413</v>
      </c>
      <c r="B99" s="229" t="s">
        <v>231</v>
      </c>
      <c r="C99" s="121"/>
      <c r="G99" s="134"/>
      <c r="H99" s="134"/>
      <c r="I99" s="134"/>
      <c r="J99" s="255">
        <f t="shared" ref="J99:P99" si="67">-J98/J82</f>
        <v>0.11764705882352941</v>
      </c>
      <c r="K99" s="255">
        <f t="shared" si="67"/>
        <v>0.10568523943890158</v>
      </c>
      <c r="L99" s="255">
        <f t="shared" si="67"/>
        <v>6.079105899833652E-2</v>
      </c>
      <c r="M99" s="255">
        <f t="shared" si="67"/>
        <v>4.2390805744495323E-2</v>
      </c>
      <c r="N99" s="255">
        <f t="shared" si="67"/>
        <v>3.2288251778081319E-2</v>
      </c>
      <c r="O99" s="255">
        <f t="shared" si="67"/>
        <v>2.5912729862319902E-2</v>
      </c>
      <c r="P99" s="255">
        <f t="shared" si="67"/>
        <v>2.154269948349876E-2</v>
      </c>
    </row>
    <row r="100" spans="1:16" outlineLevel="1">
      <c r="A100" s="183" t="s">
        <v>414</v>
      </c>
      <c r="B100" s="229" t="s">
        <v>1267</v>
      </c>
      <c r="C100" s="121"/>
      <c r="G100" s="134"/>
      <c r="H100" s="134"/>
      <c r="I100" s="134"/>
      <c r="J100" s="175">
        <f>J96+J98</f>
        <v>-958499.99999999977</v>
      </c>
      <c r="K100" s="175">
        <f>K96+K98</f>
        <v>-1432167.3985199304</v>
      </c>
      <c r="L100" s="175">
        <f t="shared" ref="L100:P100" si="68">L96+L98</f>
        <v>-410756.76121294033</v>
      </c>
      <c r="M100" s="175">
        <f t="shared" si="68"/>
        <v>822575.21377180517</v>
      </c>
      <c r="N100" s="175">
        <f t="shared" si="68"/>
        <v>2161586.2519615199</v>
      </c>
      <c r="O100" s="175">
        <f t="shared" si="68"/>
        <v>3538273.5485942736</v>
      </c>
      <c r="P100" s="175">
        <f t="shared" si="68"/>
        <v>4909104.5262181032</v>
      </c>
    </row>
    <row r="101" spans="1:16" outlineLevel="1">
      <c r="A101" s="174" t="s">
        <v>863</v>
      </c>
      <c r="B101" s="229" t="s">
        <v>231</v>
      </c>
      <c r="C101" s="121"/>
      <c r="G101" s="134"/>
      <c r="H101" s="134"/>
      <c r="I101" s="134"/>
      <c r="J101" s="137"/>
      <c r="K101" s="137"/>
      <c r="L101" s="137"/>
      <c r="M101" s="137"/>
      <c r="N101" s="137"/>
      <c r="O101" s="137"/>
      <c r="P101" s="137"/>
    </row>
    <row r="102" spans="1:16" outlineLevel="1">
      <c r="A102" s="174" t="s">
        <v>863</v>
      </c>
      <c r="B102" s="229" t="s">
        <v>1267</v>
      </c>
      <c r="C102" s="121"/>
      <c r="G102" s="134"/>
      <c r="H102" s="134"/>
      <c r="I102" s="134"/>
      <c r="J102" s="161">
        <f t="shared" ref="J102:P102" si="69">J69*J101</f>
        <v>0</v>
      </c>
      <c r="K102" s="161">
        <f t="shared" si="69"/>
        <v>0</v>
      </c>
      <c r="L102" s="161">
        <f t="shared" si="69"/>
        <v>0</v>
      </c>
      <c r="M102" s="161">
        <f t="shared" si="69"/>
        <v>0</v>
      </c>
      <c r="N102" s="161">
        <f t="shared" si="69"/>
        <v>0</v>
      </c>
      <c r="O102" s="161">
        <f t="shared" si="69"/>
        <v>0</v>
      </c>
      <c r="P102" s="161">
        <f t="shared" si="69"/>
        <v>0</v>
      </c>
    </row>
    <row r="103" spans="1:16" outlineLevel="1">
      <c r="A103" s="183" t="s">
        <v>237</v>
      </c>
      <c r="B103" s="229" t="s">
        <v>1267</v>
      </c>
      <c r="C103" s="121"/>
      <c r="G103" s="134"/>
      <c r="H103" s="134"/>
      <c r="I103" s="134"/>
      <c r="J103" s="175">
        <f t="shared" ref="J103:P103" si="70">J100+J102</f>
        <v>-958499.99999999977</v>
      </c>
      <c r="K103" s="175">
        <f t="shared" si="70"/>
        <v>-1432167.3985199304</v>
      </c>
      <c r="L103" s="175">
        <f t="shared" si="70"/>
        <v>-410756.76121294033</v>
      </c>
      <c r="M103" s="175">
        <f t="shared" si="70"/>
        <v>822575.21377180517</v>
      </c>
      <c r="N103" s="175">
        <f t="shared" si="70"/>
        <v>2161586.2519615199</v>
      </c>
      <c r="O103" s="175">
        <f t="shared" si="70"/>
        <v>3538273.5485942736</v>
      </c>
      <c r="P103" s="175">
        <f t="shared" si="70"/>
        <v>4909104.5262181032</v>
      </c>
    </row>
    <row r="104" spans="1:16" outlineLevel="1">
      <c r="A104" s="174" t="s">
        <v>1327</v>
      </c>
      <c r="B104" s="229" t="s">
        <v>1267</v>
      </c>
      <c r="C104" s="121"/>
      <c r="G104" s="134"/>
      <c r="H104" s="134"/>
      <c r="I104" s="134"/>
      <c r="J104" s="210">
        <v>5</v>
      </c>
      <c r="K104" s="210">
        <v>5</v>
      </c>
      <c r="L104" s="210">
        <v>5</v>
      </c>
      <c r="M104" s="210">
        <v>5</v>
      </c>
      <c r="N104" s="210">
        <v>5</v>
      </c>
      <c r="O104" s="210">
        <v>5</v>
      </c>
      <c r="P104" s="210">
        <v>5</v>
      </c>
    </row>
    <row r="105" spans="1:16" outlineLevel="1">
      <c r="A105" s="183" t="s">
        <v>417</v>
      </c>
      <c r="B105" s="229" t="s">
        <v>1267</v>
      </c>
      <c r="C105" s="121"/>
      <c r="G105" s="134"/>
      <c r="H105" s="134"/>
      <c r="I105" s="134"/>
      <c r="J105" s="161">
        <f t="shared" ref="J105:P105" si="71">-J67*J104</f>
        <v>-3600</v>
      </c>
      <c r="K105" s="161">
        <f t="shared" si="71"/>
        <v>-5980.0000000000009</v>
      </c>
      <c r="L105" s="161">
        <f t="shared" si="71"/>
        <v>-8360.0000000000018</v>
      </c>
      <c r="M105" s="161">
        <f t="shared" si="71"/>
        <v>-10740</v>
      </c>
      <c r="N105" s="161">
        <f t="shared" si="71"/>
        <v>-13120.000000000002</v>
      </c>
      <c r="O105" s="161">
        <f t="shared" si="71"/>
        <v>-15500</v>
      </c>
      <c r="P105" s="161">
        <f t="shared" si="71"/>
        <v>-17880</v>
      </c>
    </row>
    <row r="106" spans="1:16" outlineLevel="1">
      <c r="A106" s="174" t="s">
        <v>1328</v>
      </c>
      <c r="B106" s="229" t="s">
        <v>394</v>
      </c>
      <c r="C106" s="121"/>
      <c r="G106" s="134"/>
      <c r="H106" s="134"/>
      <c r="I106" s="134"/>
      <c r="J106" s="161">
        <f t="shared" ref="J106:P106" si="72">ROUNDUP(J76/J68,0)</f>
        <v>600</v>
      </c>
      <c r="K106" s="161">
        <f t="shared" si="72"/>
        <v>1579</v>
      </c>
      <c r="L106" s="161">
        <f t="shared" si="72"/>
        <v>2679</v>
      </c>
      <c r="M106" s="161">
        <f t="shared" si="72"/>
        <v>3856</v>
      </c>
      <c r="N106" s="161">
        <f t="shared" si="72"/>
        <v>5082</v>
      </c>
      <c r="O106" s="161">
        <f t="shared" si="72"/>
        <v>6340</v>
      </c>
      <c r="P106" s="161">
        <f t="shared" si="72"/>
        <v>7618</v>
      </c>
    </row>
    <row r="107" spans="1:16" outlineLevel="1">
      <c r="A107" s="174" t="s">
        <v>1347</v>
      </c>
      <c r="B107" s="229" t="s">
        <v>1267</v>
      </c>
      <c r="C107" s="121"/>
      <c r="G107" s="134"/>
      <c r="H107" s="134"/>
      <c r="I107" s="134"/>
      <c r="J107" s="210"/>
      <c r="K107" s="210"/>
      <c r="L107" s="210"/>
      <c r="M107" s="210"/>
      <c r="N107" s="210"/>
      <c r="O107" s="210"/>
      <c r="P107" s="210"/>
    </row>
    <row r="108" spans="1:16" outlineLevel="1">
      <c r="A108" s="183" t="s">
        <v>420</v>
      </c>
      <c r="B108" s="229" t="s">
        <v>1267</v>
      </c>
      <c r="C108" s="121"/>
      <c r="G108" s="134"/>
      <c r="H108" s="134"/>
      <c r="I108" s="134"/>
      <c r="J108" s="259">
        <f t="shared" ref="J108:P108" si="73">-J106*J107</f>
        <v>0</v>
      </c>
      <c r="K108" s="259">
        <f t="shared" si="73"/>
        <v>0</v>
      </c>
      <c r="L108" s="259">
        <f t="shared" si="73"/>
        <v>0</v>
      </c>
      <c r="M108" s="259">
        <f t="shared" si="73"/>
        <v>0</v>
      </c>
      <c r="N108" s="259">
        <f t="shared" si="73"/>
        <v>0</v>
      </c>
      <c r="O108" s="259">
        <f t="shared" si="73"/>
        <v>0</v>
      </c>
      <c r="P108" s="259">
        <f t="shared" si="73"/>
        <v>0</v>
      </c>
    </row>
    <row r="109" spans="1:16" outlineLevel="1">
      <c r="A109" s="174" t="s">
        <v>1329</v>
      </c>
      <c r="B109" s="229" t="s">
        <v>1267</v>
      </c>
      <c r="C109" s="121"/>
      <c r="G109" s="134"/>
      <c r="H109" s="134"/>
      <c r="I109" s="134"/>
      <c r="J109" s="161">
        <f>J103+J105+J108</f>
        <v>-962099.99999999977</v>
      </c>
      <c r="K109" s="161">
        <f>K103+K105+K108</f>
        <v>-1438147.3985199304</v>
      </c>
      <c r="L109" s="161">
        <f t="shared" ref="L109:P109" si="74">L103+L105+L108</f>
        <v>-419116.76121294033</v>
      </c>
      <c r="M109" s="161">
        <f t="shared" si="74"/>
        <v>811835.21377180517</v>
      </c>
      <c r="N109" s="161">
        <f t="shared" si="74"/>
        <v>2148466.2519615199</v>
      </c>
      <c r="O109" s="161">
        <f t="shared" si="74"/>
        <v>3522773.5485942736</v>
      </c>
      <c r="P109" s="161">
        <f t="shared" si="74"/>
        <v>4891224.5262181032</v>
      </c>
    </row>
    <row r="110" spans="1:16" outlineLevel="1">
      <c r="A110" s="174" t="s">
        <v>1291</v>
      </c>
      <c r="B110" s="229" t="s">
        <v>1267</v>
      </c>
      <c r="C110" s="121"/>
      <c r="G110" s="134"/>
      <c r="H110" s="134"/>
      <c r="I110" s="134"/>
      <c r="J110" s="161">
        <f t="shared" ref="J110" si="75">I110+J109</f>
        <v>-962099.99999999977</v>
      </c>
      <c r="K110" s="161">
        <f>K109</f>
        <v>-1438147.3985199304</v>
      </c>
      <c r="L110" s="161">
        <f>K110+L109</f>
        <v>-1857264.1597328708</v>
      </c>
      <c r="M110" s="161">
        <f>M109</f>
        <v>811835.21377180517</v>
      </c>
      <c r="N110" s="161">
        <f>M110+N109</f>
        <v>2960301.4657333251</v>
      </c>
      <c r="O110" s="161">
        <f>O109</f>
        <v>3522773.5485942736</v>
      </c>
      <c r="P110" s="161">
        <f>O110+P109</f>
        <v>8413998.0748123769</v>
      </c>
    </row>
    <row r="111" spans="1:16" outlineLevel="1">
      <c r="A111" s="183" t="s">
        <v>236</v>
      </c>
      <c r="B111" s="253" t="s">
        <v>231</v>
      </c>
      <c r="C111" s="121"/>
      <c r="G111" s="134"/>
      <c r="H111" s="134"/>
      <c r="I111" s="134"/>
      <c r="J111" s="128">
        <f t="shared" ref="J111:P111" si="76">J109*2/J82</f>
        <v>-0.12576470588235292</v>
      </c>
      <c r="K111" s="128">
        <f t="shared" si="76"/>
        <v>-0.10355370612230436</v>
      </c>
      <c r="L111" s="128">
        <f t="shared" si="76"/>
        <v>-1.5444442352994248E-2</v>
      </c>
      <c r="M111" s="128">
        <f t="shared" si="76"/>
        <v>1.9490730053503501E-2</v>
      </c>
      <c r="N111" s="128">
        <f t="shared" si="76"/>
        <v>3.7709002455108442E-2</v>
      </c>
      <c r="O111" s="128">
        <f t="shared" si="76"/>
        <v>4.8381776763657292E-2</v>
      </c>
      <c r="P111" s="128">
        <f t="shared" si="76"/>
        <v>5.4971695567639978E-2</v>
      </c>
    </row>
    <row r="112" spans="1:16" outlineLevel="1">
      <c r="A112" s="183" t="s">
        <v>374</v>
      </c>
      <c r="B112" s="253" t="s">
        <v>231</v>
      </c>
      <c r="C112" s="121"/>
      <c r="G112" s="134"/>
      <c r="H112" s="134"/>
      <c r="I112" s="134"/>
      <c r="J112" s="128">
        <f t="shared" ref="J112:P112" si="77">-(J105+J108)/(J103-J98)</f>
        <v>4.2780748663101597E-3</v>
      </c>
      <c r="K112" s="128">
        <f t="shared" si="77"/>
        <v>3.9778289874858918E-3</v>
      </c>
      <c r="L112" s="128">
        <f t="shared" si="77"/>
        <v>2.8941110318947611E-3</v>
      </c>
      <c r="M112" s="128">
        <f t="shared" si="77"/>
        <v>2.4667365170512041E-3</v>
      </c>
      <c r="N112" s="128">
        <f t="shared" si="77"/>
        <v>2.2462578611897465E-3</v>
      </c>
      <c r="O112" s="128">
        <f t="shared" si="77"/>
        <v>2.1198643766447861E-3</v>
      </c>
      <c r="P112" s="128">
        <f t="shared" si="77"/>
        <v>2.0451300456402295E-3</v>
      </c>
    </row>
    <row r="113" spans="1:16" outlineLevel="1">
      <c r="A113" s="174" t="s">
        <v>1329</v>
      </c>
      <c r="B113" s="229" t="s">
        <v>803</v>
      </c>
      <c r="C113" s="121"/>
      <c r="G113" s="134"/>
      <c r="H113" s="134"/>
      <c r="I113" s="134"/>
      <c r="J113" s="161">
        <f>J109/'Funnel QH'!J30</f>
        <v>-1924.1999999999996</v>
      </c>
      <c r="K113" s="161">
        <f>K109/'Funnel QH'!K30</f>
        <v>-2876.2947970398609</v>
      </c>
      <c r="L113" s="161">
        <f>L109/'Funnel QH'!L30</f>
        <v>-838.23352242588066</v>
      </c>
      <c r="M113" s="161">
        <f>M109/'Funnel QH'!M30</f>
        <v>1623.6704275436102</v>
      </c>
      <c r="N113" s="161">
        <f>N109/'Funnel QH'!N30</f>
        <v>4296.9325039230398</v>
      </c>
      <c r="O113" s="161">
        <f>O109/'Funnel QH'!O30</f>
        <v>7045.547097188547</v>
      </c>
      <c r="P113" s="161">
        <f>P109/'Funnel QH'!P30</f>
        <v>9782.4490524362063</v>
      </c>
    </row>
    <row r="114" spans="1:16" outlineLevel="1">
      <c r="A114" s="122" t="s">
        <v>1330</v>
      </c>
      <c r="B114" s="138" t="s">
        <v>231</v>
      </c>
      <c r="G114" s="134"/>
      <c r="H114" s="134"/>
      <c r="I114" s="134"/>
      <c r="J114" s="238">
        <f t="shared" ref="J114:P114" si="78">J113*2/J83</f>
        <v>-0.12576470588235292</v>
      </c>
      <c r="K114" s="238">
        <f t="shared" si="78"/>
        <v>-0.10355370612230436</v>
      </c>
      <c r="L114" s="238">
        <f t="shared" si="78"/>
        <v>-1.5444442352994248E-2</v>
      </c>
      <c r="M114" s="238">
        <f t="shared" si="78"/>
        <v>1.9490730053503501E-2</v>
      </c>
      <c r="N114" s="238">
        <f t="shared" si="78"/>
        <v>3.7709002455108442E-2</v>
      </c>
      <c r="O114" s="238">
        <f t="shared" si="78"/>
        <v>4.8381776763657292E-2</v>
      </c>
      <c r="P114" s="238">
        <f t="shared" si="78"/>
        <v>5.4971695567639978E-2</v>
      </c>
    </row>
    <row r="115" spans="1:16">
      <c r="G115" s="134"/>
      <c r="H115" s="134"/>
      <c r="I115" s="134"/>
    </row>
    <row r="116" spans="1:16" s="119" customFormat="1" ht="12.6">
      <c r="A116" s="132" t="s">
        <v>1339</v>
      </c>
      <c r="B116" s="116"/>
      <c r="C116" s="117"/>
      <c r="D116" s="117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</row>
    <row r="117" spans="1:16" outlineLevel="1">
      <c r="A117" s="122" t="s">
        <v>1298</v>
      </c>
      <c r="B117" s="138" t="s">
        <v>394</v>
      </c>
      <c r="C117" s="138"/>
      <c r="D117" s="134"/>
      <c r="E117" s="134"/>
      <c r="F117" s="134"/>
      <c r="G117" s="134"/>
      <c r="H117" s="134"/>
      <c r="I117" s="134"/>
      <c r="J117" s="134">
        <f>'Funnel QH'!J25</f>
        <v>30000</v>
      </c>
      <c r="K117" s="134">
        <f>'Funnel QH'!K25</f>
        <v>49833.333333333336</v>
      </c>
      <c r="L117" s="134">
        <f>'Funnel QH'!L25</f>
        <v>69666.666666666672</v>
      </c>
      <c r="M117" s="134">
        <f>'Funnel QH'!M25</f>
        <v>89500</v>
      </c>
      <c r="N117" s="134">
        <f>'Funnel QH'!N25</f>
        <v>109333.33333333334</v>
      </c>
      <c r="O117" s="134">
        <f>'Funnel QH'!O25</f>
        <v>129166.66666666667</v>
      </c>
      <c r="P117" s="134">
        <f>'Funnel QH'!P25</f>
        <v>149000</v>
      </c>
    </row>
    <row r="118" spans="1:16" outlineLevel="1">
      <c r="A118" s="135" t="s">
        <v>1260</v>
      </c>
      <c r="B118" s="138" t="s">
        <v>394</v>
      </c>
      <c r="C118" s="138"/>
      <c r="D118" s="134"/>
      <c r="E118" s="134"/>
      <c r="F118" s="134"/>
      <c r="G118" s="134"/>
      <c r="H118" s="134"/>
      <c r="I118" s="134"/>
      <c r="J118" s="134">
        <f>'Funnel QH'!J26</f>
        <v>21000</v>
      </c>
      <c r="K118" s="134">
        <f>'Funnel QH'!K26</f>
        <v>34883.333333333336</v>
      </c>
      <c r="L118" s="134">
        <f>'Funnel QH'!L26</f>
        <v>48766.666666666672</v>
      </c>
      <c r="M118" s="134">
        <f>'Funnel QH'!M26</f>
        <v>62650.000000000007</v>
      </c>
      <c r="N118" s="134">
        <f>'Funnel QH'!N26</f>
        <v>76533.333333333343</v>
      </c>
      <c r="O118" s="134">
        <f>'Funnel QH'!O26</f>
        <v>90416.666666666672</v>
      </c>
      <c r="P118" s="134">
        <f>'Funnel QH'!P26</f>
        <v>104300</v>
      </c>
    </row>
    <row r="119" spans="1:16" outlineLevel="1">
      <c r="A119" s="135" t="s">
        <v>1261</v>
      </c>
      <c r="B119" s="138" t="s">
        <v>394</v>
      </c>
      <c r="C119" s="138"/>
      <c r="D119" s="134"/>
      <c r="E119" s="134"/>
      <c r="F119" s="134"/>
      <c r="G119" s="134"/>
      <c r="H119" s="134"/>
      <c r="I119" s="134"/>
      <c r="J119" s="134">
        <f>'Funnel QH'!J27</f>
        <v>9000</v>
      </c>
      <c r="K119" s="134">
        <f>'Funnel QH'!K27</f>
        <v>14950</v>
      </c>
      <c r="L119" s="134">
        <f>'Funnel QH'!L27</f>
        <v>20900</v>
      </c>
      <c r="M119" s="134">
        <f>'Funnel QH'!M27</f>
        <v>26850</v>
      </c>
      <c r="N119" s="134">
        <f>'Funnel QH'!N27</f>
        <v>32800</v>
      </c>
      <c r="O119" s="134">
        <f>'Funnel QH'!O27</f>
        <v>38750</v>
      </c>
      <c r="P119" s="134">
        <f>'Funnel QH'!P27</f>
        <v>44700</v>
      </c>
    </row>
    <row r="120" spans="1:16" s="227" customFormat="1" ht="12.6" outlineLevel="1">
      <c r="A120" s="695" t="s">
        <v>1340</v>
      </c>
      <c r="B120" s="121" t="s">
        <v>1267</v>
      </c>
      <c r="C120" s="138"/>
      <c r="D120" s="134"/>
      <c r="E120" s="134"/>
      <c r="F120" s="134"/>
      <c r="G120" s="134"/>
      <c r="H120" s="134"/>
      <c r="I120" s="134"/>
      <c r="J120" s="223"/>
      <c r="K120" s="223"/>
      <c r="L120" s="223"/>
      <c r="M120" s="223"/>
      <c r="N120" s="223"/>
      <c r="O120" s="223"/>
      <c r="P120" s="223"/>
    </row>
    <row r="121" spans="1:16" s="227" customFormat="1" ht="12.6" outlineLevel="1">
      <c r="A121" s="135" t="s">
        <v>1277</v>
      </c>
      <c r="B121" s="121" t="s">
        <v>1267</v>
      </c>
      <c r="C121" s="138"/>
      <c r="D121" s="134"/>
      <c r="E121" s="134"/>
      <c r="F121" s="134"/>
      <c r="G121" s="134"/>
      <c r="H121" s="134"/>
      <c r="I121" s="134"/>
      <c r="J121" s="221">
        <f>1000*500/1000</f>
        <v>500</v>
      </c>
      <c r="K121" s="221">
        <f t="shared" ref="K121:P122" si="79">1000*500/1000</f>
        <v>500</v>
      </c>
      <c r="L121" s="221">
        <f t="shared" si="79"/>
        <v>500</v>
      </c>
      <c r="M121" s="221">
        <f t="shared" si="79"/>
        <v>500</v>
      </c>
      <c r="N121" s="221">
        <f t="shared" si="79"/>
        <v>500</v>
      </c>
      <c r="O121" s="221">
        <f t="shared" si="79"/>
        <v>500</v>
      </c>
      <c r="P121" s="221">
        <f t="shared" si="79"/>
        <v>500</v>
      </c>
    </row>
    <row r="122" spans="1:16" outlineLevel="1">
      <c r="A122" s="140" t="s">
        <v>1260</v>
      </c>
      <c r="B122" s="121" t="s">
        <v>1267</v>
      </c>
      <c r="C122" s="138"/>
      <c r="D122" s="134"/>
      <c r="E122" s="134"/>
      <c r="F122" s="134"/>
      <c r="G122" s="134"/>
      <c r="H122" s="134"/>
      <c r="I122" s="134"/>
      <c r="J122" s="136">
        <f>1000*500/1000</f>
        <v>500</v>
      </c>
      <c r="K122" s="136">
        <f t="shared" si="79"/>
        <v>500</v>
      </c>
      <c r="L122" s="136">
        <f t="shared" si="79"/>
        <v>500</v>
      </c>
      <c r="M122" s="136">
        <f t="shared" si="79"/>
        <v>500</v>
      </c>
      <c r="N122" s="136">
        <f t="shared" si="79"/>
        <v>500</v>
      </c>
      <c r="O122" s="136">
        <f t="shared" si="79"/>
        <v>500</v>
      </c>
      <c r="P122" s="136">
        <f t="shared" si="79"/>
        <v>500</v>
      </c>
    </row>
    <row r="123" spans="1:16" outlineLevel="1">
      <c r="A123" s="140" t="s">
        <v>1261</v>
      </c>
      <c r="B123" s="121" t="s">
        <v>1267</v>
      </c>
      <c r="C123" s="138"/>
      <c r="D123" s="134"/>
      <c r="E123" s="134"/>
      <c r="F123" s="134"/>
      <c r="G123" s="134"/>
      <c r="H123" s="134"/>
      <c r="I123" s="134"/>
      <c r="J123" s="136">
        <f>10000*500/1000</f>
        <v>5000</v>
      </c>
      <c r="K123" s="136">
        <f t="shared" ref="K123:P123" si="80">10000*500/1000</f>
        <v>5000</v>
      </c>
      <c r="L123" s="136">
        <f t="shared" si="80"/>
        <v>5000</v>
      </c>
      <c r="M123" s="136">
        <f t="shared" si="80"/>
        <v>5000</v>
      </c>
      <c r="N123" s="136">
        <f t="shared" si="80"/>
        <v>5000</v>
      </c>
      <c r="O123" s="136">
        <f t="shared" si="80"/>
        <v>5000</v>
      </c>
      <c r="P123" s="136">
        <f t="shared" si="80"/>
        <v>5000</v>
      </c>
    </row>
    <row r="124" spans="1:16" s="227" customFormat="1" ht="12.6" outlineLevel="1">
      <c r="A124" s="135" t="s">
        <v>1338</v>
      </c>
      <c r="B124" s="121" t="s">
        <v>1267</v>
      </c>
      <c r="C124" s="138"/>
      <c r="D124" s="134"/>
      <c r="E124" s="134"/>
      <c r="F124" s="134"/>
      <c r="G124" s="134"/>
      <c r="H124" s="134"/>
      <c r="I124" s="134"/>
      <c r="J124" s="221"/>
      <c r="K124" s="221"/>
      <c r="L124" s="221"/>
      <c r="M124" s="221"/>
      <c r="N124" s="221"/>
      <c r="O124" s="221"/>
      <c r="P124" s="221"/>
    </row>
    <row r="125" spans="1:16" s="227" customFormat="1" ht="12.6" outlineLevel="1">
      <c r="A125" s="122" t="s">
        <v>1341</v>
      </c>
      <c r="B125" s="121" t="s">
        <v>1267</v>
      </c>
      <c r="C125" s="138"/>
      <c r="D125" s="134"/>
      <c r="E125" s="134"/>
      <c r="F125" s="134"/>
      <c r="G125" s="134"/>
      <c r="H125" s="134"/>
      <c r="I125" s="134"/>
      <c r="J125" s="134">
        <f>J126+J129</f>
        <v>55500000</v>
      </c>
      <c r="K125" s="134">
        <f t="shared" ref="K125:P125" si="81">K126+K129</f>
        <v>92191666.666666672</v>
      </c>
      <c r="L125" s="134">
        <f t="shared" si="81"/>
        <v>128883333.33333334</v>
      </c>
      <c r="M125" s="134">
        <f t="shared" si="81"/>
        <v>165575000</v>
      </c>
      <c r="N125" s="134">
        <f t="shared" si="81"/>
        <v>202266666.66666669</v>
      </c>
      <c r="O125" s="134">
        <f t="shared" si="81"/>
        <v>238958333.33333334</v>
      </c>
      <c r="P125" s="134">
        <f t="shared" si="81"/>
        <v>275650000</v>
      </c>
    </row>
    <row r="126" spans="1:16" s="227" customFormat="1" ht="12.6" outlineLevel="1">
      <c r="A126" s="135" t="s">
        <v>1277</v>
      </c>
      <c r="B126" s="121" t="s">
        <v>1267</v>
      </c>
      <c r="C126" s="138"/>
      <c r="D126" s="134"/>
      <c r="E126" s="134"/>
      <c r="F126" s="134"/>
      <c r="G126" s="134"/>
      <c r="H126" s="134"/>
      <c r="I126" s="134"/>
      <c r="J126" s="134">
        <f>SUM(J127:J128)</f>
        <v>55500000</v>
      </c>
      <c r="K126" s="134">
        <f t="shared" ref="K126:P126" si="82">SUM(K127:K128)</f>
        <v>92191666.666666672</v>
      </c>
      <c r="L126" s="134">
        <f t="shared" si="82"/>
        <v>128883333.33333334</v>
      </c>
      <c r="M126" s="134">
        <f t="shared" si="82"/>
        <v>165575000</v>
      </c>
      <c r="N126" s="134">
        <f t="shared" si="82"/>
        <v>202266666.66666669</v>
      </c>
      <c r="O126" s="134">
        <f t="shared" si="82"/>
        <v>238958333.33333334</v>
      </c>
      <c r="P126" s="134">
        <f t="shared" si="82"/>
        <v>275650000</v>
      </c>
    </row>
    <row r="127" spans="1:16" outlineLevel="1">
      <c r="A127" s="140" t="s">
        <v>1260</v>
      </c>
      <c r="B127" s="121" t="s">
        <v>1267</v>
      </c>
      <c r="C127" s="138"/>
      <c r="D127" s="134"/>
      <c r="E127" s="134"/>
      <c r="F127" s="134"/>
      <c r="G127" s="134"/>
      <c r="H127" s="134"/>
      <c r="I127" s="134"/>
      <c r="J127" s="134">
        <f>J118*J122</f>
        <v>10500000</v>
      </c>
      <c r="K127" s="134">
        <f t="shared" ref="K127:P127" si="83">K118*K122</f>
        <v>17441666.666666668</v>
      </c>
      <c r="L127" s="134">
        <f t="shared" si="83"/>
        <v>24383333.333333336</v>
      </c>
      <c r="M127" s="134">
        <f t="shared" si="83"/>
        <v>31325000.000000004</v>
      </c>
      <c r="N127" s="134">
        <f t="shared" si="83"/>
        <v>38266666.666666672</v>
      </c>
      <c r="O127" s="134">
        <f t="shared" si="83"/>
        <v>45208333.333333336</v>
      </c>
      <c r="P127" s="134">
        <f t="shared" si="83"/>
        <v>52150000</v>
      </c>
    </row>
    <row r="128" spans="1:16" outlineLevel="1">
      <c r="A128" s="140" t="s">
        <v>1261</v>
      </c>
      <c r="B128" s="121" t="s">
        <v>1267</v>
      </c>
      <c r="C128" s="138"/>
      <c r="D128" s="134"/>
      <c r="E128" s="134"/>
      <c r="F128" s="134"/>
      <c r="G128" s="134"/>
      <c r="H128" s="134"/>
      <c r="I128" s="134"/>
      <c r="J128" s="134">
        <f>J119*J123</f>
        <v>45000000</v>
      </c>
      <c r="K128" s="134">
        <f t="shared" ref="K128:P128" si="84">K119*K123</f>
        <v>74750000</v>
      </c>
      <c r="L128" s="134">
        <f t="shared" si="84"/>
        <v>104500000</v>
      </c>
      <c r="M128" s="134">
        <f t="shared" si="84"/>
        <v>134250000</v>
      </c>
      <c r="N128" s="134">
        <f t="shared" si="84"/>
        <v>164000000</v>
      </c>
      <c r="O128" s="134">
        <f t="shared" si="84"/>
        <v>193750000</v>
      </c>
      <c r="P128" s="134">
        <f t="shared" si="84"/>
        <v>223500000</v>
      </c>
    </row>
    <row r="129" spans="1:17" s="227" customFormat="1" ht="12.6" outlineLevel="1">
      <c r="A129" s="135" t="s">
        <v>1338</v>
      </c>
      <c r="B129" s="121" t="s">
        <v>1267</v>
      </c>
      <c r="C129" s="138"/>
      <c r="D129" s="134"/>
      <c r="E129" s="134"/>
      <c r="F129" s="134"/>
      <c r="G129" s="134"/>
      <c r="H129" s="134"/>
      <c r="I129" s="134"/>
      <c r="J129" s="134"/>
      <c r="K129" s="134"/>
      <c r="L129" s="134"/>
      <c r="M129" s="134"/>
      <c r="N129" s="134"/>
      <c r="O129" s="134"/>
      <c r="P129" s="134"/>
    </row>
    <row r="130" spans="1:17" s="174" customFormat="1" ht="12.6" outlineLevel="1">
      <c r="A130" s="122" t="s">
        <v>1342</v>
      </c>
      <c r="B130" s="121" t="s">
        <v>1267</v>
      </c>
      <c r="C130" s="138"/>
      <c r="D130" s="134"/>
      <c r="E130" s="134"/>
      <c r="F130" s="134"/>
      <c r="G130" s="134"/>
      <c r="H130" s="134"/>
      <c r="I130" s="134"/>
      <c r="J130" s="226">
        <f>J131+J134</f>
        <v>55500000</v>
      </c>
      <c r="K130" s="226">
        <f t="shared" ref="K130:P130" si="85">K131+K134</f>
        <v>73845833.333333343</v>
      </c>
      <c r="L130" s="226">
        <f t="shared" si="85"/>
        <v>110537500</v>
      </c>
      <c r="M130" s="226">
        <f t="shared" si="85"/>
        <v>147229166.66666669</v>
      </c>
      <c r="N130" s="226">
        <f t="shared" si="85"/>
        <v>183920833.33333334</v>
      </c>
      <c r="O130" s="226">
        <f t="shared" si="85"/>
        <v>220612500</v>
      </c>
      <c r="P130" s="226">
        <f t="shared" si="85"/>
        <v>257304166.66666669</v>
      </c>
    </row>
    <row r="131" spans="1:17" s="174" customFormat="1" ht="12.6" outlineLevel="1">
      <c r="A131" s="135" t="s">
        <v>1277</v>
      </c>
      <c r="B131" s="121" t="s">
        <v>1267</v>
      </c>
      <c r="C131" s="138"/>
      <c r="D131" s="134"/>
      <c r="E131" s="134"/>
      <c r="F131" s="134"/>
      <c r="G131" s="134"/>
      <c r="H131" s="134"/>
      <c r="I131" s="134"/>
      <c r="J131" s="226">
        <f>AVERAGE(I126:J126)</f>
        <v>55500000</v>
      </c>
      <c r="K131" s="226">
        <f t="shared" ref="K131:P131" si="86">AVERAGE(J126:K126)</f>
        <v>73845833.333333343</v>
      </c>
      <c r="L131" s="226">
        <f t="shared" si="86"/>
        <v>110537500</v>
      </c>
      <c r="M131" s="226">
        <f t="shared" si="86"/>
        <v>147229166.66666669</v>
      </c>
      <c r="N131" s="226">
        <f t="shared" si="86"/>
        <v>183920833.33333334</v>
      </c>
      <c r="O131" s="226">
        <f t="shared" si="86"/>
        <v>220612500</v>
      </c>
      <c r="P131" s="226">
        <f t="shared" si="86"/>
        <v>257304166.66666669</v>
      </c>
    </row>
    <row r="132" spans="1:17" outlineLevel="1">
      <c r="A132" s="140" t="s">
        <v>1260</v>
      </c>
      <c r="B132" s="121" t="s">
        <v>1267</v>
      </c>
      <c r="C132" s="138"/>
      <c r="D132" s="134"/>
      <c r="E132" s="134"/>
      <c r="F132" s="134"/>
      <c r="G132" s="134"/>
      <c r="H132" s="134"/>
      <c r="I132" s="134"/>
      <c r="J132" s="226">
        <f>AVERAGE(I127:J127)</f>
        <v>10500000</v>
      </c>
      <c r="K132" s="226">
        <f t="shared" ref="K132:P133" si="87">AVERAGE(J127:K127)</f>
        <v>13970833.333333334</v>
      </c>
      <c r="L132" s="226">
        <f t="shared" si="87"/>
        <v>20912500</v>
      </c>
      <c r="M132" s="226">
        <f t="shared" si="87"/>
        <v>27854166.666666672</v>
      </c>
      <c r="N132" s="226">
        <f t="shared" si="87"/>
        <v>34795833.333333336</v>
      </c>
      <c r="O132" s="226">
        <f t="shared" si="87"/>
        <v>41737500</v>
      </c>
      <c r="P132" s="226">
        <f t="shared" si="87"/>
        <v>48679166.666666672</v>
      </c>
    </row>
    <row r="133" spans="1:17" outlineLevel="1">
      <c r="A133" s="140" t="s">
        <v>1261</v>
      </c>
      <c r="B133" s="121" t="s">
        <v>1267</v>
      </c>
      <c r="C133" s="138"/>
      <c r="D133" s="134"/>
      <c r="E133" s="134"/>
      <c r="F133" s="134"/>
      <c r="G133" s="134"/>
      <c r="H133" s="134"/>
      <c r="I133" s="134"/>
      <c r="J133" s="226">
        <f>AVERAGE(I128:J128)</f>
        <v>45000000</v>
      </c>
      <c r="K133" s="226">
        <f t="shared" si="87"/>
        <v>59875000</v>
      </c>
      <c r="L133" s="226">
        <f t="shared" si="87"/>
        <v>89625000</v>
      </c>
      <c r="M133" s="226">
        <f t="shared" si="87"/>
        <v>119375000</v>
      </c>
      <c r="N133" s="226">
        <f t="shared" si="87"/>
        <v>149125000</v>
      </c>
      <c r="O133" s="226">
        <f t="shared" si="87"/>
        <v>178875000</v>
      </c>
      <c r="P133" s="226">
        <f t="shared" si="87"/>
        <v>208625000</v>
      </c>
    </row>
    <row r="134" spans="1:17" s="174" customFormat="1" ht="12.6" outlineLevel="1">
      <c r="A134" s="135" t="s">
        <v>1338</v>
      </c>
      <c r="B134" s="121" t="s">
        <v>1267</v>
      </c>
      <c r="C134" s="138"/>
      <c r="D134" s="134"/>
      <c r="E134" s="134"/>
      <c r="F134" s="134"/>
      <c r="G134" s="134"/>
      <c r="H134" s="134"/>
      <c r="I134" s="134"/>
      <c r="J134" s="226"/>
      <c r="K134" s="226"/>
      <c r="L134" s="226"/>
      <c r="M134" s="226"/>
      <c r="N134" s="226"/>
      <c r="O134" s="226"/>
      <c r="P134" s="226"/>
    </row>
    <row r="135" spans="1:17" s="174" customFormat="1" ht="12.6" outlineLevel="1">
      <c r="A135" s="174" t="s">
        <v>1306</v>
      </c>
      <c r="B135" s="229"/>
      <c r="C135" s="138"/>
      <c r="D135" s="134"/>
      <c r="E135" s="134"/>
      <c r="F135" s="134"/>
      <c r="G135" s="134"/>
      <c r="H135" s="134"/>
      <c r="I135" s="134"/>
      <c r="J135" s="138"/>
      <c r="K135" s="138"/>
      <c r="L135" s="138"/>
      <c r="M135" s="138"/>
      <c r="N135" s="138"/>
      <c r="O135" s="138"/>
      <c r="P135" s="138"/>
    </row>
    <row r="136" spans="1:17" s="227" customFormat="1" ht="12.6" outlineLevel="1">
      <c r="A136" s="135" t="s">
        <v>1277</v>
      </c>
      <c r="B136" s="229" t="s">
        <v>1284</v>
      </c>
      <c r="C136" s="138"/>
      <c r="D136" s="134"/>
      <c r="E136" s="134"/>
      <c r="F136" s="134"/>
      <c r="G136" s="134"/>
      <c r="H136" s="134"/>
      <c r="I136" s="134"/>
      <c r="J136" s="210">
        <v>0</v>
      </c>
      <c r="K136" s="210">
        <v>0</v>
      </c>
      <c r="L136" s="210">
        <v>0</v>
      </c>
      <c r="M136" s="210">
        <v>0</v>
      </c>
      <c r="N136" s="210">
        <v>0</v>
      </c>
      <c r="O136" s="210">
        <v>0</v>
      </c>
      <c r="P136" s="210">
        <v>0</v>
      </c>
    </row>
    <row r="137" spans="1:17" s="227" customFormat="1" ht="12.6" outlineLevel="1">
      <c r="A137" s="135" t="s">
        <v>1338</v>
      </c>
      <c r="B137" s="229" t="s">
        <v>1284</v>
      </c>
      <c r="C137" s="138"/>
      <c r="D137" s="134"/>
      <c r="E137" s="134"/>
      <c r="F137" s="134"/>
      <c r="G137" s="134"/>
      <c r="H137" s="134"/>
      <c r="I137" s="134"/>
      <c r="J137" s="210">
        <v>0</v>
      </c>
      <c r="K137" s="210">
        <v>0</v>
      </c>
      <c r="L137" s="210">
        <v>0</v>
      </c>
      <c r="M137" s="210">
        <v>0</v>
      </c>
      <c r="N137" s="210">
        <v>0</v>
      </c>
      <c r="O137" s="210">
        <v>0</v>
      </c>
      <c r="P137" s="210">
        <v>0</v>
      </c>
    </row>
    <row r="138" spans="1:17" s="227" customFormat="1" ht="12.6" outlineLevel="1">
      <c r="A138" s="122" t="s">
        <v>1343</v>
      </c>
      <c r="B138" s="229"/>
      <c r="C138" s="138"/>
      <c r="D138" s="134"/>
      <c r="E138" s="134"/>
      <c r="F138" s="134"/>
      <c r="G138" s="134"/>
      <c r="H138" s="134"/>
      <c r="I138" s="134"/>
      <c r="J138" s="138"/>
      <c r="K138" s="138"/>
      <c r="L138" s="138"/>
      <c r="M138" s="138"/>
      <c r="N138" s="138"/>
      <c r="O138" s="138"/>
      <c r="P138" s="138"/>
      <c r="Q138" s="138"/>
    </row>
    <row r="139" spans="1:17" s="227" customFormat="1" ht="12.6" outlineLevel="1">
      <c r="A139" s="135" t="s">
        <v>1277</v>
      </c>
      <c r="B139" s="229" t="s">
        <v>231</v>
      </c>
      <c r="C139" s="138"/>
      <c r="D139" s="134"/>
      <c r="E139" s="134"/>
      <c r="F139" s="134"/>
      <c r="G139" s="134"/>
      <c r="H139" s="134"/>
      <c r="I139" s="134"/>
      <c r="J139" s="137">
        <v>0</v>
      </c>
      <c r="K139" s="137">
        <v>0</v>
      </c>
      <c r="L139" s="137">
        <v>0</v>
      </c>
      <c r="M139" s="137">
        <v>0</v>
      </c>
      <c r="N139" s="137">
        <v>0</v>
      </c>
      <c r="O139" s="137">
        <v>0</v>
      </c>
      <c r="P139" s="137">
        <v>0</v>
      </c>
    </row>
    <row r="140" spans="1:17" s="227" customFormat="1" ht="12.6" outlineLevel="1">
      <c r="A140" s="135" t="s">
        <v>1338</v>
      </c>
      <c r="B140" s="229" t="s">
        <v>231</v>
      </c>
      <c r="C140" s="138"/>
      <c r="D140" s="134"/>
      <c r="E140" s="134"/>
      <c r="F140" s="134"/>
      <c r="G140" s="134"/>
      <c r="H140" s="134"/>
      <c r="I140" s="134"/>
      <c r="J140" s="137">
        <v>0</v>
      </c>
      <c r="K140" s="137">
        <v>0</v>
      </c>
      <c r="L140" s="137">
        <v>0</v>
      </c>
      <c r="M140" s="137">
        <v>0</v>
      </c>
      <c r="N140" s="137">
        <v>0</v>
      </c>
      <c r="O140" s="137">
        <v>0</v>
      </c>
      <c r="P140" s="137">
        <v>0</v>
      </c>
    </row>
    <row r="141" spans="1:17" s="174" customFormat="1" ht="12.6" outlineLevel="1">
      <c r="A141" s="174" t="s">
        <v>1344</v>
      </c>
      <c r="B141" s="229"/>
      <c r="C141" s="138"/>
      <c r="D141" s="134"/>
      <c r="E141" s="134"/>
      <c r="F141" s="134"/>
      <c r="G141" s="134"/>
      <c r="H141" s="134"/>
      <c r="I141" s="134"/>
      <c r="J141" s="125"/>
      <c r="K141" s="125"/>
      <c r="L141" s="125"/>
      <c r="M141" s="125"/>
      <c r="N141" s="125"/>
      <c r="O141" s="125"/>
      <c r="P141" s="125"/>
    </row>
    <row r="142" spans="1:17" s="227" customFormat="1" ht="12.6" outlineLevel="1">
      <c r="A142" s="135" t="s">
        <v>1277</v>
      </c>
      <c r="B142" s="229" t="s">
        <v>231</v>
      </c>
      <c r="C142" s="138"/>
      <c r="D142" s="134"/>
      <c r="E142" s="134"/>
      <c r="F142" s="134"/>
      <c r="G142" s="134"/>
      <c r="H142" s="134"/>
      <c r="I142" s="134"/>
      <c r="J142" s="137">
        <v>0.1</v>
      </c>
      <c r="K142" s="137">
        <v>0.1</v>
      </c>
      <c r="L142" s="137">
        <v>0.1</v>
      </c>
      <c r="M142" s="137">
        <v>0.1</v>
      </c>
      <c r="N142" s="137">
        <v>0.1</v>
      </c>
      <c r="O142" s="137">
        <v>0.1</v>
      </c>
      <c r="P142" s="137">
        <v>0.1</v>
      </c>
    </row>
    <row r="143" spans="1:17" s="227" customFormat="1" ht="12.6" outlineLevel="1">
      <c r="A143" s="135" t="s">
        <v>1338</v>
      </c>
      <c r="B143" s="229" t="s">
        <v>231</v>
      </c>
      <c r="C143" s="138"/>
      <c r="D143" s="134"/>
      <c r="E143" s="134"/>
      <c r="F143" s="134"/>
      <c r="G143" s="134"/>
      <c r="H143" s="134"/>
      <c r="I143" s="134"/>
      <c r="J143" s="137">
        <v>1E-3</v>
      </c>
      <c r="K143" s="137">
        <v>1E-3</v>
      </c>
      <c r="L143" s="137">
        <v>1E-3</v>
      </c>
      <c r="M143" s="137">
        <v>1E-3</v>
      </c>
      <c r="N143" s="137">
        <v>1E-3</v>
      </c>
      <c r="O143" s="137">
        <v>1E-3</v>
      </c>
      <c r="P143" s="137">
        <v>1E-3</v>
      </c>
    </row>
    <row r="144" spans="1:17" s="174" customFormat="1" ht="12.6" outlineLevel="1">
      <c r="A144" s="174" t="s">
        <v>1345</v>
      </c>
      <c r="B144" s="229"/>
      <c r="C144" s="138"/>
      <c r="D144" s="134"/>
      <c r="E144" s="134"/>
      <c r="F144" s="134"/>
      <c r="G144" s="134"/>
      <c r="H144" s="134"/>
      <c r="I144" s="134"/>
      <c r="J144" s="125"/>
      <c r="K144" s="125"/>
      <c r="L144" s="125"/>
      <c r="M144" s="125"/>
      <c r="N144" s="125"/>
      <c r="O144" s="125"/>
      <c r="P144" s="125"/>
    </row>
    <row r="145" spans="1:16" s="227" customFormat="1" ht="12.6" outlineLevel="1">
      <c r="A145" s="135" t="s">
        <v>1277</v>
      </c>
      <c r="B145" s="229" t="s">
        <v>231</v>
      </c>
      <c r="C145" s="138"/>
      <c r="D145" s="134"/>
      <c r="E145" s="134"/>
      <c r="F145" s="134"/>
      <c r="G145" s="134"/>
      <c r="H145" s="134"/>
      <c r="I145" s="134"/>
      <c r="J145" s="137">
        <v>0.12</v>
      </c>
      <c r="K145" s="137">
        <v>0.12</v>
      </c>
      <c r="L145" s="137">
        <v>0.12</v>
      </c>
      <c r="M145" s="137">
        <v>0.12</v>
      </c>
      <c r="N145" s="137">
        <v>0.12</v>
      </c>
      <c r="O145" s="137">
        <v>0.12</v>
      </c>
      <c r="P145" s="137">
        <v>0.12</v>
      </c>
    </row>
    <row r="146" spans="1:16" s="227" customFormat="1" ht="12.6" outlineLevel="1">
      <c r="A146" s="135" t="s">
        <v>1338</v>
      </c>
      <c r="B146" s="229" t="s">
        <v>231</v>
      </c>
      <c r="C146" s="138"/>
      <c r="D146" s="134"/>
      <c r="E146" s="134"/>
      <c r="F146" s="134"/>
      <c r="G146" s="134"/>
      <c r="H146" s="134"/>
      <c r="I146" s="134"/>
      <c r="J146" s="137"/>
      <c r="K146" s="137"/>
      <c r="L146" s="137"/>
      <c r="M146" s="137"/>
      <c r="N146" s="137"/>
      <c r="O146" s="137"/>
      <c r="P146" s="137"/>
    </row>
    <row r="147" spans="1:16" s="174" customFormat="1" ht="12.6" outlineLevel="1">
      <c r="A147" s="133" t="s">
        <v>1288</v>
      </c>
      <c r="B147" s="229"/>
      <c r="C147" s="138"/>
      <c r="D147" s="134"/>
      <c r="E147" s="134"/>
      <c r="F147" s="134"/>
      <c r="G147" s="134"/>
      <c r="H147" s="134"/>
      <c r="I147" s="134"/>
      <c r="J147" s="230"/>
      <c r="K147" s="230"/>
      <c r="L147" s="230"/>
      <c r="M147" s="230"/>
      <c r="N147" s="230"/>
      <c r="O147" s="230"/>
      <c r="P147" s="230"/>
    </row>
    <row r="148" spans="1:16" s="174" customFormat="1" ht="12.6" outlineLevel="1">
      <c r="A148" s="174" t="s">
        <v>874</v>
      </c>
      <c r="B148" s="121" t="s">
        <v>1267</v>
      </c>
      <c r="C148" s="138"/>
      <c r="D148" s="134"/>
      <c r="E148" s="134"/>
      <c r="F148" s="134"/>
      <c r="G148" s="134"/>
      <c r="H148" s="134"/>
      <c r="I148" s="134"/>
      <c r="J148" s="225">
        <f t="shared" ref="J148:P148" si="88">(J145*J131)/2+(J146*J134)/2</f>
        <v>3330000</v>
      </c>
      <c r="K148" s="225">
        <f t="shared" si="88"/>
        <v>4430750</v>
      </c>
      <c r="L148" s="225">
        <f t="shared" si="88"/>
        <v>6632250</v>
      </c>
      <c r="M148" s="225">
        <f t="shared" si="88"/>
        <v>8833750</v>
      </c>
      <c r="N148" s="225">
        <f t="shared" si="88"/>
        <v>11035250</v>
      </c>
      <c r="O148" s="225">
        <f t="shared" si="88"/>
        <v>13236750</v>
      </c>
      <c r="P148" s="225">
        <f t="shared" si="88"/>
        <v>15438250</v>
      </c>
    </row>
    <row r="149" spans="1:16" s="174" customFormat="1" ht="12.6" outlineLevel="1">
      <c r="A149" s="174" t="s">
        <v>862</v>
      </c>
      <c r="B149" s="121" t="s">
        <v>1267</v>
      </c>
      <c r="C149" s="138"/>
      <c r="D149" s="134"/>
      <c r="E149" s="134"/>
      <c r="F149" s="134"/>
      <c r="G149" s="134"/>
      <c r="H149" s="134"/>
      <c r="I149" s="134"/>
      <c r="J149" s="225">
        <f>-((J142*J131)/2+(J143*J134)/2)</f>
        <v>-2775000</v>
      </c>
      <c r="K149" s="225">
        <f t="shared" ref="K149:P149" si="89">-((K142*K131)/2+(K143*K134)/2)</f>
        <v>-3692291.6666666674</v>
      </c>
      <c r="L149" s="225">
        <f t="shared" si="89"/>
        <v>-5526875</v>
      </c>
      <c r="M149" s="225">
        <f t="shared" si="89"/>
        <v>-7361458.3333333349</v>
      </c>
      <c r="N149" s="225">
        <f t="shared" si="89"/>
        <v>-9196041.6666666679</v>
      </c>
      <c r="O149" s="225">
        <f t="shared" si="89"/>
        <v>-11030625</v>
      </c>
      <c r="P149" s="225">
        <f t="shared" si="89"/>
        <v>-12865208.333333336</v>
      </c>
    </row>
    <row r="150" spans="1:16" s="231" customFormat="1" ht="12.6" outlineLevel="1">
      <c r="A150" s="174" t="s">
        <v>1346</v>
      </c>
      <c r="B150" s="121" t="s">
        <v>1267</v>
      </c>
      <c r="C150" s="138"/>
      <c r="D150" s="134"/>
      <c r="E150" s="134"/>
      <c r="F150" s="134"/>
      <c r="G150" s="134"/>
      <c r="H150" s="134"/>
      <c r="I150" s="134"/>
      <c r="J150" s="232">
        <f t="shared" ref="J150" si="90">-((J126-I126)*J139+(J129-I129)*J140)</f>
        <v>0</v>
      </c>
      <c r="K150" s="232">
        <f t="shared" ref="K150" si="91">-((K126-J126)*K139+(K129-J129)*K140)</f>
        <v>0</v>
      </c>
      <c r="L150" s="232">
        <f t="shared" ref="L150" si="92">-((L126-K126)*L139+(L129-K129)*L140)</f>
        <v>0</v>
      </c>
      <c r="M150" s="232">
        <f t="shared" ref="M150" si="93">-((M126-L126)*M139+(M129-L129)*M140)</f>
        <v>0</v>
      </c>
      <c r="N150" s="232">
        <f t="shared" ref="N150" si="94">-((N126-M126)*N139+(N129-M129)*N140)</f>
        <v>0</v>
      </c>
      <c r="O150" s="232">
        <f t="shared" ref="O150" si="95">-((O126-N126)*O139+(O129-N129)*O140)</f>
        <v>0</v>
      </c>
      <c r="P150" s="232">
        <f t="shared" ref="P150" si="96">-((P126-O126)*P139+(P129-O129)*P140)</f>
        <v>0</v>
      </c>
    </row>
    <row r="151" spans="1:16" s="231" customFormat="1" ht="12.6" outlineLevel="1">
      <c r="A151" s="183" t="s">
        <v>232</v>
      </c>
      <c r="B151" s="121" t="s">
        <v>1267</v>
      </c>
      <c r="C151" s="138"/>
      <c r="D151" s="134"/>
      <c r="E151" s="134"/>
      <c r="F151" s="134"/>
      <c r="G151" s="134"/>
      <c r="H151" s="134"/>
      <c r="I151" s="134"/>
      <c r="J151" s="232">
        <f>SUM(J148:J150)</f>
        <v>555000</v>
      </c>
      <c r="K151" s="232">
        <f>SUM(K148:K150)</f>
        <v>738458.33333333256</v>
      </c>
      <c r="L151" s="232">
        <f t="shared" ref="L151:P151" si="97">SUM(L148:L150)</f>
        <v>1105375</v>
      </c>
      <c r="M151" s="232">
        <f t="shared" si="97"/>
        <v>1472291.6666666651</v>
      </c>
      <c r="N151" s="232">
        <f t="shared" si="97"/>
        <v>1839208.3333333321</v>
      </c>
      <c r="O151" s="232">
        <f t="shared" si="97"/>
        <v>2206125</v>
      </c>
      <c r="P151" s="232">
        <f t="shared" si="97"/>
        <v>2573041.6666666642</v>
      </c>
    </row>
    <row r="152" spans="1:16" s="231" customFormat="1" ht="12.6" outlineLevel="1">
      <c r="A152" s="183" t="s">
        <v>233</v>
      </c>
      <c r="B152" s="253" t="s">
        <v>231</v>
      </c>
      <c r="C152" s="138"/>
      <c r="D152" s="134"/>
      <c r="E152" s="134"/>
      <c r="F152" s="134"/>
      <c r="G152" s="134"/>
      <c r="H152" s="134"/>
      <c r="I152" s="134"/>
      <c r="J152" s="128"/>
      <c r="K152" s="128"/>
      <c r="L152" s="128"/>
      <c r="M152" s="128"/>
      <c r="N152" s="128"/>
      <c r="O152" s="128"/>
      <c r="P152" s="128"/>
    </row>
    <row r="153" spans="1:16" s="174" customFormat="1" ht="12.6" outlineLevel="1">
      <c r="A153" s="174" t="s">
        <v>1348</v>
      </c>
      <c r="B153" s="121" t="s">
        <v>1267</v>
      </c>
      <c r="C153" s="138"/>
      <c r="D153" s="134"/>
      <c r="E153" s="134"/>
      <c r="F153" s="134"/>
      <c r="G153" s="134"/>
      <c r="H153" s="134"/>
      <c r="I153" s="134"/>
      <c r="J153" s="236"/>
      <c r="K153" s="236"/>
      <c r="L153" s="236"/>
      <c r="M153" s="236"/>
      <c r="N153" s="236"/>
      <c r="O153" s="236"/>
      <c r="P153" s="236"/>
    </row>
    <row r="154" spans="1:16" s="231" customFormat="1" ht="12.6" outlineLevel="1">
      <c r="A154" s="183" t="s">
        <v>307</v>
      </c>
      <c r="B154" s="121" t="s">
        <v>1267</v>
      </c>
      <c r="C154" s="138"/>
      <c r="D154" s="134"/>
      <c r="E154" s="134"/>
      <c r="F154" s="134"/>
      <c r="G154" s="134"/>
      <c r="H154" s="134"/>
      <c r="I154" s="134"/>
      <c r="J154" s="232">
        <f t="shared" ref="J154:P154" si="98">-J158*J151</f>
        <v>0</v>
      </c>
      <c r="K154" s="232">
        <f t="shared" si="98"/>
        <v>0</v>
      </c>
      <c r="L154" s="232">
        <f t="shared" si="98"/>
        <v>0</v>
      </c>
      <c r="M154" s="232">
        <f t="shared" si="98"/>
        <v>0</v>
      </c>
      <c r="N154" s="232">
        <f t="shared" si="98"/>
        <v>0</v>
      </c>
      <c r="O154" s="232">
        <f t="shared" si="98"/>
        <v>0</v>
      </c>
      <c r="P154" s="232">
        <f t="shared" si="98"/>
        <v>0</v>
      </c>
    </row>
    <row r="155" spans="1:16" s="174" customFormat="1" ht="12.6" outlineLevel="1">
      <c r="A155" s="174" t="s">
        <v>1329</v>
      </c>
      <c r="B155" s="121" t="s">
        <v>1267</v>
      </c>
      <c r="C155" s="138"/>
      <c r="D155" s="134"/>
      <c r="E155" s="134"/>
      <c r="F155" s="134"/>
      <c r="G155" s="134"/>
      <c r="H155" s="134"/>
      <c r="I155" s="134"/>
      <c r="J155" s="228">
        <f t="shared" ref="J155:P155" si="99">J151+J154</f>
        <v>555000</v>
      </c>
      <c r="K155" s="228">
        <f t="shared" si="99"/>
        <v>738458.33333333256</v>
      </c>
      <c r="L155" s="228">
        <f t="shared" si="99"/>
        <v>1105375</v>
      </c>
      <c r="M155" s="228">
        <f t="shared" si="99"/>
        <v>1472291.6666666651</v>
      </c>
      <c r="N155" s="228">
        <f t="shared" si="99"/>
        <v>1839208.3333333321</v>
      </c>
      <c r="O155" s="228">
        <f t="shared" si="99"/>
        <v>2206125</v>
      </c>
      <c r="P155" s="228">
        <f t="shared" si="99"/>
        <v>2573041.6666666642</v>
      </c>
    </row>
    <row r="156" spans="1:16" s="174" customFormat="1" ht="12.6" outlineLevel="1">
      <c r="A156" s="174" t="s">
        <v>1291</v>
      </c>
      <c r="B156" s="121" t="s">
        <v>1267</v>
      </c>
      <c r="C156" s="138"/>
      <c r="D156" s="134"/>
      <c r="E156" s="134"/>
      <c r="F156" s="134"/>
      <c r="G156" s="134"/>
      <c r="H156" s="134"/>
      <c r="I156" s="134"/>
      <c r="J156" s="228">
        <f>I156+J155</f>
        <v>555000</v>
      </c>
      <c r="K156" s="228">
        <f>K155</f>
        <v>738458.33333333256</v>
      </c>
      <c r="L156" s="228">
        <f>K156+L155</f>
        <v>1843833.3333333326</v>
      </c>
      <c r="M156" s="228">
        <f>M155</f>
        <v>1472291.6666666651</v>
      </c>
      <c r="N156" s="228">
        <f>M156+N155</f>
        <v>3311499.9999999972</v>
      </c>
      <c r="O156" s="228">
        <f>O155</f>
        <v>2206125</v>
      </c>
      <c r="P156" s="228">
        <f>O156+P155</f>
        <v>4779166.6666666642</v>
      </c>
    </row>
    <row r="157" spans="1:16" s="168" customFormat="1" ht="12.6" outlineLevel="1">
      <c r="A157" s="176" t="s">
        <v>236</v>
      </c>
      <c r="B157" s="233" t="s">
        <v>231</v>
      </c>
      <c r="C157" s="138"/>
      <c r="D157" s="134"/>
      <c r="E157" s="134"/>
      <c r="F157" s="134"/>
      <c r="G157" s="134"/>
      <c r="H157" s="134"/>
      <c r="I157" s="134"/>
      <c r="J157" s="234">
        <f t="shared" ref="J157:P157" si="100">J155*2/AVERAGE(I130:J130)</f>
        <v>0.02</v>
      </c>
      <c r="K157" s="234">
        <f t="shared" si="100"/>
        <v>2.2836710369487458E-2</v>
      </c>
      <c r="L157" s="234">
        <f t="shared" si="100"/>
        <v>2.397993311036789E-2</v>
      </c>
      <c r="M157" s="234">
        <f t="shared" si="100"/>
        <v>2.2846889952153084E-2</v>
      </c>
      <c r="N157" s="234">
        <f t="shared" si="100"/>
        <v>2.2216014897579128E-2</v>
      </c>
      <c r="O157" s="234">
        <f t="shared" si="100"/>
        <v>2.1814024390243901E-2</v>
      </c>
      <c r="P157" s="234">
        <f t="shared" si="100"/>
        <v>2.1535483870967719E-2</v>
      </c>
    </row>
    <row r="158" spans="1:16" s="231" customFormat="1" ht="12.6" outlineLevel="1">
      <c r="A158" s="183" t="s">
        <v>374</v>
      </c>
      <c r="B158" s="121" t="s">
        <v>231</v>
      </c>
      <c r="C158" s="138"/>
      <c r="D158" s="134"/>
      <c r="E158" s="134"/>
      <c r="F158" s="134"/>
      <c r="G158" s="134"/>
      <c r="H158" s="134"/>
      <c r="I158" s="134"/>
      <c r="J158" s="235"/>
      <c r="K158" s="235"/>
      <c r="L158" s="235"/>
      <c r="M158" s="235"/>
      <c r="N158" s="235"/>
      <c r="O158" s="235"/>
      <c r="P158" s="235"/>
    </row>
    <row r="159" spans="1:16" outlineLevel="1">
      <c r="A159" s="174" t="s">
        <v>1329</v>
      </c>
      <c r="B159" s="229" t="s">
        <v>803</v>
      </c>
      <c r="C159" s="121"/>
      <c r="G159" s="161"/>
      <c r="H159" s="161"/>
      <c r="I159" s="134"/>
      <c r="J159" s="161">
        <f>J156/AVERAGE('Funnel QH'!I30:J30)</f>
        <v>1110</v>
      </c>
      <c r="K159" s="161">
        <f>K156/AVERAGE('Funnel QH'!J30:K30)</f>
        <v>1476.9166666666652</v>
      </c>
      <c r="L159" s="161">
        <f>L156/AVERAGE('Funnel QH'!K30:L30)</f>
        <v>3687.6666666666652</v>
      </c>
      <c r="M159" s="161">
        <f>M156/AVERAGE('Funnel QH'!L30:M30)</f>
        <v>2944.5833333333303</v>
      </c>
      <c r="N159" s="161">
        <f>N156/AVERAGE('Funnel QH'!M30:N30)</f>
        <v>6622.9999999999945</v>
      </c>
      <c r="O159" s="161">
        <f>O156/AVERAGE('Funnel QH'!N30:O30)</f>
        <v>4412.25</v>
      </c>
      <c r="P159" s="161">
        <f>P156/AVERAGE('Funnel QH'!O30:P30)</f>
        <v>9558.3333333333285</v>
      </c>
    </row>
    <row r="161" spans="1:16" s="119" customFormat="1" ht="12.6">
      <c r="A161" s="132" t="s">
        <v>1349</v>
      </c>
      <c r="B161" s="116"/>
      <c r="C161" s="117"/>
      <c r="D161" s="117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</row>
    <row r="162" spans="1:16" s="231" customFormat="1" ht="12.6" outlineLevel="1">
      <c r="A162" s="122" t="s">
        <v>928</v>
      </c>
      <c r="B162" s="229" t="s">
        <v>394</v>
      </c>
      <c r="C162" s="138"/>
      <c r="D162" s="134"/>
      <c r="E162" s="134"/>
      <c r="F162" s="134"/>
      <c r="G162" s="134"/>
      <c r="H162" s="134"/>
      <c r="I162" s="134"/>
      <c r="J162" s="185">
        <f t="shared" ref="J162:P162" si="101">J8</f>
        <v>30000</v>
      </c>
      <c r="K162" s="185">
        <f t="shared" si="101"/>
        <v>49833.333333333336</v>
      </c>
      <c r="L162" s="185">
        <f t="shared" si="101"/>
        <v>69666.666666666672</v>
      </c>
      <c r="M162" s="185">
        <f t="shared" si="101"/>
        <v>89500</v>
      </c>
      <c r="N162" s="185">
        <f t="shared" si="101"/>
        <v>109333.33333333334</v>
      </c>
      <c r="O162" s="185">
        <f t="shared" si="101"/>
        <v>129166.66666666667</v>
      </c>
      <c r="P162" s="185">
        <f t="shared" si="101"/>
        <v>149000</v>
      </c>
    </row>
    <row r="163" spans="1:16" s="231" customFormat="1" ht="12.6" outlineLevel="1">
      <c r="A163" s="122" t="s">
        <v>1350</v>
      </c>
      <c r="B163" s="229" t="s">
        <v>231</v>
      </c>
      <c r="C163" s="138"/>
      <c r="D163" s="134"/>
      <c r="E163" s="134"/>
      <c r="F163" s="134"/>
      <c r="G163" s="134"/>
      <c r="H163" s="134"/>
      <c r="I163" s="134"/>
      <c r="J163" s="137">
        <v>0.5</v>
      </c>
      <c r="K163" s="205">
        <f>J163*(1+5%)</f>
        <v>0.52500000000000002</v>
      </c>
      <c r="L163" s="205">
        <f t="shared" ref="L163:P163" si="102">K163*(1+5%)</f>
        <v>0.55125000000000002</v>
      </c>
      <c r="M163" s="205">
        <f t="shared" si="102"/>
        <v>0.57881250000000006</v>
      </c>
      <c r="N163" s="205">
        <f t="shared" si="102"/>
        <v>0.60775312500000012</v>
      </c>
      <c r="O163" s="205">
        <f t="shared" si="102"/>
        <v>0.63814078125000018</v>
      </c>
      <c r="P163" s="205">
        <f t="shared" si="102"/>
        <v>0.67004782031250021</v>
      </c>
    </row>
    <row r="164" spans="1:16" s="231" customFormat="1" ht="12.6" outlineLevel="1">
      <c r="A164" s="122" t="s">
        <v>1350</v>
      </c>
      <c r="B164" s="229" t="s">
        <v>394</v>
      </c>
      <c r="C164" s="138"/>
      <c r="D164" s="134"/>
      <c r="E164" s="134"/>
      <c r="F164" s="134"/>
      <c r="G164" s="134"/>
      <c r="H164" s="134"/>
      <c r="I164" s="134"/>
      <c r="J164" s="185">
        <f>J162*J163</f>
        <v>15000</v>
      </c>
      <c r="K164" s="185">
        <f t="shared" ref="K164:P164" si="103">K162*K163</f>
        <v>26162.500000000004</v>
      </c>
      <c r="L164" s="185">
        <f t="shared" si="103"/>
        <v>38403.750000000007</v>
      </c>
      <c r="M164" s="185">
        <f t="shared" si="103"/>
        <v>51803.718750000007</v>
      </c>
      <c r="N164" s="185">
        <f t="shared" si="103"/>
        <v>66447.675000000017</v>
      </c>
      <c r="O164" s="185">
        <f t="shared" si="103"/>
        <v>82426.517578125029</v>
      </c>
      <c r="P164" s="185">
        <f t="shared" si="103"/>
        <v>99837.125226562537</v>
      </c>
    </row>
    <row r="165" spans="1:16" s="231" customFormat="1" ht="12.6" outlineLevel="1">
      <c r="A165" s="174" t="s">
        <v>1351</v>
      </c>
      <c r="B165" s="121" t="s">
        <v>1267</v>
      </c>
      <c r="C165" s="138"/>
      <c r="D165" s="134"/>
      <c r="E165" s="134"/>
      <c r="F165" s="134"/>
      <c r="G165" s="134"/>
      <c r="H165" s="134"/>
      <c r="I165" s="134"/>
      <c r="J165" s="210">
        <v>5</v>
      </c>
      <c r="K165" s="210">
        <v>5</v>
      </c>
      <c r="L165" s="210">
        <v>5</v>
      </c>
      <c r="M165" s="210">
        <v>10</v>
      </c>
      <c r="N165" s="210">
        <v>10</v>
      </c>
      <c r="O165" s="210">
        <v>10</v>
      </c>
      <c r="P165" s="210">
        <v>10</v>
      </c>
    </row>
    <row r="166" spans="1:16" s="231" customFormat="1" ht="12.6" outlineLevel="1">
      <c r="A166" s="174" t="s">
        <v>863</v>
      </c>
      <c r="B166" s="121" t="s">
        <v>1267</v>
      </c>
      <c r="C166" s="138"/>
      <c r="D166" s="134"/>
      <c r="E166" s="134"/>
      <c r="F166" s="134"/>
      <c r="G166" s="134"/>
      <c r="H166" s="134"/>
      <c r="I166" s="134"/>
      <c r="J166" s="185">
        <f>J164*J165*6</f>
        <v>450000</v>
      </c>
      <c r="K166" s="185">
        <f t="shared" ref="K166:P166" si="104">K164*K165*6</f>
        <v>784875.00000000012</v>
      </c>
      <c r="L166" s="185">
        <f t="shared" si="104"/>
        <v>1152112.5000000002</v>
      </c>
      <c r="M166" s="185">
        <f t="shared" si="104"/>
        <v>3108223.1250000005</v>
      </c>
      <c r="N166" s="185">
        <f t="shared" si="104"/>
        <v>3986860.5000000014</v>
      </c>
      <c r="O166" s="185">
        <f t="shared" si="104"/>
        <v>4945591.0546875019</v>
      </c>
      <c r="P166" s="185">
        <f t="shared" si="104"/>
        <v>5990227.5135937519</v>
      </c>
    </row>
    <row r="167" spans="1:16" s="231" customFormat="1" ht="12.6" outlineLevel="1">
      <c r="A167" s="174" t="s">
        <v>863</v>
      </c>
      <c r="B167" s="121" t="s">
        <v>803</v>
      </c>
      <c r="C167" s="138"/>
      <c r="D167" s="134"/>
      <c r="E167" s="134"/>
      <c r="F167" s="134"/>
      <c r="G167" s="134"/>
      <c r="H167" s="134"/>
      <c r="I167" s="134"/>
      <c r="J167" s="185">
        <f>J166/'Funnel QH'!J30</f>
        <v>900</v>
      </c>
      <c r="K167" s="185">
        <f>K166/'Funnel QH'!K30</f>
        <v>1569.7500000000002</v>
      </c>
      <c r="L167" s="185">
        <f>L166/'Funnel QH'!L30</f>
        <v>2304.2250000000004</v>
      </c>
      <c r="M167" s="185">
        <f>M166/'Funnel QH'!M30</f>
        <v>6216.4462500000009</v>
      </c>
      <c r="N167" s="185">
        <f>N166/'Funnel QH'!N30</f>
        <v>7973.7210000000032</v>
      </c>
      <c r="O167" s="185">
        <f>O166/'Funnel QH'!O30</f>
        <v>9891.1821093750041</v>
      </c>
      <c r="P167" s="185">
        <f>P166/'Funnel QH'!P30</f>
        <v>11980.455027187503</v>
      </c>
    </row>
    <row r="168" spans="1:16" s="231" customFormat="1" ht="12.6">
      <c r="A168" s="174"/>
      <c r="B168" s="121"/>
      <c r="C168" s="138"/>
      <c r="D168" s="134"/>
      <c r="E168" s="134"/>
      <c r="F168" s="134"/>
      <c r="G168" s="134"/>
      <c r="H168" s="134"/>
      <c r="I168" s="134"/>
      <c r="J168" s="185"/>
      <c r="K168" s="185"/>
      <c r="L168" s="185"/>
      <c r="M168" s="185"/>
      <c r="N168" s="185"/>
      <c r="O168" s="185"/>
      <c r="P168" s="185"/>
    </row>
    <row r="169" spans="1:16" s="119" customFormat="1" ht="12.6">
      <c r="A169" s="707" t="s">
        <v>1374</v>
      </c>
      <c r="B169" s="116"/>
      <c r="C169" s="117"/>
      <c r="D169" s="117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</row>
    <row r="170" spans="1:16" s="231" customFormat="1" ht="12.6" outlineLevel="1">
      <c r="A170" s="122" t="s">
        <v>928</v>
      </c>
      <c r="B170" s="229" t="s">
        <v>394</v>
      </c>
      <c r="C170" s="138"/>
      <c r="D170" s="134"/>
      <c r="E170" s="185">
        <f>E162</f>
        <v>0</v>
      </c>
      <c r="F170" s="185">
        <f t="shared" ref="F170:I170" si="105">F162</f>
        <v>0</v>
      </c>
      <c r="G170" s="185">
        <f t="shared" si="105"/>
        <v>0</v>
      </c>
      <c r="H170" s="185">
        <f t="shared" si="105"/>
        <v>0</v>
      </c>
      <c r="I170" s="185">
        <f t="shared" si="105"/>
        <v>0</v>
      </c>
      <c r="J170" s="185">
        <f t="shared" ref="J170:P170" si="106">J8</f>
        <v>30000</v>
      </c>
      <c r="K170" s="185">
        <f t="shared" si="106"/>
        <v>49833.333333333336</v>
      </c>
      <c r="L170" s="185">
        <f t="shared" si="106"/>
        <v>69666.666666666672</v>
      </c>
      <c r="M170" s="185">
        <f t="shared" si="106"/>
        <v>89500</v>
      </c>
      <c r="N170" s="185">
        <f t="shared" si="106"/>
        <v>109333.33333333334</v>
      </c>
      <c r="O170" s="185">
        <f t="shared" si="106"/>
        <v>129166.66666666667</v>
      </c>
      <c r="P170" s="185">
        <f t="shared" si="106"/>
        <v>149000</v>
      </c>
    </row>
    <row r="171" spans="1:16" s="231" customFormat="1" ht="12.6" outlineLevel="1">
      <c r="A171" s="122" t="s">
        <v>1350</v>
      </c>
      <c r="B171" s="229" t="s">
        <v>231</v>
      </c>
      <c r="C171" s="138"/>
      <c r="D171" s="134"/>
      <c r="E171" s="134"/>
      <c r="F171" s="134"/>
      <c r="G171" s="134"/>
      <c r="H171" s="134"/>
      <c r="I171" s="134"/>
      <c r="J171" s="137">
        <v>0.5</v>
      </c>
      <c r="K171" s="205">
        <f>J171*(1+5%)</f>
        <v>0.52500000000000002</v>
      </c>
      <c r="L171" s="205">
        <f t="shared" ref="L171:P171" si="107">K171*(1+5%)</f>
        <v>0.55125000000000002</v>
      </c>
      <c r="M171" s="205">
        <f t="shared" si="107"/>
        <v>0.57881250000000006</v>
      </c>
      <c r="N171" s="205">
        <f t="shared" si="107"/>
        <v>0.60775312500000012</v>
      </c>
      <c r="O171" s="205">
        <f t="shared" si="107"/>
        <v>0.63814078125000018</v>
      </c>
      <c r="P171" s="205">
        <f t="shared" si="107"/>
        <v>0.67004782031250021</v>
      </c>
    </row>
    <row r="172" spans="1:16" s="231" customFormat="1" ht="12.6" outlineLevel="1">
      <c r="A172" s="122" t="s">
        <v>1350</v>
      </c>
      <c r="B172" s="229" t="s">
        <v>394</v>
      </c>
      <c r="C172" s="138"/>
      <c r="D172" s="134"/>
      <c r="E172" s="134"/>
      <c r="F172" s="134"/>
      <c r="G172" s="134"/>
      <c r="H172" s="134"/>
      <c r="I172" s="134"/>
      <c r="J172" s="185">
        <f>J170*J171</f>
        <v>15000</v>
      </c>
      <c r="K172" s="185">
        <f t="shared" ref="K172" si="108">K170*K171</f>
        <v>26162.500000000004</v>
      </c>
      <c r="L172" s="185">
        <f t="shared" ref="L172" si="109">L170*L171</f>
        <v>38403.750000000007</v>
      </c>
      <c r="M172" s="185">
        <f t="shared" ref="M172" si="110">M170*M171</f>
        <v>51803.718750000007</v>
      </c>
      <c r="N172" s="185">
        <f t="shared" ref="N172" si="111">N170*N171</f>
        <v>66447.675000000017</v>
      </c>
      <c r="O172" s="185">
        <f t="shared" ref="O172" si="112">O170*O171</f>
        <v>82426.517578125029</v>
      </c>
      <c r="P172" s="185">
        <f t="shared" ref="P172" si="113">P170*P171</f>
        <v>99837.125226562537</v>
      </c>
    </row>
    <row r="173" spans="1:16" s="231" customFormat="1" ht="12.6" outlineLevel="1">
      <c r="A173" s="174" t="s">
        <v>1352</v>
      </c>
      <c r="B173" s="121" t="s">
        <v>1267</v>
      </c>
      <c r="C173" s="138"/>
      <c r="D173" s="134"/>
      <c r="E173" s="134"/>
      <c r="F173" s="134"/>
      <c r="G173" s="134"/>
      <c r="H173" s="134"/>
      <c r="I173" s="134"/>
      <c r="J173" s="210">
        <v>500</v>
      </c>
      <c r="K173" s="210">
        <v>500</v>
      </c>
      <c r="L173" s="210">
        <v>500</v>
      </c>
      <c r="M173" s="210">
        <v>500</v>
      </c>
      <c r="N173" s="210">
        <v>500</v>
      </c>
      <c r="O173" s="210">
        <v>500</v>
      </c>
      <c r="P173" s="210">
        <v>500</v>
      </c>
    </row>
    <row r="174" spans="1:16" s="231" customFormat="1" ht="12.6" outlineLevel="1">
      <c r="A174" s="174" t="s">
        <v>1353</v>
      </c>
      <c r="B174" s="121" t="s">
        <v>231</v>
      </c>
      <c r="C174" s="138"/>
      <c r="D174" s="134"/>
      <c r="E174" s="134"/>
      <c r="F174" s="134"/>
      <c r="G174" s="134"/>
      <c r="H174" s="134"/>
      <c r="I174" s="134"/>
      <c r="J174" s="237">
        <v>2.1999999999999999E-2</v>
      </c>
      <c r="K174" s="237">
        <v>2.1999999999999999E-2</v>
      </c>
      <c r="L174" s="237">
        <v>2.1999999999999999E-2</v>
      </c>
      <c r="M174" s="237">
        <v>2.1999999999999999E-2</v>
      </c>
      <c r="N174" s="237">
        <v>2.1999999999999999E-2</v>
      </c>
      <c r="O174" s="237">
        <v>2.1999999999999999E-2</v>
      </c>
      <c r="P174" s="237">
        <v>2.1999999999999999E-2</v>
      </c>
    </row>
    <row r="175" spans="1:16" s="231" customFormat="1" ht="12.6" outlineLevel="1">
      <c r="A175" s="174" t="s">
        <v>1353</v>
      </c>
      <c r="B175" s="121" t="s">
        <v>1267</v>
      </c>
      <c r="C175" s="138"/>
      <c r="D175" s="134"/>
      <c r="E175" s="134"/>
      <c r="F175" s="134"/>
      <c r="G175" s="134"/>
      <c r="H175" s="134"/>
      <c r="I175" s="134"/>
      <c r="J175" s="185">
        <f>J172*J173*6*J174</f>
        <v>990000</v>
      </c>
      <c r="K175" s="185">
        <f t="shared" ref="K175:P175" si="114">K172*K173*6*K174</f>
        <v>1726725.0000000002</v>
      </c>
      <c r="L175" s="185">
        <f t="shared" si="114"/>
        <v>2534647.5000000005</v>
      </c>
      <c r="M175" s="185">
        <f t="shared" si="114"/>
        <v>3419045.4375000005</v>
      </c>
      <c r="N175" s="185">
        <f t="shared" si="114"/>
        <v>4385546.5500000007</v>
      </c>
      <c r="O175" s="185">
        <f t="shared" si="114"/>
        <v>5440150.1601562519</v>
      </c>
      <c r="P175" s="185">
        <f t="shared" si="114"/>
        <v>6589250.2649531271</v>
      </c>
    </row>
    <row r="176" spans="1:16" s="231" customFormat="1" ht="12.6" outlineLevel="1">
      <c r="A176" s="174" t="s">
        <v>1354</v>
      </c>
      <c r="B176" s="121" t="s">
        <v>231</v>
      </c>
      <c r="C176" s="138"/>
      <c r="D176" s="134"/>
      <c r="E176" s="134"/>
      <c r="F176" s="134"/>
      <c r="G176" s="134"/>
      <c r="H176" s="134"/>
      <c r="I176" s="134"/>
      <c r="J176" s="237">
        <v>1.2E-2</v>
      </c>
      <c r="K176" s="237">
        <v>1.2E-2</v>
      </c>
      <c r="L176" s="237">
        <v>1.2E-2</v>
      </c>
      <c r="M176" s="237">
        <v>1.2E-2</v>
      </c>
      <c r="N176" s="237">
        <v>1.2E-2</v>
      </c>
      <c r="O176" s="237">
        <v>1.2E-2</v>
      </c>
      <c r="P176" s="237">
        <v>1.2E-2</v>
      </c>
    </row>
    <row r="177" spans="1:16" outlineLevel="1">
      <c r="A177" s="174" t="s">
        <v>1354</v>
      </c>
      <c r="B177" s="121" t="s">
        <v>1267</v>
      </c>
      <c r="J177" s="225">
        <f>-J170*J173*6*J176</f>
        <v>-1080000</v>
      </c>
      <c r="K177" s="225">
        <f t="shared" ref="K177:P177" si="115">-K170*K173*6*K176</f>
        <v>-1794000</v>
      </c>
      <c r="L177" s="225">
        <f t="shared" si="115"/>
        <v>-2508000</v>
      </c>
      <c r="M177" s="225">
        <f t="shared" si="115"/>
        <v>-3222000</v>
      </c>
      <c r="N177" s="225">
        <f t="shared" si="115"/>
        <v>-3936000</v>
      </c>
      <c r="O177" s="225">
        <f t="shared" si="115"/>
        <v>-4650000</v>
      </c>
      <c r="P177" s="225">
        <f t="shared" si="115"/>
        <v>-5364000</v>
      </c>
    </row>
    <row r="178" spans="1:16" s="231" customFormat="1" ht="12.6" outlineLevel="1">
      <c r="A178" s="174" t="s">
        <v>1329</v>
      </c>
      <c r="B178" s="121" t="s">
        <v>1267</v>
      </c>
      <c r="C178" s="138"/>
      <c r="D178" s="134"/>
      <c r="E178" s="134"/>
      <c r="F178" s="134"/>
      <c r="G178" s="134"/>
      <c r="H178" s="134"/>
      <c r="I178" s="134"/>
      <c r="J178" s="277">
        <f>J175+J177</f>
        <v>-90000</v>
      </c>
      <c r="K178" s="277">
        <f t="shared" ref="K178:P178" si="116">K175+K177</f>
        <v>-67274.999999999767</v>
      </c>
      <c r="L178" s="277">
        <f t="shared" si="116"/>
        <v>26647.500000000466</v>
      </c>
      <c r="M178" s="277">
        <f t="shared" si="116"/>
        <v>197045.43750000047</v>
      </c>
      <c r="N178" s="277">
        <f t="shared" si="116"/>
        <v>449546.55000000075</v>
      </c>
      <c r="O178" s="277">
        <f t="shared" si="116"/>
        <v>790150.16015625186</v>
      </c>
      <c r="P178" s="277">
        <f t="shared" si="116"/>
        <v>1225250.2649531271</v>
      </c>
    </row>
    <row r="179" spans="1:16" s="231" customFormat="1" ht="12.6" outlineLevel="1">
      <c r="A179" s="174" t="s">
        <v>1329</v>
      </c>
      <c r="B179" s="121" t="s">
        <v>487</v>
      </c>
      <c r="C179" s="138"/>
      <c r="D179" s="134"/>
      <c r="E179" s="134"/>
      <c r="F179" s="134"/>
      <c r="G179" s="134"/>
      <c r="H179" s="134"/>
      <c r="I179" s="134"/>
      <c r="J179" s="277">
        <f>J178/'Funnel QH'!J30</f>
        <v>-180</v>
      </c>
      <c r="K179" s="277">
        <f>K178/'Funnel QH'!K30</f>
        <v>-134.54999999999953</v>
      </c>
      <c r="L179" s="277">
        <f>L178/'Funnel QH'!L30</f>
        <v>53.295000000000933</v>
      </c>
      <c r="M179" s="277">
        <f>M178/'Funnel QH'!M30</f>
        <v>394.09087500000095</v>
      </c>
      <c r="N179" s="277">
        <f>N178/'Funnel QH'!N30</f>
        <v>899.09310000000153</v>
      </c>
      <c r="O179" s="277">
        <f>O178/'Funnel QH'!O30</f>
        <v>1580.3003203125038</v>
      </c>
      <c r="P179" s="277">
        <f>P178/'Funnel QH'!P30</f>
        <v>2450.5005299062541</v>
      </c>
    </row>
    <row r="180" spans="1:16" s="231" customFormat="1" ht="12.6">
      <c r="A180" s="174"/>
      <c r="B180" s="121"/>
      <c r="C180" s="138"/>
      <c r="D180" s="134"/>
      <c r="E180" s="134"/>
      <c r="F180" s="134"/>
      <c r="G180" s="134"/>
      <c r="H180" s="134"/>
      <c r="I180" s="134"/>
      <c r="J180" s="277"/>
      <c r="K180" s="277"/>
      <c r="L180" s="277"/>
      <c r="M180" s="277"/>
      <c r="N180" s="277"/>
      <c r="O180" s="277"/>
      <c r="P180" s="277"/>
    </row>
    <row r="181" spans="1:16" s="119" customFormat="1" ht="12.6">
      <c r="A181" s="132" t="s">
        <v>463</v>
      </c>
      <c r="B181" s="116"/>
      <c r="C181" s="117"/>
      <c r="D181" s="117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</row>
    <row r="182" spans="1:16" s="129" customFormat="1" ht="12.6" outlineLevel="1">
      <c r="A182" s="122" t="s">
        <v>928</v>
      </c>
      <c r="B182" s="278" t="s">
        <v>394</v>
      </c>
      <c r="K182" s="280">
        <f t="shared" ref="K182:P182" si="117">K8</f>
        <v>49833.333333333336</v>
      </c>
      <c r="L182" s="280">
        <f t="shared" si="117"/>
        <v>69666.666666666672</v>
      </c>
      <c r="M182" s="280">
        <f t="shared" si="117"/>
        <v>89500</v>
      </c>
      <c r="N182" s="280">
        <f t="shared" si="117"/>
        <v>109333.33333333334</v>
      </c>
      <c r="O182" s="280">
        <f t="shared" si="117"/>
        <v>129166.66666666667</v>
      </c>
      <c r="P182" s="280">
        <f t="shared" si="117"/>
        <v>149000</v>
      </c>
    </row>
    <row r="183" spans="1:16" s="129" customFormat="1" ht="12.6" outlineLevel="1">
      <c r="A183" s="120" t="s">
        <v>1355</v>
      </c>
      <c r="B183" s="278" t="s">
        <v>231</v>
      </c>
      <c r="K183" s="137">
        <v>0.1</v>
      </c>
      <c r="L183" s="137">
        <v>0.1</v>
      </c>
      <c r="M183" s="137">
        <v>0.1</v>
      </c>
      <c r="N183" s="137">
        <v>0.1</v>
      </c>
      <c r="O183" s="137">
        <v>0.1</v>
      </c>
      <c r="P183" s="137">
        <v>0.1</v>
      </c>
    </row>
    <row r="184" spans="1:16" s="129" customFormat="1" ht="12.6" outlineLevel="1">
      <c r="A184" s="120" t="s">
        <v>1355</v>
      </c>
      <c r="B184" s="278" t="s">
        <v>1267</v>
      </c>
      <c r="K184" s="281">
        <f>K182*K183</f>
        <v>4983.3333333333339</v>
      </c>
      <c r="L184" s="281">
        <f t="shared" ref="L184:P184" si="118">L182*L183</f>
        <v>6966.6666666666679</v>
      </c>
      <c r="M184" s="281">
        <f t="shared" si="118"/>
        <v>8950</v>
      </c>
      <c r="N184" s="281">
        <f t="shared" si="118"/>
        <v>10933.333333333336</v>
      </c>
      <c r="O184" s="281">
        <f t="shared" si="118"/>
        <v>12916.666666666668</v>
      </c>
      <c r="P184" s="281">
        <f t="shared" si="118"/>
        <v>14900</v>
      </c>
    </row>
    <row r="185" spans="1:16" s="129" customFormat="1" ht="12.6" outlineLevel="1">
      <c r="A185" s="120" t="s">
        <v>1356</v>
      </c>
      <c r="B185" s="278" t="s">
        <v>1267</v>
      </c>
      <c r="K185" s="210">
        <v>2500</v>
      </c>
      <c r="L185" s="210">
        <v>2500</v>
      </c>
      <c r="M185" s="210">
        <v>2500</v>
      </c>
      <c r="N185" s="210">
        <v>2500</v>
      </c>
      <c r="O185" s="210">
        <v>2500</v>
      </c>
      <c r="P185" s="210">
        <v>2500</v>
      </c>
    </row>
    <row r="186" spans="1:16" s="129" customFormat="1" ht="12.6" outlineLevel="1">
      <c r="A186" s="120" t="s">
        <v>1357</v>
      </c>
      <c r="B186" s="278" t="s">
        <v>1267</v>
      </c>
      <c r="K186" s="282">
        <f>K185*6*K184</f>
        <v>74750000.000000015</v>
      </c>
      <c r="L186" s="282">
        <f t="shared" ref="L186:P186" si="119">L185*6*L184</f>
        <v>104500000.00000001</v>
      </c>
      <c r="M186" s="282">
        <f t="shared" si="119"/>
        <v>134250000</v>
      </c>
      <c r="N186" s="282">
        <f t="shared" si="119"/>
        <v>164000000.00000003</v>
      </c>
      <c r="O186" s="282">
        <f t="shared" si="119"/>
        <v>193750000.00000003</v>
      </c>
      <c r="P186" s="282">
        <f t="shared" si="119"/>
        <v>223500000</v>
      </c>
    </row>
    <row r="187" spans="1:16" s="129" customFormat="1" ht="12.6" outlineLevel="1">
      <c r="A187" s="120" t="s">
        <v>1358</v>
      </c>
      <c r="B187" s="278" t="s">
        <v>231</v>
      </c>
      <c r="K187" s="137">
        <v>1.5E-3</v>
      </c>
      <c r="L187" s="137">
        <v>1.5E-3</v>
      </c>
      <c r="M187" s="137">
        <v>1.5E-3</v>
      </c>
      <c r="N187" s="137">
        <v>1.5E-3</v>
      </c>
      <c r="O187" s="137">
        <v>1.5E-3</v>
      </c>
      <c r="P187" s="137">
        <v>1.5E-3</v>
      </c>
    </row>
    <row r="188" spans="1:16" s="129" customFormat="1" ht="12.6" outlineLevel="1">
      <c r="A188" s="120" t="s">
        <v>1359</v>
      </c>
      <c r="B188" s="278" t="s">
        <v>231</v>
      </c>
      <c r="K188" s="137">
        <v>2.5000000000000001E-3</v>
      </c>
      <c r="L188" s="137">
        <v>2.5000000000000001E-3</v>
      </c>
      <c r="M188" s="137">
        <v>2.5000000000000001E-3</v>
      </c>
      <c r="N188" s="137">
        <v>2.5000000000000001E-3</v>
      </c>
      <c r="O188" s="137">
        <v>2.5000000000000001E-3</v>
      </c>
      <c r="P188" s="137">
        <v>2.5000000000000001E-3</v>
      </c>
    </row>
    <row r="189" spans="1:16" s="129" customFormat="1" ht="12.6" outlineLevel="1">
      <c r="A189" s="705" t="s">
        <v>1360</v>
      </c>
      <c r="B189" s="278" t="s">
        <v>1267</v>
      </c>
      <c r="K189" s="283">
        <f>(K187+K188)*K186</f>
        <v>299000.00000000006</v>
      </c>
      <c r="L189" s="283">
        <f t="shared" ref="L189:O189" si="120">(L187+L188)*L186</f>
        <v>418000.00000000006</v>
      </c>
      <c r="M189" s="283">
        <f t="shared" si="120"/>
        <v>537000</v>
      </c>
      <c r="N189" s="283">
        <f t="shared" si="120"/>
        <v>656000.00000000012</v>
      </c>
      <c r="O189" s="283">
        <f t="shared" si="120"/>
        <v>775000.00000000012</v>
      </c>
      <c r="P189" s="283">
        <f>(P187+P188)*P186</f>
        <v>894000</v>
      </c>
    </row>
    <row r="190" spans="1:16" s="129" customFormat="1" ht="12.6" outlineLevel="1">
      <c r="A190" s="174" t="s">
        <v>1348</v>
      </c>
      <c r="B190" s="278" t="s">
        <v>1267</v>
      </c>
      <c r="K190" s="210">
        <v>2</v>
      </c>
      <c r="L190" s="210">
        <v>2</v>
      </c>
      <c r="M190" s="210">
        <v>2</v>
      </c>
      <c r="N190" s="210">
        <v>2</v>
      </c>
      <c r="O190" s="210">
        <v>2</v>
      </c>
      <c r="P190" s="210">
        <v>2</v>
      </c>
    </row>
    <row r="191" spans="1:16" s="129" customFormat="1" ht="12.6" outlineLevel="1">
      <c r="A191" s="279" t="s">
        <v>307</v>
      </c>
      <c r="B191" s="138" t="s">
        <v>1267</v>
      </c>
      <c r="K191" s="232">
        <f>-K190*6*K184</f>
        <v>-59800.000000000007</v>
      </c>
      <c r="L191" s="232">
        <f t="shared" ref="L191:O191" si="121">-L190*6*L184</f>
        <v>-83600.000000000015</v>
      </c>
      <c r="M191" s="232">
        <f t="shared" si="121"/>
        <v>-107400</v>
      </c>
      <c r="N191" s="232">
        <f t="shared" si="121"/>
        <v>-131200.00000000003</v>
      </c>
      <c r="O191" s="232">
        <f t="shared" si="121"/>
        <v>-155000</v>
      </c>
      <c r="P191" s="232">
        <f>-P190*6*P184</f>
        <v>-178800</v>
      </c>
    </row>
    <row r="192" spans="1:16" s="174" customFormat="1" ht="12.6" outlineLevel="1">
      <c r="A192" s="120" t="s">
        <v>1329</v>
      </c>
      <c r="B192" s="138" t="s">
        <v>1267</v>
      </c>
      <c r="C192" s="138"/>
      <c r="D192" s="134"/>
      <c r="E192" s="134"/>
      <c r="F192" s="134"/>
      <c r="G192" s="134"/>
      <c r="H192" s="134"/>
      <c r="I192" s="134"/>
      <c r="J192" s="228"/>
      <c r="K192" s="228">
        <f>K189+K191</f>
        <v>239200.00000000006</v>
      </c>
      <c r="L192" s="228">
        <f t="shared" ref="L192:P192" si="122">L189+L191</f>
        <v>334400.00000000006</v>
      </c>
      <c r="M192" s="228">
        <f t="shared" si="122"/>
        <v>429600</v>
      </c>
      <c r="N192" s="228">
        <f t="shared" si="122"/>
        <v>524800.00000000012</v>
      </c>
      <c r="O192" s="228">
        <f t="shared" si="122"/>
        <v>620000.00000000012</v>
      </c>
      <c r="P192" s="228">
        <f t="shared" si="122"/>
        <v>715200</v>
      </c>
    </row>
    <row r="193" spans="1:16" s="174" customFormat="1" ht="12.6" outlineLevel="1">
      <c r="A193" s="120" t="s">
        <v>1291</v>
      </c>
      <c r="B193" s="138" t="s">
        <v>1267</v>
      </c>
      <c r="C193" s="138"/>
      <c r="D193" s="134"/>
      <c r="E193" s="134"/>
      <c r="F193" s="134"/>
      <c r="G193" s="134"/>
      <c r="H193" s="134"/>
      <c r="I193" s="134"/>
      <c r="J193" s="228"/>
      <c r="K193" s="228">
        <f>K192</f>
        <v>239200.00000000006</v>
      </c>
      <c r="L193" s="228">
        <f>K193+L192</f>
        <v>573600.00000000012</v>
      </c>
      <c r="M193" s="228">
        <f>M192</f>
        <v>429600</v>
      </c>
      <c r="N193" s="228">
        <f>M193+N192</f>
        <v>954400.00000000012</v>
      </c>
      <c r="O193" s="228">
        <f>O192</f>
        <v>620000.00000000012</v>
      </c>
      <c r="P193" s="228">
        <f>O193+P192</f>
        <v>1335200</v>
      </c>
    </row>
    <row r="194" spans="1:16" s="129" customFormat="1" ht="12.6" outlineLevel="1">
      <c r="A194" s="120" t="s">
        <v>1329</v>
      </c>
      <c r="B194" s="229" t="s">
        <v>803</v>
      </c>
      <c r="K194" s="161">
        <f>K192/AVERAGE('Funnel QH'!J30:K30)</f>
        <v>478.40000000000009</v>
      </c>
      <c r="L194" s="161">
        <f>L192/AVERAGE('Funnel QH'!K30:L30)</f>
        <v>668.80000000000007</v>
      </c>
      <c r="M194" s="161">
        <f>M192/AVERAGE('Funnel QH'!L30:M30)</f>
        <v>859.2</v>
      </c>
      <c r="N194" s="161">
        <f>N192/AVERAGE('Funnel QH'!M30:N30)</f>
        <v>1049.6000000000001</v>
      </c>
      <c r="O194" s="161">
        <f>O192/AVERAGE('Funnel QH'!N30:O30)</f>
        <v>1240.0000000000002</v>
      </c>
      <c r="P194" s="161">
        <f>P192/AVERAGE('Funnel QH'!O30:P30)</f>
        <v>1430.4</v>
      </c>
    </row>
    <row r="195" spans="1:16">
      <c r="A195" s="174"/>
      <c r="B195" s="229"/>
      <c r="K195" s="161"/>
      <c r="L195" s="161"/>
      <c r="M195" s="161"/>
      <c r="N195" s="161"/>
      <c r="O195" s="161"/>
      <c r="P195" s="161"/>
    </row>
    <row r="196" spans="1:16" s="119" customFormat="1" ht="12.6">
      <c r="A196" s="132" t="s">
        <v>1361</v>
      </c>
      <c r="B196" s="116"/>
      <c r="C196" s="117"/>
      <c r="D196" s="117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</row>
    <row r="197" spans="1:16" s="129" customFormat="1" ht="12.6" outlineLevel="1">
      <c r="A197" s="120" t="s">
        <v>1361</v>
      </c>
      <c r="B197" s="229" t="s">
        <v>803</v>
      </c>
      <c r="E197" s="305">
        <f>'BNPL_commiss (corp)'!BR$74</f>
        <v>0</v>
      </c>
      <c r="F197" s="305">
        <f>'BNPL_commiss (corp)'!BS$74</f>
        <v>0</v>
      </c>
      <c r="G197" s="305">
        <f>'BNPL_commiss (corp)'!BT$74</f>
        <v>0.98940529926782494</v>
      </c>
      <c r="H197" s="305">
        <f>'BNPL_commiss (corp)'!BU$74</f>
        <v>3.7224466785449515</v>
      </c>
      <c r="I197" s="305">
        <f>'BNPL_commiss (corp)'!BV$74</f>
        <v>73.866033741793316</v>
      </c>
      <c r="J197" s="305">
        <f>'BNPL_commiss (corp)'!BW$74</f>
        <v>286.10781142450952</v>
      </c>
      <c r="K197" s="305">
        <f>'BNPL_commiss (corp)'!BX$74</f>
        <v>507.73783037489221</v>
      </c>
      <c r="L197" s="305">
        <f>'BNPL_commiss (corp)'!BY$74</f>
        <v>756.13145540931669</v>
      </c>
      <c r="M197" s="305">
        <f>'BNPL_commiss (corp)'!BZ$74</f>
        <v>940.75529184278753</v>
      </c>
      <c r="N197" s="305">
        <f>'BNPL_commiss (corp)'!CA$74</f>
        <v>1050.6740456435907</v>
      </c>
      <c r="O197" s="305">
        <f>'BNPL_commiss (corp)'!CB$74</f>
        <v>1207.6799467103215</v>
      </c>
      <c r="P197" s="305">
        <f>'BNPL_commiss (corp)'!CC$74</f>
        <v>1251.8252179093918</v>
      </c>
    </row>
    <row r="199" spans="1:16" s="119" customFormat="1" ht="12.6">
      <c r="A199" s="132" t="s">
        <v>1362</v>
      </c>
      <c r="B199" s="116"/>
      <c r="C199" s="117"/>
      <c r="D199" s="117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</row>
    <row r="200" spans="1:16" ht="14.4" outlineLevel="1">
      <c r="A200" s="518" t="s">
        <v>1363</v>
      </c>
      <c r="B200" s="519" t="s">
        <v>231</v>
      </c>
      <c r="C200" s="518"/>
      <c r="G200" s="134"/>
      <c r="H200" s="134"/>
      <c r="I200" s="134"/>
      <c r="J200" s="137">
        <v>0.3</v>
      </c>
      <c r="K200" s="137">
        <f>J200*(1+15%)</f>
        <v>0.34499999999999997</v>
      </c>
      <c r="L200" s="137">
        <f t="shared" ref="L200:P200" si="123">K200*(1+15%)</f>
        <v>0.39674999999999994</v>
      </c>
      <c r="M200" s="137">
        <f t="shared" si="123"/>
        <v>0.4562624999999999</v>
      </c>
      <c r="N200" s="137">
        <f t="shared" si="123"/>
        <v>0.52470187499999987</v>
      </c>
      <c r="O200" s="137">
        <f t="shared" si="123"/>
        <v>0.60340715624999985</v>
      </c>
      <c r="P200" s="137">
        <f t="shared" si="123"/>
        <v>0.69391822968749983</v>
      </c>
    </row>
    <row r="201" spans="1:16" ht="15.6" outlineLevel="1">
      <c r="A201" s="520" t="s">
        <v>1363</v>
      </c>
      <c r="B201" s="519" t="s">
        <v>394</v>
      </c>
      <c r="C201" s="521"/>
      <c r="G201" s="134"/>
      <c r="H201" s="134"/>
      <c r="I201" s="134"/>
      <c r="J201" s="520">
        <f>J200*J8</f>
        <v>9000</v>
      </c>
      <c r="K201" s="520">
        <f t="shared" ref="K201:P201" si="124">K200*K8</f>
        <v>17192.5</v>
      </c>
      <c r="L201" s="520">
        <f t="shared" si="124"/>
        <v>27640.249999999996</v>
      </c>
      <c r="M201" s="520">
        <f t="shared" si="124"/>
        <v>40835.493749999994</v>
      </c>
      <c r="N201" s="520">
        <f t="shared" si="124"/>
        <v>57367.404999999992</v>
      </c>
      <c r="O201" s="520">
        <f t="shared" si="124"/>
        <v>77940.091015624988</v>
      </c>
      <c r="P201" s="520">
        <f t="shared" si="124"/>
        <v>103393.81622343748</v>
      </c>
    </row>
    <row r="202" spans="1:16" ht="14.4" outlineLevel="1">
      <c r="A202" s="706" t="s">
        <v>1364</v>
      </c>
      <c r="B202" s="522" t="s">
        <v>231</v>
      </c>
      <c r="C202" s="523"/>
      <c r="G202" s="134"/>
      <c r="H202" s="134"/>
      <c r="I202" s="134"/>
      <c r="J202" s="137">
        <v>0.6</v>
      </c>
      <c r="K202" s="137">
        <v>0.6</v>
      </c>
      <c r="L202" s="137">
        <v>0.6</v>
      </c>
      <c r="M202" s="137">
        <v>0.6</v>
      </c>
      <c r="N202" s="137">
        <v>0.6</v>
      </c>
      <c r="O202" s="137">
        <v>0.6</v>
      </c>
      <c r="P202" s="137">
        <v>0.6</v>
      </c>
    </row>
    <row r="203" spans="1:16" ht="15.6" outlineLevel="1">
      <c r="A203" s="520" t="s">
        <v>1365</v>
      </c>
      <c r="B203" s="519" t="s">
        <v>394</v>
      </c>
      <c r="C203" s="521"/>
      <c r="G203" s="134"/>
      <c r="H203" s="134"/>
      <c r="I203" s="134"/>
      <c r="J203" s="520">
        <f>J201*J202</f>
        <v>5400</v>
      </c>
      <c r="K203" s="520">
        <f t="shared" ref="K203:P203" si="125">K201*K202</f>
        <v>10315.5</v>
      </c>
      <c r="L203" s="520">
        <f t="shared" si="125"/>
        <v>16584.149999999998</v>
      </c>
      <c r="M203" s="520">
        <f t="shared" si="125"/>
        <v>24501.296249999996</v>
      </c>
      <c r="N203" s="520">
        <f t="shared" si="125"/>
        <v>34420.442999999992</v>
      </c>
      <c r="O203" s="520">
        <f t="shared" si="125"/>
        <v>46764.054609374994</v>
      </c>
      <c r="P203" s="520">
        <f t="shared" si="125"/>
        <v>62036.289734062484</v>
      </c>
    </row>
    <row r="204" spans="1:16" ht="14.4" outlineLevel="1">
      <c r="A204" s="491" t="s">
        <v>1085</v>
      </c>
      <c r="B204" s="524" t="s">
        <v>1267</v>
      </c>
      <c r="C204" s="491"/>
      <c r="G204" s="134"/>
      <c r="H204" s="134"/>
      <c r="I204" s="134"/>
      <c r="J204" s="491">
        <f>P204</f>
        <v>0</v>
      </c>
      <c r="K204" s="491">
        <f t="shared" ref="K204:O205" si="126">Q204</f>
        <v>0</v>
      </c>
      <c r="L204" s="491">
        <f t="shared" si="126"/>
        <v>0</v>
      </c>
      <c r="M204" s="491">
        <f t="shared" si="126"/>
        <v>0</v>
      </c>
      <c r="N204" s="491">
        <f t="shared" si="126"/>
        <v>0</v>
      </c>
      <c r="O204" s="491">
        <f t="shared" si="126"/>
        <v>0</v>
      </c>
      <c r="P204" s="491">
        <f>V304</f>
        <v>0</v>
      </c>
    </row>
    <row r="205" spans="1:16" ht="14.4" outlineLevel="1">
      <c r="A205" s="525" t="s">
        <v>1366</v>
      </c>
      <c r="B205" s="522" t="s">
        <v>231</v>
      </c>
      <c r="C205" s="523"/>
      <c r="G205" s="134"/>
      <c r="H205" s="134"/>
      <c r="I205" s="134"/>
      <c r="J205" s="540">
        <f>P205</f>
        <v>0</v>
      </c>
      <c r="K205" s="540">
        <f t="shared" si="126"/>
        <v>0</v>
      </c>
      <c r="L205" s="540">
        <f t="shared" si="126"/>
        <v>0</v>
      </c>
      <c r="M205" s="540">
        <f t="shared" si="126"/>
        <v>0</v>
      </c>
      <c r="N205" s="540">
        <f t="shared" si="126"/>
        <v>0</v>
      </c>
      <c r="O205" s="540">
        <f t="shared" si="126"/>
        <v>0</v>
      </c>
      <c r="P205" s="540">
        <f>V305</f>
        <v>0</v>
      </c>
    </row>
    <row r="206" spans="1:16" ht="15.6" outlineLevel="1">
      <c r="A206" s="520" t="s">
        <v>1087</v>
      </c>
      <c r="B206" s="519" t="s">
        <v>965</v>
      </c>
      <c r="C206" s="521"/>
      <c r="G206" s="134"/>
      <c r="H206" s="134"/>
      <c r="I206" s="134"/>
      <c r="J206" s="520">
        <f>J203*J204/1000</f>
        <v>0</v>
      </c>
      <c r="K206" s="520">
        <f t="shared" ref="K206:P206" si="127">K203*K204/1000</f>
        <v>0</v>
      </c>
      <c r="L206" s="520">
        <f t="shared" si="127"/>
        <v>0</v>
      </c>
      <c r="M206" s="520">
        <f t="shared" si="127"/>
        <v>0</v>
      </c>
      <c r="N206" s="520">
        <f t="shared" si="127"/>
        <v>0</v>
      </c>
      <c r="O206" s="520">
        <f t="shared" si="127"/>
        <v>0</v>
      </c>
      <c r="P206" s="520">
        <f t="shared" si="127"/>
        <v>0</v>
      </c>
    </row>
    <row r="207" spans="1:16" ht="14.4" outlineLevel="1">
      <c r="A207" s="526" t="s">
        <v>966</v>
      </c>
      <c r="B207" s="527" t="s">
        <v>965</v>
      </c>
      <c r="C207" s="518"/>
      <c r="G207" s="134"/>
      <c r="H207" s="134"/>
      <c r="I207" s="134"/>
      <c r="J207" s="493">
        <f>J206*J205</f>
        <v>0</v>
      </c>
      <c r="K207" s="493">
        <f t="shared" ref="K207:P207" si="128">K206*K205</f>
        <v>0</v>
      </c>
      <c r="L207" s="493">
        <f t="shared" si="128"/>
        <v>0</v>
      </c>
      <c r="M207" s="493">
        <f t="shared" si="128"/>
        <v>0</v>
      </c>
      <c r="N207" s="493">
        <f t="shared" si="128"/>
        <v>0</v>
      </c>
      <c r="O207" s="493">
        <f t="shared" si="128"/>
        <v>0</v>
      </c>
      <c r="P207" s="493">
        <f t="shared" si="128"/>
        <v>0</v>
      </c>
    </row>
    <row r="208" spans="1:16" ht="14.4" outlineLevel="1">
      <c r="A208" s="526" t="s">
        <v>1088</v>
      </c>
      <c r="B208" s="527" t="s">
        <v>965</v>
      </c>
      <c r="C208" s="518"/>
      <c r="G208" s="134"/>
      <c r="H208" s="134"/>
      <c r="I208" s="134"/>
      <c r="J208" s="493">
        <f>J206-J207</f>
        <v>0</v>
      </c>
      <c r="K208" s="493">
        <f t="shared" ref="K208:P208" si="129">K206-K207</f>
        <v>0</v>
      </c>
      <c r="L208" s="493">
        <f t="shared" si="129"/>
        <v>0</v>
      </c>
      <c r="M208" s="493">
        <f t="shared" si="129"/>
        <v>0</v>
      </c>
      <c r="N208" s="493">
        <f t="shared" si="129"/>
        <v>0</v>
      </c>
      <c r="O208" s="493">
        <f t="shared" si="129"/>
        <v>0</v>
      </c>
      <c r="P208" s="493">
        <f t="shared" si="129"/>
        <v>0</v>
      </c>
    </row>
    <row r="209" spans="1:16" ht="14.4" outlineLevel="1">
      <c r="A209" s="491" t="s">
        <v>1089</v>
      </c>
      <c r="B209" s="524" t="s">
        <v>1267</v>
      </c>
      <c r="C209" s="491"/>
      <c r="G209" s="134"/>
      <c r="H209" s="134"/>
      <c r="I209" s="134"/>
      <c r="J209" s="304">
        <f t="shared" ref="J209:P209" si="130">J173</f>
        <v>500</v>
      </c>
      <c r="K209" s="304">
        <f t="shared" si="130"/>
        <v>500</v>
      </c>
      <c r="L209" s="304">
        <f t="shared" si="130"/>
        <v>500</v>
      </c>
      <c r="M209" s="304">
        <f t="shared" si="130"/>
        <v>500</v>
      </c>
      <c r="N209" s="304">
        <f t="shared" si="130"/>
        <v>500</v>
      </c>
      <c r="O209" s="304">
        <f t="shared" si="130"/>
        <v>500</v>
      </c>
      <c r="P209" s="304">
        <f t="shared" si="130"/>
        <v>500</v>
      </c>
    </row>
    <row r="210" spans="1:16" ht="15.6" outlineLevel="1">
      <c r="A210" s="520" t="s">
        <v>1090</v>
      </c>
      <c r="B210" s="519" t="s">
        <v>965</v>
      </c>
      <c r="C210" s="521"/>
      <c r="G210" s="134"/>
      <c r="H210" s="134"/>
      <c r="I210" s="134"/>
      <c r="J210" s="520">
        <f>J203*J209/1000*6</f>
        <v>16200</v>
      </c>
      <c r="K210" s="520">
        <f>K203*K209/1000*6</f>
        <v>30946.5</v>
      </c>
      <c r="L210" s="520">
        <f t="shared" ref="L210:P210" si="131">L203*L209/1000*6</f>
        <v>49752.45</v>
      </c>
      <c r="M210" s="520">
        <f t="shared" si="131"/>
        <v>73503.888749999984</v>
      </c>
      <c r="N210" s="520">
        <f t="shared" si="131"/>
        <v>103261.32899999997</v>
      </c>
      <c r="O210" s="520">
        <f t="shared" si="131"/>
        <v>140292.16382812499</v>
      </c>
      <c r="P210" s="520">
        <f t="shared" si="131"/>
        <v>186108.86920218746</v>
      </c>
    </row>
    <row r="211" spans="1:16" ht="14.4" outlineLevel="1">
      <c r="A211" s="528" t="s">
        <v>1091</v>
      </c>
      <c r="B211" s="524" t="s">
        <v>965</v>
      </c>
      <c r="C211" s="493"/>
      <c r="G211" s="134"/>
      <c r="H211" s="134"/>
      <c r="I211" s="134"/>
      <c r="J211" s="493">
        <f>J210*J225</f>
        <v>14580</v>
      </c>
      <c r="K211" s="493">
        <f t="shared" ref="K211:P211" si="132">K210*K225</f>
        <v>27851.850000000002</v>
      </c>
      <c r="L211" s="493">
        <f t="shared" si="132"/>
        <v>44777.205000000002</v>
      </c>
      <c r="M211" s="493">
        <f t="shared" si="132"/>
        <v>66153.499874999994</v>
      </c>
      <c r="N211" s="493">
        <f t="shared" si="132"/>
        <v>92935.196099999972</v>
      </c>
      <c r="O211" s="493">
        <f t="shared" si="132"/>
        <v>126262.9474453125</v>
      </c>
      <c r="P211" s="493">
        <f t="shared" si="132"/>
        <v>167497.98228196873</v>
      </c>
    </row>
    <row r="212" spans="1:16" ht="14.4" outlineLevel="1">
      <c r="A212" s="529" t="s">
        <v>1092</v>
      </c>
      <c r="B212" s="524" t="s">
        <v>965</v>
      </c>
      <c r="C212" s="491"/>
      <c r="G212" s="134"/>
      <c r="H212" s="134"/>
      <c r="I212" s="134"/>
      <c r="J212" s="491">
        <f>J211*J226</f>
        <v>7290</v>
      </c>
      <c r="K212" s="491">
        <f t="shared" ref="K212:P212" si="133">K211*K226</f>
        <v>13925.925000000001</v>
      </c>
      <c r="L212" s="491">
        <f t="shared" si="133"/>
        <v>22388.602500000001</v>
      </c>
      <c r="M212" s="491">
        <f t="shared" si="133"/>
        <v>33076.749937499997</v>
      </c>
      <c r="N212" s="491">
        <f t="shared" si="133"/>
        <v>46467.598049999986</v>
      </c>
      <c r="O212" s="491">
        <f t="shared" si="133"/>
        <v>63131.47372265625</v>
      </c>
      <c r="P212" s="491">
        <f t="shared" si="133"/>
        <v>83748.991140984363</v>
      </c>
    </row>
    <row r="213" spans="1:16" ht="14.4" outlineLevel="1">
      <c r="A213" s="529" t="s">
        <v>1093</v>
      </c>
      <c r="B213" s="524" t="s">
        <v>965</v>
      </c>
      <c r="C213" s="491"/>
      <c r="G213" s="134"/>
      <c r="H213" s="134"/>
      <c r="I213" s="134"/>
      <c r="J213" s="491">
        <f>J211*J227</f>
        <v>7290</v>
      </c>
      <c r="K213" s="491">
        <f t="shared" ref="K213:P213" si="134">K211*K227</f>
        <v>13925.925000000001</v>
      </c>
      <c r="L213" s="491">
        <f t="shared" si="134"/>
        <v>22388.602500000001</v>
      </c>
      <c r="M213" s="491">
        <f t="shared" si="134"/>
        <v>33076.749937499997</v>
      </c>
      <c r="N213" s="491">
        <f t="shared" si="134"/>
        <v>46467.598049999986</v>
      </c>
      <c r="O213" s="491">
        <f t="shared" si="134"/>
        <v>63131.47372265625</v>
      </c>
      <c r="P213" s="491">
        <f t="shared" si="134"/>
        <v>83748.991140984363</v>
      </c>
    </row>
    <row r="214" spans="1:16" ht="14.4" outlineLevel="1">
      <c r="A214" s="528" t="s">
        <v>1094</v>
      </c>
      <c r="B214" s="524" t="s">
        <v>965</v>
      </c>
      <c r="C214" s="493"/>
      <c r="G214" s="134"/>
      <c r="H214" s="134"/>
      <c r="I214" s="134"/>
      <c r="J214" s="493">
        <f>J210*J228</f>
        <v>1620</v>
      </c>
      <c r="K214" s="493">
        <f t="shared" ref="K214:P214" si="135">K210*K228</f>
        <v>3094.65</v>
      </c>
      <c r="L214" s="493">
        <f t="shared" si="135"/>
        <v>4975.2449999999999</v>
      </c>
      <c r="M214" s="493">
        <f t="shared" si="135"/>
        <v>7350.3888749999987</v>
      </c>
      <c r="N214" s="493">
        <f t="shared" si="135"/>
        <v>10326.132899999997</v>
      </c>
      <c r="O214" s="493">
        <f t="shared" si="135"/>
        <v>14029.216382812499</v>
      </c>
      <c r="P214" s="493">
        <f t="shared" si="135"/>
        <v>18610.886920218745</v>
      </c>
    </row>
    <row r="215" spans="1:16" ht="14.4" outlineLevel="1">
      <c r="A215" s="529" t="s">
        <v>1092</v>
      </c>
      <c r="B215" s="524" t="s">
        <v>965</v>
      </c>
      <c r="C215" s="491"/>
      <c r="G215" s="134"/>
      <c r="H215" s="134"/>
      <c r="I215" s="134"/>
      <c r="J215" s="491">
        <f>J214*J229</f>
        <v>162</v>
      </c>
      <c r="K215" s="491">
        <f t="shared" ref="K215:P215" si="136">K214*K229</f>
        <v>309.46500000000003</v>
      </c>
      <c r="L215" s="491">
        <f t="shared" si="136"/>
        <v>497.52449999999999</v>
      </c>
      <c r="M215" s="491">
        <f t="shared" si="136"/>
        <v>735.03888749999987</v>
      </c>
      <c r="N215" s="491">
        <f t="shared" si="136"/>
        <v>1032.6132899999998</v>
      </c>
      <c r="O215" s="491">
        <f t="shared" si="136"/>
        <v>1402.9216382812501</v>
      </c>
      <c r="P215" s="491">
        <f t="shared" si="136"/>
        <v>1861.0886920218745</v>
      </c>
    </row>
    <row r="216" spans="1:16" ht="14.4" outlineLevel="1">
      <c r="A216" s="530" t="s">
        <v>504</v>
      </c>
      <c r="B216" s="524" t="s">
        <v>965</v>
      </c>
      <c r="C216" s="491"/>
      <c r="G216" s="134"/>
      <c r="H216" s="134"/>
      <c r="I216" s="134"/>
      <c r="J216" s="491">
        <f>J214*J230</f>
        <v>0</v>
      </c>
      <c r="K216" s="491">
        <f t="shared" ref="K216:P216" si="137">K214*K230</f>
        <v>0</v>
      </c>
      <c r="L216" s="491">
        <f t="shared" si="137"/>
        <v>0</v>
      </c>
      <c r="M216" s="491">
        <f t="shared" si="137"/>
        <v>0</v>
      </c>
      <c r="N216" s="491">
        <f t="shared" si="137"/>
        <v>0</v>
      </c>
      <c r="O216" s="491">
        <f t="shared" si="137"/>
        <v>0</v>
      </c>
      <c r="P216" s="491">
        <f t="shared" si="137"/>
        <v>0</v>
      </c>
    </row>
    <row r="217" spans="1:16" ht="14.4" outlineLevel="1">
      <c r="A217" s="529" t="s">
        <v>1093</v>
      </c>
      <c r="B217" s="524" t="s">
        <v>965</v>
      </c>
      <c r="C217" s="491"/>
      <c r="G217" s="134"/>
      <c r="H217" s="134"/>
      <c r="I217" s="134"/>
      <c r="J217" s="491">
        <f>J214*J231</f>
        <v>1458</v>
      </c>
      <c r="K217" s="491">
        <f t="shared" ref="K217:P217" si="138">K214*K231</f>
        <v>2785.1849999999999</v>
      </c>
      <c r="L217" s="491">
        <f t="shared" si="138"/>
        <v>4477.7205000000004</v>
      </c>
      <c r="M217" s="491">
        <f t="shared" si="138"/>
        <v>6615.3499874999989</v>
      </c>
      <c r="N217" s="491">
        <f t="shared" si="138"/>
        <v>9293.5196099999976</v>
      </c>
      <c r="O217" s="491">
        <f t="shared" si="138"/>
        <v>12626.294744531249</v>
      </c>
      <c r="P217" s="491">
        <f t="shared" si="138"/>
        <v>16749.798228196873</v>
      </c>
    </row>
    <row r="218" spans="1:16" ht="14.4" outlineLevel="1">
      <c r="A218" s="528" t="s">
        <v>1095</v>
      </c>
      <c r="B218" s="524" t="s">
        <v>965</v>
      </c>
      <c r="C218" s="493"/>
      <c r="G218" s="134"/>
      <c r="H218" s="134"/>
      <c r="I218" s="134"/>
      <c r="J218" s="493">
        <f>J210*J232</f>
        <v>0</v>
      </c>
      <c r="K218" s="493">
        <f t="shared" ref="K218:P218" si="139">K210*K232</f>
        <v>0</v>
      </c>
      <c r="L218" s="493">
        <f t="shared" si="139"/>
        <v>0</v>
      </c>
      <c r="M218" s="493">
        <f t="shared" si="139"/>
        <v>0</v>
      </c>
      <c r="N218" s="493">
        <f t="shared" si="139"/>
        <v>0</v>
      </c>
      <c r="O218" s="493">
        <f t="shared" si="139"/>
        <v>0</v>
      </c>
      <c r="P218" s="493">
        <f t="shared" si="139"/>
        <v>0</v>
      </c>
    </row>
    <row r="219" spans="1:16" ht="14.4" outlineLevel="1">
      <c r="A219" s="529" t="s">
        <v>1096</v>
      </c>
      <c r="B219" s="524" t="s">
        <v>965</v>
      </c>
      <c r="C219" s="491"/>
      <c r="G219" s="134"/>
      <c r="H219" s="134"/>
      <c r="I219" s="134"/>
      <c r="J219" s="491">
        <f>J218*J233</f>
        <v>0</v>
      </c>
      <c r="K219" s="491">
        <f t="shared" ref="K219:P219" si="140">K218*K233</f>
        <v>0</v>
      </c>
      <c r="L219" s="491">
        <f t="shared" si="140"/>
        <v>0</v>
      </c>
      <c r="M219" s="491">
        <f t="shared" si="140"/>
        <v>0</v>
      </c>
      <c r="N219" s="491">
        <f t="shared" si="140"/>
        <v>0</v>
      </c>
      <c r="O219" s="491">
        <f t="shared" si="140"/>
        <v>0</v>
      </c>
      <c r="P219" s="491">
        <f t="shared" si="140"/>
        <v>0</v>
      </c>
    </row>
    <row r="220" spans="1:16" ht="14.4" outlineLevel="1">
      <c r="A220" s="529" t="s">
        <v>1097</v>
      </c>
      <c r="B220" s="524" t="s">
        <v>965</v>
      </c>
      <c r="C220" s="491"/>
      <c r="G220" s="134"/>
      <c r="H220" s="134"/>
      <c r="I220" s="134"/>
      <c r="J220" s="491">
        <f>J218*J234</f>
        <v>0</v>
      </c>
      <c r="K220" s="491">
        <f t="shared" ref="K220:P220" si="141">K218*K234</f>
        <v>0</v>
      </c>
      <c r="L220" s="491">
        <f t="shared" si="141"/>
        <v>0</v>
      </c>
      <c r="M220" s="491">
        <f t="shared" si="141"/>
        <v>0</v>
      </c>
      <c r="N220" s="491">
        <f t="shared" si="141"/>
        <v>0</v>
      </c>
      <c r="O220" s="491">
        <f t="shared" si="141"/>
        <v>0</v>
      </c>
      <c r="P220" s="491">
        <f t="shared" si="141"/>
        <v>0</v>
      </c>
    </row>
    <row r="221" spans="1:16" ht="14.4" outlineLevel="1">
      <c r="A221" s="528" t="s">
        <v>1098</v>
      </c>
      <c r="B221" s="524" t="s">
        <v>965</v>
      </c>
      <c r="C221" s="493"/>
      <c r="G221" s="134"/>
      <c r="H221" s="134"/>
      <c r="I221" s="134"/>
      <c r="J221" s="493">
        <f>J210*J235</f>
        <v>0</v>
      </c>
      <c r="K221" s="493">
        <f t="shared" ref="K221:P221" si="142">K210*K235</f>
        <v>0</v>
      </c>
      <c r="L221" s="493">
        <f t="shared" si="142"/>
        <v>0</v>
      </c>
      <c r="M221" s="493">
        <f t="shared" si="142"/>
        <v>0</v>
      </c>
      <c r="N221" s="493">
        <f t="shared" si="142"/>
        <v>0</v>
      </c>
      <c r="O221" s="493">
        <f t="shared" si="142"/>
        <v>0</v>
      </c>
      <c r="P221" s="493">
        <f t="shared" si="142"/>
        <v>0</v>
      </c>
    </row>
    <row r="222" spans="1:16" outlineLevel="1">
      <c r="A222" s="531" t="s">
        <v>913</v>
      </c>
      <c r="B222" s="532"/>
      <c r="C222" s="532"/>
      <c r="G222" s="134"/>
      <c r="H222" s="134"/>
      <c r="I222" s="134"/>
      <c r="J222" s="532">
        <f>J210-J212-J213-J215-J216-J217-J219-J220-J221</f>
        <v>0</v>
      </c>
      <c r="K222" s="532">
        <f t="shared" ref="K222:P222" si="143">K210-K212-K213-K215-K216-K217-K219-K220-K221</f>
        <v>-4.0927261579781771E-12</v>
      </c>
      <c r="L222" s="532">
        <f t="shared" si="143"/>
        <v>-4.5474735088646412E-12</v>
      </c>
      <c r="M222" s="532">
        <f t="shared" si="143"/>
        <v>-9.0949470177292824E-12</v>
      </c>
      <c r="N222" s="532">
        <f t="shared" si="143"/>
        <v>0</v>
      </c>
      <c r="O222" s="532">
        <f t="shared" si="143"/>
        <v>-1.6370904631912708E-11</v>
      </c>
      <c r="P222" s="532">
        <f t="shared" si="143"/>
        <v>-1.4551915228366852E-11</v>
      </c>
    </row>
    <row r="223" spans="1:16" ht="14.4" outlineLevel="1">
      <c r="A223" s="525" t="s">
        <v>1099</v>
      </c>
      <c r="B223" s="522"/>
      <c r="C223" s="523"/>
      <c r="G223" s="134"/>
      <c r="H223" s="134"/>
      <c r="I223" s="134"/>
      <c r="J223" s="540"/>
      <c r="K223" s="540"/>
      <c r="L223" s="540"/>
      <c r="M223" s="540"/>
      <c r="N223" s="540"/>
      <c r="O223" s="540"/>
      <c r="P223" s="540"/>
    </row>
    <row r="224" spans="1:16" ht="14.4" outlineLevel="1">
      <c r="A224" s="533" t="s">
        <v>1090</v>
      </c>
      <c r="B224" s="522" t="s">
        <v>231</v>
      </c>
      <c r="C224" s="533"/>
      <c r="G224" s="134"/>
      <c r="H224" s="134"/>
      <c r="I224" s="134"/>
      <c r="J224" s="533">
        <f>J225+J228+J232+J235</f>
        <v>1</v>
      </c>
      <c r="K224" s="533">
        <f t="shared" ref="K224:P224" si="144">K225+K228+K232+K235</f>
        <v>1</v>
      </c>
      <c r="L224" s="533">
        <f t="shared" si="144"/>
        <v>1</v>
      </c>
      <c r="M224" s="533">
        <f t="shared" si="144"/>
        <v>1</v>
      </c>
      <c r="N224" s="533">
        <f t="shared" si="144"/>
        <v>1</v>
      </c>
      <c r="O224" s="533">
        <f t="shared" si="144"/>
        <v>1</v>
      </c>
      <c r="P224" s="533">
        <f t="shared" si="144"/>
        <v>1</v>
      </c>
    </row>
    <row r="225" spans="1:16" ht="14.4" outlineLevel="1">
      <c r="A225" s="534" t="s">
        <v>1091</v>
      </c>
      <c r="B225" s="522" t="s">
        <v>231</v>
      </c>
      <c r="C225" s="533"/>
      <c r="G225" s="134"/>
      <c r="H225" s="134"/>
      <c r="I225" s="134"/>
      <c r="J225" s="533">
        <f>100%-J228-J232-J235</f>
        <v>0.9</v>
      </c>
      <c r="K225" s="533">
        <f t="shared" ref="K225:P225" si="145">100%-K228-K232-K235</f>
        <v>0.9</v>
      </c>
      <c r="L225" s="533">
        <f t="shared" si="145"/>
        <v>0.9</v>
      </c>
      <c r="M225" s="533">
        <f t="shared" si="145"/>
        <v>0.9</v>
      </c>
      <c r="N225" s="533">
        <f t="shared" si="145"/>
        <v>0.9</v>
      </c>
      <c r="O225" s="533">
        <f t="shared" si="145"/>
        <v>0.9</v>
      </c>
      <c r="P225" s="533">
        <f t="shared" si="145"/>
        <v>0.9</v>
      </c>
    </row>
    <row r="226" spans="1:16" ht="14.4" outlineLevel="1">
      <c r="A226" s="530" t="s">
        <v>1092</v>
      </c>
      <c r="B226" s="522" t="s">
        <v>231</v>
      </c>
      <c r="C226" s="523"/>
      <c r="G226" s="134"/>
      <c r="H226" s="134"/>
      <c r="I226" s="134"/>
      <c r="J226" s="306">
        <v>0.5</v>
      </c>
      <c r="K226" s="306">
        <v>0.5</v>
      </c>
      <c r="L226" s="306">
        <v>0.5</v>
      </c>
      <c r="M226" s="306">
        <v>0.5</v>
      </c>
      <c r="N226" s="306">
        <v>0.5</v>
      </c>
      <c r="O226" s="306">
        <v>0.5</v>
      </c>
      <c r="P226" s="306">
        <v>0.5</v>
      </c>
    </row>
    <row r="227" spans="1:16" ht="14.4" outlineLevel="1">
      <c r="A227" s="530" t="s">
        <v>1093</v>
      </c>
      <c r="B227" s="522" t="s">
        <v>231</v>
      </c>
      <c r="C227" s="523"/>
      <c r="G227" s="134"/>
      <c r="H227" s="134"/>
      <c r="I227" s="134"/>
      <c r="J227" s="523">
        <f>100%-J226</f>
        <v>0.5</v>
      </c>
      <c r="K227" s="523">
        <f t="shared" ref="K227:P227" si="146">100%-K226</f>
        <v>0.5</v>
      </c>
      <c r="L227" s="523">
        <f t="shared" si="146"/>
        <v>0.5</v>
      </c>
      <c r="M227" s="523">
        <f t="shared" si="146"/>
        <v>0.5</v>
      </c>
      <c r="N227" s="523">
        <f t="shared" si="146"/>
        <v>0.5</v>
      </c>
      <c r="O227" s="523">
        <f t="shared" si="146"/>
        <v>0.5</v>
      </c>
      <c r="P227" s="523">
        <f t="shared" si="146"/>
        <v>0.5</v>
      </c>
    </row>
    <row r="228" spans="1:16" ht="14.4" outlineLevel="1">
      <c r="A228" s="534" t="s">
        <v>1094</v>
      </c>
      <c r="B228" s="522" t="s">
        <v>231</v>
      </c>
      <c r="C228" s="533"/>
      <c r="G228" s="134"/>
      <c r="H228" s="134"/>
      <c r="I228" s="134"/>
      <c r="J228" s="533">
        <v>0.1</v>
      </c>
      <c r="K228" s="533">
        <v>0.1</v>
      </c>
      <c r="L228" s="533">
        <v>0.1</v>
      </c>
      <c r="M228" s="533">
        <v>0.1</v>
      </c>
      <c r="N228" s="533">
        <v>0.1</v>
      </c>
      <c r="O228" s="533">
        <v>0.1</v>
      </c>
      <c r="P228" s="533">
        <v>0.1</v>
      </c>
    </row>
    <row r="229" spans="1:16" ht="14.4" outlineLevel="1">
      <c r="A229" s="530" t="s">
        <v>1092</v>
      </c>
      <c r="B229" s="522" t="s">
        <v>231</v>
      </c>
      <c r="C229" s="523"/>
      <c r="G229" s="134"/>
      <c r="H229" s="134"/>
      <c r="I229" s="134"/>
      <c r="J229" s="306">
        <v>0.1</v>
      </c>
      <c r="K229" s="306">
        <v>0.1</v>
      </c>
      <c r="L229" s="306">
        <v>0.1</v>
      </c>
      <c r="M229" s="306">
        <v>0.1</v>
      </c>
      <c r="N229" s="306">
        <v>0.1</v>
      </c>
      <c r="O229" s="306">
        <v>0.1</v>
      </c>
      <c r="P229" s="306">
        <v>0.1</v>
      </c>
    </row>
    <row r="230" spans="1:16" ht="14.4" outlineLevel="1">
      <c r="A230" s="530" t="s">
        <v>504</v>
      </c>
      <c r="B230" s="522" t="s">
        <v>231</v>
      </c>
      <c r="C230" s="523"/>
      <c r="G230" s="134"/>
      <c r="H230" s="134"/>
      <c r="I230" s="134"/>
      <c r="J230" s="523">
        <f>P230</f>
        <v>0</v>
      </c>
      <c r="K230" s="523">
        <f t="shared" ref="K230:O230" si="147">Q230</f>
        <v>0</v>
      </c>
      <c r="L230" s="523">
        <f t="shared" si="147"/>
        <v>0</v>
      </c>
      <c r="M230" s="523">
        <f t="shared" si="147"/>
        <v>0</v>
      </c>
      <c r="N230" s="523">
        <f t="shared" si="147"/>
        <v>0</v>
      </c>
      <c r="O230" s="523">
        <f t="shared" si="147"/>
        <v>0</v>
      </c>
      <c r="P230" s="523">
        <f>V330</f>
        <v>0</v>
      </c>
    </row>
    <row r="231" spans="1:16" ht="14.4" outlineLevel="1">
      <c r="A231" s="530" t="s">
        <v>1093</v>
      </c>
      <c r="B231" s="522" t="s">
        <v>231</v>
      </c>
      <c r="C231" s="523"/>
      <c r="G231" s="134"/>
      <c r="H231" s="134"/>
      <c r="I231" s="134"/>
      <c r="J231" s="523">
        <f t="shared" ref="J231:P231" si="148">100%-J229-J230</f>
        <v>0.9</v>
      </c>
      <c r="K231" s="523">
        <f t="shared" si="148"/>
        <v>0.9</v>
      </c>
      <c r="L231" s="523">
        <f t="shared" si="148"/>
        <v>0.9</v>
      </c>
      <c r="M231" s="523">
        <f t="shared" si="148"/>
        <v>0.9</v>
      </c>
      <c r="N231" s="523">
        <f t="shared" si="148"/>
        <v>0.9</v>
      </c>
      <c r="O231" s="523">
        <f t="shared" si="148"/>
        <v>0.9</v>
      </c>
      <c r="P231" s="523">
        <f t="shared" si="148"/>
        <v>0.9</v>
      </c>
    </row>
    <row r="232" spans="1:16" ht="14.4" outlineLevel="1">
      <c r="A232" s="534" t="s">
        <v>1095</v>
      </c>
      <c r="B232" s="522" t="s">
        <v>231</v>
      </c>
      <c r="C232" s="533"/>
      <c r="G232" s="134"/>
      <c r="H232" s="134"/>
      <c r="I232" s="134"/>
      <c r="J232" s="533">
        <f>P232</f>
        <v>0</v>
      </c>
      <c r="K232" s="533">
        <f t="shared" ref="K232:O233" si="149">Q232</f>
        <v>0</v>
      </c>
      <c r="L232" s="533">
        <f t="shared" si="149"/>
        <v>0</v>
      </c>
      <c r="M232" s="533">
        <f t="shared" si="149"/>
        <v>0</v>
      </c>
      <c r="N232" s="533">
        <f t="shared" si="149"/>
        <v>0</v>
      </c>
      <c r="O232" s="533">
        <f t="shared" si="149"/>
        <v>0</v>
      </c>
      <c r="P232" s="533">
        <f>V332</f>
        <v>0</v>
      </c>
    </row>
    <row r="233" spans="1:16" ht="14.4" outlineLevel="1">
      <c r="A233" s="530" t="s">
        <v>1096</v>
      </c>
      <c r="B233" s="522" t="s">
        <v>231</v>
      </c>
      <c r="C233" s="523"/>
      <c r="G233" s="134"/>
      <c r="H233" s="134"/>
      <c r="I233" s="134"/>
      <c r="J233" s="523">
        <f>P233</f>
        <v>0</v>
      </c>
      <c r="K233" s="523">
        <f t="shared" si="149"/>
        <v>0</v>
      </c>
      <c r="L233" s="523">
        <f t="shared" si="149"/>
        <v>0</v>
      </c>
      <c r="M233" s="523">
        <f t="shared" si="149"/>
        <v>0</v>
      </c>
      <c r="N233" s="523">
        <f t="shared" si="149"/>
        <v>0</v>
      </c>
      <c r="O233" s="523">
        <f t="shared" si="149"/>
        <v>0</v>
      </c>
      <c r="P233" s="523">
        <f>V333</f>
        <v>0</v>
      </c>
    </row>
    <row r="234" spans="1:16" ht="14.4" outlineLevel="1">
      <c r="A234" s="530" t="s">
        <v>1097</v>
      </c>
      <c r="B234" s="522" t="s">
        <v>231</v>
      </c>
      <c r="C234" s="523"/>
      <c r="G234" s="134"/>
      <c r="H234" s="134"/>
      <c r="I234" s="134"/>
      <c r="J234" s="523">
        <f t="shared" ref="J234:P234" si="150">100%-J233</f>
        <v>1</v>
      </c>
      <c r="K234" s="523">
        <f t="shared" si="150"/>
        <v>1</v>
      </c>
      <c r="L234" s="523">
        <f t="shared" si="150"/>
        <v>1</v>
      </c>
      <c r="M234" s="523">
        <f t="shared" si="150"/>
        <v>1</v>
      </c>
      <c r="N234" s="523">
        <f t="shared" si="150"/>
        <v>1</v>
      </c>
      <c r="O234" s="523">
        <f t="shared" si="150"/>
        <v>1</v>
      </c>
      <c r="P234" s="523">
        <f t="shared" si="150"/>
        <v>1</v>
      </c>
    </row>
    <row r="235" spans="1:16" ht="14.4" outlineLevel="1">
      <c r="A235" s="534" t="s">
        <v>1098</v>
      </c>
      <c r="B235" s="522" t="s">
        <v>231</v>
      </c>
      <c r="C235" s="533"/>
      <c r="G235" s="134"/>
      <c r="H235" s="134"/>
      <c r="I235" s="134"/>
      <c r="J235" s="533">
        <f>P235</f>
        <v>0</v>
      </c>
      <c r="K235" s="533">
        <f t="shared" ref="K235:O235" si="151">Q235</f>
        <v>0</v>
      </c>
      <c r="L235" s="533">
        <f t="shared" si="151"/>
        <v>0</v>
      </c>
      <c r="M235" s="533">
        <f t="shared" si="151"/>
        <v>0</v>
      </c>
      <c r="N235" s="533">
        <f t="shared" si="151"/>
        <v>0</v>
      </c>
      <c r="O235" s="533">
        <f t="shared" si="151"/>
        <v>0</v>
      </c>
      <c r="P235" s="533">
        <f>V335</f>
        <v>0</v>
      </c>
    </row>
    <row r="236" spans="1:16" ht="14.4" outlineLevel="1">
      <c r="A236" s="518"/>
      <c r="B236" s="519"/>
      <c r="C236" s="518"/>
      <c r="G236" s="134"/>
      <c r="H236" s="134"/>
      <c r="I236" s="134"/>
      <c r="J236" s="518"/>
      <c r="K236" s="518"/>
      <c r="L236" s="518"/>
      <c r="M236" s="518"/>
      <c r="N236" s="518"/>
      <c r="O236" s="518"/>
      <c r="P236" s="518"/>
    </row>
    <row r="237" spans="1:16" ht="14.4" outlineLevel="1">
      <c r="A237" s="533" t="s">
        <v>1108</v>
      </c>
      <c r="B237" s="522"/>
      <c r="C237" s="533"/>
      <c r="G237" s="134"/>
      <c r="H237" s="134"/>
      <c r="I237" s="134"/>
      <c r="J237" s="533"/>
      <c r="K237" s="533"/>
      <c r="L237" s="533"/>
      <c r="M237" s="533"/>
      <c r="N237" s="533"/>
      <c r="O237" s="533"/>
      <c r="P237" s="533"/>
    </row>
    <row r="238" spans="1:16" ht="14.4" outlineLevel="1">
      <c r="A238" s="534" t="s">
        <v>966</v>
      </c>
      <c r="B238" s="522" t="s">
        <v>231</v>
      </c>
      <c r="C238" s="533"/>
      <c r="G238" s="134"/>
      <c r="H238" s="134"/>
      <c r="I238" s="134"/>
      <c r="J238" s="307">
        <v>0.11</v>
      </c>
      <c r="K238" s="307">
        <v>0.11</v>
      </c>
      <c r="L238" s="307">
        <v>0.11</v>
      </c>
      <c r="M238" s="307">
        <v>0.11</v>
      </c>
      <c r="N238" s="307">
        <v>0.11</v>
      </c>
      <c r="O238" s="307">
        <v>0.11</v>
      </c>
      <c r="P238" s="307">
        <v>0.11</v>
      </c>
    </row>
    <row r="239" spans="1:16" ht="14.4" outlineLevel="1">
      <c r="A239" s="534" t="s">
        <v>1088</v>
      </c>
      <c r="B239" s="522" t="s">
        <v>231</v>
      </c>
      <c r="C239" s="533"/>
      <c r="G239" s="134"/>
      <c r="H239" s="134"/>
      <c r="I239" s="134"/>
      <c r="J239" s="307">
        <v>3.5000000000000003E-2</v>
      </c>
      <c r="K239" s="307">
        <v>3.5000000000000003E-2</v>
      </c>
      <c r="L239" s="307">
        <v>3.5000000000000003E-2</v>
      </c>
      <c r="M239" s="307">
        <v>3.5000000000000003E-2</v>
      </c>
      <c r="N239" s="307">
        <v>3.5000000000000003E-2</v>
      </c>
      <c r="O239" s="307">
        <v>3.5000000000000003E-2</v>
      </c>
      <c r="P239" s="307">
        <v>3.5000000000000003E-2</v>
      </c>
    </row>
    <row r="240" spans="1:16" ht="14.4" outlineLevel="1">
      <c r="A240" s="533" t="s">
        <v>1100</v>
      </c>
      <c r="B240" s="522" t="s">
        <v>231</v>
      </c>
      <c r="C240" s="533"/>
      <c r="G240" s="134"/>
      <c r="H240" s="134"/>
      <c r="I240" s="134"/>
      <c r="J240" s="293">
        <v>0</v>
      </c>
      <c r="K240" s="293">
        <v>0</v>
      </c>
      <c r="L240" s="293">
        <v>0</v>
      </c>
      <c r="M240" s="293">
        <v>0</v>
      </c>
      <c r="N240" s="293">
        <v>0</v>
      </c>
      <c r="O240" s="293">
        <v>0</v>
      </c>
      <c r="P240" s="293">
        <v>0</v>
      </c>
    </row>
    <row r="241" spans="1:16" ht="14.4" outlineLevel="1">
      <c r="A241" s="533" t="s">
        <v>1101</v>
      </c>
      <c r="B241" s="522" t="s">
        <v>231</v>
      </c>
      <c r="C241" s="533"/>
      <c r="G241" s="134"/>
      <c r="H241" s="134"/>
      <c r="I241" s="134"/>
      <c r="J241" s="308">
        <v>1.32E-2</v>
      </c>
      <c r="K241" s="308">
        <v>1.32E-2</v>
      </c>
      <c r="L241" s="308">
        <v>1.32E-2</v>
      </c>
      <c r="M241" s="308">
        <v>1.32E-2</v>
      </c>
      <c r="N241" s="308">
        <v>1.32E-2</v>
      </c>
      <c r="O241" s="308">
        <v>1.32E-2</v>
      </c>
      <c r="P241" s="308">
        <v>1.32E-2</v>
      </c>
    </row>
    <row r="242" spans="1:16" ht="14.4" outlineLevel="1">
      <c r="A242" s="533" t="s">
        <v>1078</v>
      </c>
      <c r="B242" s="522" t="s">
        <v>231</v>
      </c>
      <c r="C242" s="533"/>
      <c r="G242" s="134"/>
      <c r="H242" s="134"/>
      <c r="I242" s="134"/>
      <c r="J242" s="291">
        <v>0</v>
      </c>
      <c r="K242" s="291">
        <v>0</v>
      </c>
      <c r="L242" s="291">
        <v>0</v>
      </c>
      <c r="M242" s="291">
        <v>0</v>
      </c>
      <c r="N242" s="291">
        <v>0</v>
      </c>
      <c r="O242" s="291">
        <v>0</v>
      </c>
      <c r="P242" s="291">
        <v>0</v>
      </c>
    </row>
    <row r="243" spans="1:16" ht="14.4" outlineLevel="1">
      <c r="A243" s="533" t="s">
        <v>1077</v>
      </c>
      <c r="B243" s="535" t="s">
        <v>231</v>
      </c>
      <c r="C243" s="533"/>
      <c r="G243" s="134"/>
      <c r="H243" s="134"/>
      <c r="I243" s="134"/>
      <c r="J243" s="308">
        <v>-0.02</v>
      </c>
      <c r="K243" s="308">
        <v>-0.02</v>
      </c>
      <c r="L243" s="308">
        <v>-0.02</v>
      </c>
      <c r="M243" s="308">
        <v>-0.02</v>
      </c>
      <c r="N243" s="308">
        <v>-0.02</v>
      </c>
      <c r="O243" s="308">
        <v>-0.02</v>
      </c>
      <c r="P243" s="308">
        <v>-0.02</v>
      </c>
    </row>
    <row r="244" spans="1:16" ht="14.4" outlineLevel="1">
      <c r="A244" s="518"/>
      <c r="B244" s="519"/>
      <c r="C244" s="518"/>
      <c r="G244" s="134"/>
      <c r="H244" s="134"/>
      <c r="I244" s="134"/>
      <c r="J244" s="518"/>
    </row>
    <row r="245" spans="1:16" ht="14.4" outlineLevel="1">
      <c r="A245" s="490" t="s">
        <v>871</v>
      </c>
      <c r="B245" s="524" t="s">
        <v>965</v>
      </c>
      <c r="C245" s="491"/>
      <c r="G245" s="134"/>
      <c r="H245" s="134"/>
      <c r="I245" s="134"/>
      <c r="J245" s="493">
        <f>J246+J247</f>
        <v>0</v>
      </c>
      <c r="K245" s="493">
        <f t="shared" ref="K245:P245" si="152">K246+K247</f>
        <v>0</v>
      </c>
      <c r="L245" s="493">
        <f t="shared" si="152"/>
        <v>0</v>
      </c>
      <c r="M245" s="493">
        <f t="shared" si="152"/>
        <v>0</v>
      </c>
      <c r="N245" s="493">
        <f t="shared" si="152"/>
        <v>0</v>
      </c>
      <c r="O245" s="493">
        <f t="shared" si="152"/>
        <v>0</v>
      </c>
      <c r="P245" s="493">
        <f t="shared" si="152"/>
        <v>0</v>
      </c>
    </row>
    <row r="246" spans="1:16" ht="14.4" outlineLevel="1">
      <c r="A246" s="487" t="s">
        <v>861</v>
      </c>
      <c r="B246" s="524" t="s">
        <v>965</v>
      </c>
      <c r="C246" s="491"/>
      <c r="G246" s="134"/>
      <c r="H246" s="134"/>
      <c r="I246" s="134"/>
      <c r="J246" s="491"/>
      <c r="K246" s="491"/>
      <c r="L246" s="491"/>
      <c r="M246" s="491"/>
      <c r="N246" s="491"/>
      <c r="O246" s="491"/>
      <c r="P246" s="491"/>
    </row>
    <row r="247" spans="1:16" ht="14.4" outlineLevel="1">
      <c r="A247" s="487" t="s">
        <v>867</v>
      </c>
      <c r="B247" s="524" t="s">
        <v>965</v>
      </c>
      <c r="C247" s="491"/>
      <c r="G247" s="134"/>
      <c r="H247" s="134"/>
      <c r="I247" s="134"/>
      <c r="J247" s="491"/>
      <c r="K247" s="491"/>
      <c r="L247" s="491"/>
      <c r="M247" s="491"/>
      <c r="N247" s="491"/>
      <c r="O247" s="491"/>
      <c r="P247" s="491"/>
    </row>
    <row r="248" spans="1:16" ht="14.4" outlineLevel="1">
      <c r="A248" s="490" t="s">
        <v>870</v>
      </c>
      <c r="B248" s="524" t="s">
        <v>965</v>
      </c>
      <c r="C248" s="491"/>
      <c r="G248" s="134"/>
      <c r="H248" s="134"/>
      <c r="I248" s="134"/>
      <c r="J248" s="493">
        <f>J249+J250+J251</f>
        <v>0</v>
      </c>
      <c r="K248" s="493">
        <f t="shared" ref="K248:P248" si="153">K249+K250+K251</f>
        <v>0</v>
      </c>
      <c r="L248" s="493">
        <f t="shared" si="153"/>
        <v>0</v>
      </c>
      <c r="M248" s="493">
        <f t="shared" si="153"/>
        <v>0</v>
      </c>
      <c r="N248" s="493">
        <f t="shared" si="153"/>
        <v>0</v>
      </c>
      <c r="O248" s="493">
        <f t="shared" si="153"/>
        <v>0</v>
      </c>
      <c r="P248" s="493">
        <f t="shared" si="153"/>
        <v>0</v>
      </c>
    </row>
    <row r="249" spans="1:16" ht="14.4" outlineLevel="1">
      <c r="A249" s="487" t="s">
        <v>862</v>
      </c>
      <c r="B249" s="524" t="s">
        <v>965</v>
      </c>
      <c r="C249" s="491"/>
      <c r="G249" s="134"/>
      <c r="H249" s="134"/>
      <c r="I249" s="134"/>
      <c r="J249" s="491"/>
      <c r="K249" s="491"/>
      <c r="L249" s="491"/>
      <c r="M249" s="491"/>
      <c r="N249" s="491"/>
      <c r="O249" s="491"/>
      <c r="P249" s="491"/>
    </row>
    <row r="250" spans="1:16" ht="14.4" outlineLevel="1">
      <c r="A250" s="487" t="s">
        <v>874</v>
      </c>
      <c r="B250" s="524" t="s">
        <v>965</v>
      </c>
      <c r="C250" s="491"/>
      <c r="G250" s="134"/>
      <c r="H250" s="134"/>
      <c r="I250" s="134"/>
      <c r="J250" s="491">
        <f t="shared" ref="J250:P250" si="154">AVERAGE(C207:J207)*J238/365*D197+AVERAGE(C208:J208)*J239/365*D197</f>
        <v>0</v>
      </c>
      <c r="K250" s="491">
        <f t="shared" si="154"/>
        <v>0</v>
      </c>
      <c r="L250" s="491">
        <f t="shared" si="154"/>
        <v>0</v>
      </c>
      <c r="M250" s="491">
        <f t="shared" si="154"/>
        <v>0</v>
      </c>
      <c r="N250" s="491">
        <f t="shared" si="154"/>
        <v>0</v>
      </c>
      <c r="O250" s="491">
        <f t="shared" si="154"/>
        <v>0</v>
      </c>
      <c r="P250" s="491">
        <f t="shared" si="154"/>
        <v>0</v>
      </c>
    </row>
    <row r="251" spans="1:16" ht="14.4" outlineLevel="1">
      <c r="A251" s="487" t="s">
        <v>869</v>
      </c>
      <c r="B251" s="524" t="s">
        <v>965</v>
      </c>
      <c r="C251" s="491"/>
      <c r="G251" s="134"/>
      <c r="H251" s="134"/>
      <c r="I251" s="134"/>
      <c r="J251" s="491">
        <f t="shared" ref="J251:P251" si="155">AVERAGE(C206:J206)*J240/365*D197</f>
        <v>0</v>
      </c>
      <c r="K251" s="491">
        <f t="shared" si="155"/>
        <v>0</v>
      </c>
      <c r="L251" s="491">
        <f t="shared" si="155"/>
        <v>0</v>
      </c>
      <c r="M251" s="491">
        <f t="shared" si="155"/>
        <v>0</v>
      </c>
      <c r="N251" s="491">
        <f t="shared" si="155"/>
        <v>0</v>
      </c>
      <c r="O251" s="491">
        <f t="shared" si="155"/>
        <v>0</v>
      </c>
      <c r="P251" s="491">
        <f t="shared" si="155"/>
        <v>0</v>
      </c>
    </row>
    <row r="252" spans="1:16" ht="14.4" outlineLevel="1">
      <c r="A252" s="536" t="s">
        <v>868</v>
      </c>
      <c r="B252" s="524" t="s">
        <v>965</v>
      </c>
      <c r="C252" s="492"/>
      <c r="G252" s="134"/>
      <c r="H252" s="134"/>
      <c r="I252" s="134"/>
      <c r="J252" s="541">
        <f>J245+J248</f>
        <v>0</v>
      </c>
      <c r="K252" s="541">
        <f t="shared" ref="K252:P252" si="156">K245+K248</f>
        <v>0</v>
      </c>
      <c r="L252" s="541">
        <f t="shared" si="156"/>
        <v>0</v>
      </c>
      <c r="M252" s="541">
        <f t="shared" si="156"/>
        <v>0</v>
      </c>
      <c r="N252" s="541">
        <f t="shared" si="156"/>
        <v>0</v>
      </c>
      <c r="O252" s="541">
        <f t="shared" si="156"/>
        <v>0</v>
      </c>
      <c r="P252" s="541">
        <f t="shared" si="156"/>
        <v>0</v>
      </c>
    </row>
    <row r="253" spans="1:16" ht="14.4" outlineLevel="1">
      <c r="A253" s="490" t="s">
        <v>873</v>
      </c>
      <c r="B253" s="524" t="s">
        <v>965</v>
      </c>
      <c r="C253" s="491"/>
      <c r="G253" s="134"/>
      <c r="H253" s="134"/>
      <c r="I253" s="134"/>
      <c r="J253" s="493"/>
      <c r="K253" s="493"/>
      <c r="L253" s="493"/>
      <c r="M253" s="493"/>
      <c r="N253" s="493"/>
      <c r="O253" s="493"/>
      <c r="P253" s="493"/>
    </row>
    <row r="254" spans="1:16" ht="14.4" outlineLevel="1">
      <c r="A254" s="536" t="s">
        <v>872</v>
      </c>
      <c r="B254" s="524" t="s">
        <v>965</v>
      </c>
      <c r="C254" s="492"/>
      <c r="G254" s="134"/>
      <c r="H254" s="134"/>
      <c r="I254" s="134"/>
      <c r="J254" s="541">
        <f>J252+J253</f>
        <v>0</v>
      </c>
      <c r="K254" s="541">
        <f t="shared" ref="K254:P254" si="157">K252+K253</f>
        <v>0</v>
      </c>
      <c r="L254" s="541">
        <f t="shared" si="157"/>
        <v>0</v>
      </c>
      <c r="M254" s="541">
        <f t="shared" si="157"/>
        <v>0</v>
      </c>
      <c r="N254" s="541">
        <f t="shared" si="157"/>
        <v>0</v>
      </c>
      <c r="O254" s="541">
        <f t="shared" si="157"/>
        <v>0</v>
      </c>
      <c r="P254" s="541">
        <f t="shared" si="157"/>
        <v>0</v>
      </c>
    </row>
    <row r="255" spans="1:16" ht="14.4" outlineLevel="1">
      <c r="A255" s="490" t="s">
        <v>863</v>
      </c>
      <c r="B255" s="524" t="s">
        <v>965</v>
      </c>
      <c r="C255" s="491"/>
      <c r="G255" s="134"/>
      <c r="H255" s="134"/>
      <c r="I255" s="134"/>
      <c r="J255" s="493">
        <f>J256+J257+J258</f>
        <v>21.384</v>
      </c>
      <c r="K255" s="493">
        <f t="shared" ref="K255:P255" si="158">K256+K257+K258</f>
        <v>40.849380000000004</v>
      </c>
      <c r="L255" s="493">
        <f t="shared" si="158"/>
        <v>65.673233999999994</v>
      </c>
      <c r="M255" s="493">
        <f t="shared" si="158"/>
        <v>97.025133149999988</v>
      </c>
      <c r="N255" s="493">
        <f t="shared" si="158"/>
        <v>136.30495427999995</v>
      </c>
      <c r="O255" s="493">
        <f t="shared" si="158"/>
        <v>185.18565625312499</v>
      </c>
      <c r="P255" s="493">
        <f t="shared" si="158"/>
        <v>245.66370734688743</v>
      </c>
    </row>
    <row r="256" spans="1:16" ht="14.4" outlineLevel="1">
      <c r="A256" s="487" t="s">
        <v>1031</v>
      </c>
      <c r="B256" s="524" t="s">
        <v>965</v>
      </c>
      <c r="C256" s="491"/>
      <c r="G256" s="134"/>
      <c r="H256" s="134"/>
      <c r="I256" s="134"/>
      <c r="J256" s="491"/>
      <c r="K256" s="491"/>
      <c r="L256" s="491"/>
      <c r="M256" s="491"/>
      <c r="N256" s="491"/>
      <c r="O256" s="491"/>
      <c r="P256" s="491"/>
    </row>
    <row r="257" spans="1:16" ht="14.4" outlineLevel="1">
      <c r="A257" s="487" t="s">
        <v>1033</v>
      </c>
      <c r="B257" s="524" t="s">
        <v>965</v>
      </c>
      <c r="C257" s="491"/>
      <c r="G257" s="134"/>
      <c r="H257" s="134"/>
      <c r="I257" s="134"/>
      <c r="J257" s="491">
        <f>J214*J241</f>
        <v>21.384</v>
      </c>
      <c r="K257" s="491">
        <f t="shared" ref="K257:P257" si="159">K214*K241</f>
        <v>40.849380000000004</v>
      </c>
      <c r="L257" s="491">
        <f t="shared" si="159"/>
        <v>65.673233999999994</v>
      </c>
      <c r="M257" s="491">
        <f t="shared" si="159"/>
        <v>97.025133149999988</v>
      </c>
      <c r="N257" s="491">
        <f t="shared" si="159"/>
        <v>136.30495427999995</v>
      </c>
      <c r="O257" s="491">
        <f t="shared" si="159"/>
        <v>185.18565625312499</v>
      </c>
      <c r="P257" s="491">
        <f t="shared" si="159"/>
        <v>245.66370734688743</v>
      </c>
    </row>
    <row r="258" spans="1:16" ht="14.4" outlineLevel="1">
      <c r="A258" s="487" t="s">
        <v>1032</v>
      </c>
      <c r="B258" s="524" t="s">
        <v>965</v>
      </c>
      <c r="C258" s="491"/>
      <c r="G258" s="134"/>
      <c r="H258" s="134"/>
      <c r="I258" s="134"/>
      <c r="J258" s="491"/>
      <c r="K258" s="491"/>
      <c r="L258" s="491"/>
      <c r="M258" s="491"/>
      <c r="N258" s="491"/>
      <c r="O258" s="491"/>
      <c r="P258" s="491"/>
    </row>
    <row r="259" spans="1:16" ht="14.4" outlineLevel="1">
      <c r="A259" s="490" t="s">
        <v>864</v>
      </c>
      <c r="B259" s="524" t="s">
        <v>965</v>
      </c>
      <c r="C259" s="491"/>
      <c r="G259" s="134"/>
      <c r="H259" s="134"/>
      <c r="I259" s="134"/>
      <c r="J259" s="493">
        <f>J260+J261+J262</f>
        <v>-145.80000000000001</v>
      </c>
      <c r="K259" s="493">
        <f t="shared" ref="K259:P259" si="160">K260+K261+K262</f>
        <v>-278.51850000000002</v>
      </c>
      <c r="L259" s="493">
        <f t="shared" si="160"/>
        <v>-447.77205000000004</v>
      </c>
      <c r="M259" s="493">
        <f t="shared" si="160"/>
        <v>-661.53499875</v>
      </c>
      <c r="N259" s="493">
        <f t="shared" si="160"/>
        <v>-929.35196099999973</v>
      </c>
      <c r="O259" s="493">
        <f t="shared" si="160"/>
        <v>-1262.6294744531251</v>
      </c>
      <c r="P259" s="493">
        <f t="shared" si="160"/>
        <v>-1674.9798228196873</v>
      </c>
    </row>
    <row r="260" spans="1:16" ht="14.4" outlineLevel="1">
      <c r="A260" s="487" t="s">
        <v>1034</v>
      </c>
      <c r="B260" s="524" t="s">
        <v>965</v>
      </c>
      <c r="C260" s="491"/>
      <c r="G260" s="134"/>
      <c r="H260" s="134"/>
      <c r="I260" s="134"/>
      <c r="J260" s="491">
        <f>(J213+J219+J221)*J243</f>
        <v>-145.80000000000001</v>
      </c>
      <c r="K260" s="491">
        <f t="shared" ref="K260:P260" si="161">(K213+K219+K221)*K243</f>
        <v>-278.51850000000002</v>
      </c>
      <c r="L260" s="491">
        <f t="shared" si="161"/>
        <v>-447.77205000000004</v>
      </c>
      <c r="M260" s="491">
        <f t="shared" si="161"/>
        <v>-661.53499875</v>
      </c>
      <c r="N260" s="491">
        <f t="shared" si="161"/>
        <v>-929.35196099999973</v>
      </c>
      <c r="O260" s="491">
        <f t="shared" si="161"/>
        <v>-1262.6294744531251</v>
      </c>
      <c r="P260" s="491">
        <f t="shared" si="161"/>
        <v>-1674.9798228196873</v>
      </c>
    </row>
    <row r="261" spans="1:16" ht="14.4" outlineLevel="1">
      <c r="A261" s="487" t="s">
        <v>1035</v>
      </c>
      <c r="B261" s="524" t="s">
        <v>965</v>
      </c>
      <c r="C261" s="491"/>
      <c r="G261" s="134"/>
      <c r="H261" s="134"/>
      <c r="I261" s="134"/>
      <c r="J261" s="491">
        <f>J214*J242</f>
        <v>0</v>
      </c>
      <c r="K261" s="491">
        <f t="shared" ref="K261:P261" si="162">K214*K242</f>
        <v>0</v>
      </c>
      <c r="L261" s="491">
        <f t="shared" si="162"/>
        <v>0</v>
      </c>
      <c r="M261" s="491">
        <f t="shared" si="162"/>
        <v>0</v>
      </c>
      <c r="N261" s="491">
        <f t="shared" si="162"/>
        <v>0</v>
      </c>
      <c r="O261" s="491">
        <f t="shared" si="162"/>
        <v>0</v>
      </c>
      <c r="P261" s="491">
        <f t="shared" si="162"/>
        <v>0</v>
      </c>
    </row>
    <row r="262" spans="1:16" ht="14.4" outlineLevel="1">
      <c r="A262" s="487" t="s">
        <v>1036</v>
      </c>
      <c r="B262" s="524" t="s">
        <v>965</v>
      </c>
      <c r="C262" s="491"/>
      <c r="G262" s="134"/>
      <c r="H262" s="134"/>
      <c r="I262" s="134"/>
      <c r="J262" s="491"/>
      <c r="K262" s="491"/>
      <c r="L262" s="491"/>
      <c r="M262" s="491"/>
      <c r="N262" s="491"/>
      <c r="O262" s="491"/>
      <c r="P262" s="491"/>
    </row>
    <row r="263" spans="1:16" ht="14.4" outlineLevel="1">
      <c r="A263" s="490" t="s">
        <v>865</v>
      </c>
      <c r="B263" s="524" t="s">
        <v>965</v>
      </c>
      <c r="C263" s="491"/>
      <c r="G263" s="134"/>
      <c r="H263" s="134"/>
      <c r="I263" s="134"/>
      <c r="J263" s="493"/>
      <c r="K263" s="493"/>
      <c r="L263" s="493"/>
      <c r="M263" s="493"/>
      <c r="N263" s="493"/>
      <c r="O263" s="493"/>
      <c r="P263" s="493"/>
    </row>
    <row r="264" spans="1:16" ht="14.4" outlineLevel="1">
      <c r="A264" s="537" t="s">
        <v>866</v>
      </c>
      <c r="B264" s="524" t="s">
        <v>965</v>
      </c>
      <c r="C264" s="491"/>
      <c r="G264" s="134"/>
      <c r="H264" s="134"/>
      <c r="I264" s="134"/>
      <c r="J264" s="493"/>
      <c r="K264" s="493"/>
      <c r="L264" s="493"/>
      <c r="M264" s="493"/>
      <c r="N264" s="493"/>
      <c r="O264" s="493"/>
      <c r="P264" s="493"/>
    </row>
    <row r="265" spans="1:16" ht="14.4" outlineLevel="1">
      <c r="A265" s="536" t="s">
        <v>860</v>
      </c>
      <c r="B265" s="524" t="s">
        <v>965</v>
      </c>
      <c r="C265" s="492"/>
      <c r="G265" s="134"/>
      <c r="H265" s="134"/>
      <c r="I265" s="134"/>
      <c r="J265" s="541">
        <f>J254+J255+J259+J263+J264</f>
        <v>-124.41600000000001</v>
      </c>
      <c r="K265" s="541">
        <f t="shared" ref="K265:P265" si="163">K254+K255+K259+K263+K264</f>
        <v>-237.66912000000002</v>
      </c>
      <c r="L265" s="541">
        <f t="shared" si="163"/>
        <v>-382.09881600000006</v>
      </c>
      <c r="M265" s="541">
        <f t="shared" si="163"/>
        <v>-564.50986560000001</v>
      </c>
      <c r="N265" s="541">
        <f t="shared" si="163"/>
        <v>-793.04700671999979</v>
      </c>
      <c r="O265" s="541">
        <f t="shared" si="163"/>
        <v>-1077.4438182000001</v>
      </c>
      <c r="P265" s="541">
        <f t="shared" si="163"/>
        <v>-1429.3161154728</v>
      </c>
    </row>
    <row r="266" spans="1:16" ht="14.4" outlineLevel="1">
      <c r="A266" s="490" t="s">
        <v>1037</v>
      </c>
      <c r="B266" s="524" t="s">
        <v>965</v>
      </c>
      <c r="C266" s="491"/>
      <c r="G266" s="134"/>
      <c r="H266" s="134"/>
      <c r="I266" s="134"/>
      <c r="J266" s="493"/>
      <c r="K266" s="493"/>
      <c r="L266" s="493"/>
      <c r="M266" s="493"/>
      <c r="N266" s="493"/>
      <c r="O266" s="493"/>
      <c r="P266" s="493"/>
    </row>
    <row r="267" spans="1:16" ht="14.4" outlineLevel="1">
      <c r="A267" s="490" t="s">
        <v>1038</v>
      </c>
      <c r="B267" s="524" t="s">
        <v>965</v>
      </c>
      <c r="C267" s="491"/>
      <c r="G267" s="134"/>
      <c r="H267" s="134"/>
      <c r="I267" s="134"/>
      <c r="J267" s="493">
        <f>SUM(J268:J274)</f>
        <v>0</v>
      </c>
      <c r="K267" s="493">
        <f t="shared" ref="K267:P267" si="164">SUM(K268:K274)</f>
        <v>0</v>
      </c>
      <c r="L267" s="493">
        <f t="shared" si="164"/>
        <v>0</v>
      </c>
      <c r="M267" s="493">
        <f t="shared" si="164"/>
        <v>0</v>
      </c>
      <c r="N267" s="493">
        <f t="shared" si="164"/>
        <v>0</v>
      </c>
      <c r="O267" s="493">
        <f t="shared" si="164"/>
        <v>0</v>
      </c>
      <c r="P267" s="493">
        <f t="shared" si="164"/>
        <v>0</v>
      </c>
    </row>
    <row r="268" spans="1:16" ht="14.4" outlineLevel="1">
      <c r="A268" s="487" t="s">
        <v>989</v>
      </c>
      <c r="B268" s="524" t="s">
        <v>965</v>
      </c>
      <c r="C268" s="491"/>
      <c r="G268" s="134"/>
      <c r="H268" s="134"/>
      <c r="I268" s="134"/>
      <c r="J268" s="491"/>
      <c r="K268" s="491"/>
      <c r="L268" s="491"/>
      <c r="M268" s="491"/>
      <c r="N268" s="491"/>
      <c r="O268" s="491"/>
      <c r="P268" s="491"/>
    </row>
    <row r="269" spans="1:16" ht="14.4" outlineLevel="1">
      <c r="A269" s="487" t="s">
        <v>990</v>
      </c>
      <c r="B269" s="524" t="s">
        <v>965</v>
      </c>
      <c r="C269" s="491"/>
      <c r="G269" s="134"/>
      <c r="H269" s="134"/>
      <c r="I269" s="134"/>
      <c r="J269" s="491"/>
      <c r="K269" s="491"/>
      <c r="L269" s="491"/>
      <c r="M269" s="491"/>
      <c r="N269" s="491"/>
      <c r="O269" s="491"/>
      <c r="P269" s="491"/>
    </row>
    <row r="270" spans="1:16" ht="14.4" outlineLevel="1">
      <c r="A270" s="487" t="s">
        <v>992</v>
      </c>
      <c r="B270" s="524" t="s">
        <v>965</v>
      </c>
      <c r="C270" s="491"/>
      <c r="G270" s="134"/>
      <c r="H270" s="134"/>
      <c r="I270" s="134"/>
      <c r="J270" s="491"/>
      <c r="K270" s="491"/>
      <c r="L270" s="491"/>
      <c r="M270" s="491"/>
      <c r="N270" s="491"/>
      <c r="O270" s="491"/>
      <c r="P270" s="491"/>
    </row>
    <row r="271" spans="1:16" ht="14.4" outlineLevel="1">
      <c r="A271" s="487" t="s">
        <v>991</v>
      </c>
      <c r="B271" s="524" t="s">
        <v>965</v>
      </c>
      <c r="C271" s="491"/>
      <c r="G271" s="134"/>
      <c r="H271" s="134"/>
      <c r="I271" s="134"/>
      <c r="J271" s="491"/>
      <c r="K271" s="491"/>
      <c r="L271" s="491"/>
      <c r="M271" s="491"/>
      <c r="N271" s="491"/>
      <c r="O271" s="491"/>
      <c r="P271" s="491"/>
    </row>
    <row r="272" spans="1:16" ht="14.4" outlineLevel="1">
      <c r="A272" s="487" t="s">
        <v>997</v>
      </c>
      <c r="B272" s="524" t="s">
        <v>965</v>
      </c>
      <c r="C272" s="491"/>
      <c r="G272" s="134"/>
      <c r="H272" s="134"/>
      <c r="I272" s="134"/>
      <c r="J272" s="491"/>
      <c r="K272" s="491"/>
      <c r="L272" s="491"/>
      <c r="M272" s="491"/>
      <c r="N272" s="491"/>
      <c r="O272" s="491"/>
      <c r="P272" s="491"/>
    </row>
    <row r="273" spans="1:16" ht="14.4" outlineLevel="1">
      <c r="A273" s="487" t="s">
        <v>998</v>
      </c>
      <c r="B273" s="524" t="s">
        <v>965</v>
      </c>
      <c r="C273" s="491"/>
      <c r="G273" s="134"/>
      <c r="H273" s="134"/>
      <c r="I273" s="134"/>
      <c r="J273" s="491"/>
      <c r="K273" s="491"/>
      <c r="L273" s="491"/>
      <c r="M273" s="491"/>
      <c r="N273" s="491"/>
      <c r="O273" s="491"/>
      <c r="P273" s="491"/>
    </row>
    <row r="274" spans="1:16" ht="14.4" outlineLevel="1">
      <c r="A274" s="487" t="s">
        <v>996</v>
      </c>
      <c r="B274" s="524" t="s">
        <v>965</v>
      </c>
      <c r="C274" s="491"/>
      <c r="G274" s="134"/>
      <c r="H274" s="134"/>
      <c r="I274" s="134"/>
      <c r="J274" s="491"/>
      <c r="K274" s="491"/>
      <c r="L274" s="491"/>
      <c r="M274" s="491"/>
      <c r="N274" s="491"/>
      <c r="O274" s="491"/>
      <c r="P274" s="491"/>
    </row>
    <row r="275" spans="1:16" ht="14.4" outlineLevel="1">
      <c r="A275" s="490" t="s">
        <v>1040</v>
      </c>
      <c r="B275" s="524" t="s">
        <v>965</v>
      </c>
      <c r="C275" s="491"/>
      <c r="G275" s="134"/>
      <c r="H275" s="134"/>
      <c r="I275" s="134"/>
      <c r="J275" s="493"/>
      <c r="K275" s="493"/>
      <c r="L275" s="493"/>
      <c r="M275" s="493"/>
      <c r="N275" s="493"/>
      <c r="O275" s="493"/>
      <c r="P275" s="493"/>
    </row>
    <row r="276" spans="1:16" ht="14.4" outlineLevel="1">
      <c r="A276" s="490" t="s">
        <v>1039</v>
      </c>
      <c r="B276" s="524" t="s">
        <v>965</v>
      </c>
      <c r="C276" s="491"/>
      <c r="G276" s="134"/>
      <c r="H276" s="134"/>
      <c r="I276" s="134"/>
      <c r="J276" s="493"/>
      <c r="K276" s="493"/>
      <c r="L276" s="493"/>
      <c r="M276" s="493"/>
      <c r="N276" s="493"/>
      <c r="O276" s="493"/>
      <c r="P276" s="493"/>
    </row>
    <row r="277" spans="1:16" ht="14.4" outlineLevel="1">
      <c r="A277" s="536" t="s">
        <v>859</v>
      </c>
      <c r="B277" s="524" t="s">
        <v>965</v>
      </c>
      <c r="C277" s="492"/>
      <c r="G277" s="134"/>
      <c r="H277" s="134"/>
      <c r="I277" s="134"/>
      <c r="J277" s="541">
        <f t="shared" ref="J277:P277" si="165">J266+J267+J275+J276</f>
        <v>0</v>
      </c>
      <c r="K277" s="541">
        <f t="shared" si="165"/>
        <v>0</v>
      </c>
      <c r="L277" s="541">
        <f t="shared" si="165"/>
        <v>0</v>
      </c>
      <c r="M277" s="541">
        <f t="shared" si="165"/>
        <v>0</v>
      </c>
      <c r="N277" s="541">
        <f t="shared" si="165"/>
        <v>0</v>
      </c>
      <c r="O277" s="541">
        <f t="shared" si="165"/>
        <v>0</v>
      </c>
      <c r="P277" s="541">
        <f t="shared" si="165"/>
        <v>0</v>
      </c>
    </row>
    <row r="278" spans="1:16" ht="14.4" outlineLevel="1">
      <c r="A278" s="536" t="s">
        <v>858</v>
      </c>
      <c r="B278" s="524" t="s">
        <v>965</v>
      </c>
      <c r="C278" s="492"/>
      <c r="G278" s="134"/>
      <c r="H278" s="134"/>
      <c r="I278" s="134"/>
      <c r="J278" s="541">
        <f t="shared" ref="J278:P278" si="166">J265+J277</f>
        <v>-124.41600000000001</v>
      </c>
      <c r="K278" s="541">
        <f t="shared" si="166"/>
        <v>-237.66912000000002</v>
      </c>
      <c r="L278" s="541">
        <f t="shared" si="166"/>
        <v>-382.09881600000006</v>
      </c>
      <c r="M278" s="541">
        <f t="shared" si="166"/>
        <v>-564.50986560000001</v>
      </c>
      <c r="N278" s="541">
        <f t="shared" si="166"/>
        <v>-793.04700671999979</v>
      </c>
      <c r="O278" s="541">
        <f t="shared" si="166"/>
        <v>-1077.4438182000001</v>
      </c>
      <c r="P278" s="541">
        <f t="shared" si="166"/>
        <v>-1429.3161154728</v>
      </c>
    </row>
    <row r="279" spans="1:16" ht="14.4" outlineLevel="1">
      <c r="A279" s="490" t="s">
        <v>857</v>
      </c>
      <c r="B279" s="524" t="s">
        <v>965</v>
      </c>
      <c r="C279" s="523"/>
      <c r="G279" s="134"/>
      <c r="H279" s="134"/>
      <c r="I279" s="134"/>
      <c r="J279" s="493">
        <f>IF(J278&lt;0,0,J278*$C$92)</f>
        <v>0</v>
      </c>
      <c r="K279" s="493">
        <f t="shared" ref="K279:P279" si="167">IF(K278&lt;0,0,K278*$C$92)</f>
        <v>0</v>
      </c>
      <c r="L279" s="493">
        <f t="shared" si="167"/>
        <v>0</v>
      </c>
      <c r="M279" s="493">
        <f t="shared" si="167"/>
        <v>0</v>
      </c>
      <c r="N279" s="493">
        <f t="shared" si="167"/>
        <v>0</v>
      </c>
      <c r="O279" s="493">
        <f t="shared" si="167"/>
        <v>0</v>
      </c>
      <c r="P279" s="493">
        <f t="shared" si="167"/>
        <v>0</v>
      </c>
    </row>
    <row r="280" spans="1:16" ht="15.6" outlineLevel="1">
      <c r="A280" s="538" t="s">
        <v>940</v>
      </c>
      <c r="B280" s="524" t="s">
        <v>965</v>
      </c>
      <c r="C280" s="539"/>
      <c r="G280" s="134"/>
      <c r="H280" s="134"/>
      <c r="I280" s="134"/>
      <c r="J280" s="538">
        <f>J278+J279</f>
        <v>-124.41600000000001</v>
      </c>
      <c r="K280" s="538">
        <f t="shared" ref="K280:P280" si="168">K278+K279</f>
        <v>-237.66912000000002</v>
      </c>
      <c r="L280" s="538">
        <f t="shared" si="168"/>
        <v>-382.09881600000006</v>
      </c>
      <c r="M280" s="538">
        <f t="shared" si="168"/>
        <v>-564.50986560000001</v>
      </c>
      <c r="N280" s="538">
        <f t="shared" si="168"/>
        <v>-793.04700671999979</v>
      </c>
      <c r="O280" s="538">
        <f t="shared" si="168"/>
        <v>-1077.4438182000001</v>
      </c>
      <c r="P280" s="538">
        <f t="shared" si="168"/>
        <v>-1429.3161154728</v>
      </c>
    </row>
    <row r="281" spans="1:16" ht="15.6" outlineLevel="1">
      <c r="A281" s="538" t="s">
        <v>940</v>
      </c>
      <c r="B281" s="524" t="s">
        <v>803</v>
      </c>
      <c r="C281" s="539"/>
      <c r="G281" s="134"/>
      <c r="H281" s="134"/>
      <c r="I281" s="134"/>
      <c r="J281" s="538">
        <f>J280/'Funnel QH'!J30*1000</f>
        <v>-248.83200000000002</v>
      </c>
      <c r="K281" s="538">
        <f>K280/'Funnel QH'!K30*1000</f>
        <v>-475.33824000000004</v>
      </c>
      <c r="L281" s="538">
        <f>L280/'Funnel QH'!L30*1000</f>
        <v>-764.19763200000011</v>
      </c>
      <c r="M281" s="538">
        <f>M280/'Funnel QH'!M30*1000</f>
        <v>-1129.0197312</v>
      </c>
      <c r="N281" s="538">
        <f>N280/'Funnel QH'!N30*1000</f>
        <v>-1586.0940134399996</v>
      </c>
      <c r="O281" s="538">
        <f>O280/'Funnel QH'!O30*1000</f>
        <v>-2154.8876364000002</v>
      </c>
      <c r="P281" s="538">
        <f>P280/'Funnel QH'!P30*1000</f>
        <v>-2858.6322309456</v>
      </c>
    </row>
    <row r="282" spans="1:16">
      <c r="G282" s="134"/>
      <c r="H282" s="134"/>
      <c r="I282" s="134"/>
    </row>
    <row r="283" spans="1:16" s="119" customFormat="1" ht="12.6">
      <c r="A283" s="132" t="s">
        <v>1262</v>
      </c>
      <c r="B283" s="116"/>
      <c r="C283" s="117"/>
      <c r="D283" s="117"/>
      <c r="E283" s="118"/>
      <c r="F283" s="118"/>
      <c r="G283" s="118"/>
      <c r="H283" s="118"/>
      <c r="I283" s="118"/>
      <c r="J283" s="118"/>
      <c r="K283" s="118"/>
      <c r="L283" s="118"/>
      <c r="M283" s="118"/>
      <c r="N283" s="118"/>
      <c r="O283" s="118"/>
      <c r="P283" s="118"/>
    </row>
    <row r="284" spans="1:16" outlineLevel="1">
      <c r="A284" s="122" t="s">
        <v>928</v>
      </c>
      <c r="B284" s="138" t="s">
        <v>394</v>
      </c>
      <c r="D284" s="134"/>
      <c r="E284" s="134"/>
      <c r="F284" s="134"/>
      <c r="G284" s="134"/>
      <c r="H284" s="134"/>
      <c r="I284" s="134"/>
      <c r="J284" s="134">
        <f>'Funnel QH'!J27</f>
        <v>9000</v>
      </c>
      <c r="K284" s="134">
        <f>'Funnel QH'!K27</f>
        <v>14950</v>
      </c>
      <c r="L284" s="134">
        <f>'Funnel QH'!L27</f>
        <v>20900</v>
      </c>
      <c r="M284" s="134">
        <f>'Funnel QH'!M27</f>
        <v>26850</v>
      </c>
      <c r="N284" s="134">
        <f>'Funnel QH'!N27</f>
        <v>32800</v>
      </c>
      <c r="O284" s="134">
        <f>'Funnel QH'!O27</f>
        <v>38750</v>
      </c>
      <c r="P284" s="134">
        <f>'Funnel QH'!P27</f>
        <v>44700</v>
      </c>
    </row>
    <row r="285" spans="1:16" outlineLevel="1">
      <c r="A285" s="122" t="s">
        <v>1367</v>
      </c>
      <c r="B285" s="121" t="s">
        <v>231</v>
      </c>
      <c r="C285" s="138"/>
      <c r="D285" s="134"/>
      <c r="E285" s="134"/>
      <c r="F285" s="134"/>
      <c r="G285" s="134"/>
      <c r="H285" s="134"/>
      <c r="I285" s="134"/>
      <c r="J285" s="137">
        <v>0.01</v>
      </c>
      <c r="K285" s="137">
        <f t="shared" ref="K285:P285" si="169">J285*(1+20%)</f>
        <v>1.2E-2</v>
      </c>
      <c r="L285" s="137">
        <f t="shared" si="169"/>
        <v>1.44E-2</v>
      </c>
      <c r="M285" s="137">
        <f t="shared" si="169"/>
        <v>1.728E-2</v>
      </c>
      <c r="N285" s="137">
        <f t="shared" si="169"/>
        <v>2.0736000000000001E-2</v>
      </c>
      <c r="O285" s="137">
        <f t="shared" si="169"/>
        <v>2.4883200000000001E-2</v>
      </c>
      <c r="P285" s="137">
        <f t="shared" si="169"/>
        <v>2.9859839999999999E-2</v>
      </c>
    </row>
    <row r="286" spans="1:16" outlineLevel="1">
      <c r="A286" s="122" t="s">
        <v>1367</v>
      </c>
      <c r="B286" s="138" t="s">
        <v>394</v>
      </c>
      <c r="C286" s="138"/>
      <c r="D286" s="134"/>
      <c r="E286" s="134"/>
      <c r="F286" s="134"/>
      <c r="G286" s="134"/>
      <c r="H286" s="134"/>
      <c r="I286" s="134"/>
      <c r="J286" s="134">
        <f t="shared" ref="J286:P286" si="170">J284*J285</f>
        <v>90</v>
      </c>
      <c r="K286" s="134">
        <f t="shared" si="170"/>
        <v>179.4</v>
      </c>
      <c r="L286" s="134">
        <f t="shared" si="170"/>
        <v>300.95999999999998</v>
      </c>
      <c r="M286" s="134">
        <f t="shared" si="170"/>
        <v>463.96800000000002</v>
      </c>
      <c r="N286" s="134">
        <f t="shared" si="170"/>
        <v>680.14080000000001</v>
      </c>
      <c r="O286" s="134">
        <f t="shared" si="170"/>
        <v>964.22400000000005</v>
      </c>
      <c r="P286" s="134">
        <f t="shared" si="170"/>
        <v>1334.7348479999998</v>
      </c>
    </row>
    <row r="287" spans="1:16" s="119" customFormat="1" ht="12.6" outlineLevel="1">
      <c r="A287" s="122" t="s">
        <v>1371</v>
      </c>
      <c r="B287" s="121" t="s">
        <v>394</v>
      </c>
      <c r="C287" s="138"/>
      <c r="D287" s="134"/>
      <c r="E287" s="134"/>
      <c r="F287" s="134"/>
      <c r="G287" s="134"/>
      <c r="H287" s="134"/>
      <c r="I287" s="134"/>
      <c r="J287" s="223">
        <f t="shared" ref="J287:P287" si="171">J288+J289</f>
        <v>1</v>
      </c>
      <c r="K287" s="223">
        <f t="shared" si="171"/>
        <v>1</v>
      </c>
      <c r="L287" s="223">
        <f t="shared" si="171"/>
        <v>1</v>
      </c>
      <c r="M287" s="223">
        <f t="shared" si="171"/>
        <v>1</v>
      </c>
      <c r="N287" s="223">
        <f t="shared" si="171"/>
        <v>1</v>
      </c>
      <c r="O287" s="223">
        <f t="shared" si="171"/>
        <v>1</v>
      </c>
      <c r="P287" s="223">
        <f t="shared" si="171"/>
        <v>1</v>
      </c>
    </row>
    <row r="288" spans="1:16" s="119" customFormat="1" ht="12.6" outlineLevel="1">
      <c r="A288" s="135" t="s">
        <v>1277</v>
      </c>
      <c r="B288" s="121" t="s">
        <v>394</v>
      </c>
      <c r="C288" s="138"/>
      <c r="D288" s="134"/>
      <c r="E288" s="134"/>
      <c r="F288" s="134"/>
      <c r="G288" s="134"/>
      <c r="H288" s="134"/>
      <c r="I288" s="134"/>
      <c r="J288" s="210">
        <v>0.8</v>
      </c>
      <c r="K288" s="210">
        <v>0.8</v>
      </c>
      <c r="L288" s="210">
        <v>0.8</v>
      </c>
      <c r="M288" s="210">
        <v>0.8</v>
      </c>
      <c r="N288" s="210">
        <v>0.8</v>
      </c>
      <c r="O288" s="210">
        <v>0.8</v>
      </c>
      <c r="P288" s="210">
        <v>0.8</v>
      </c>
    </row>
    <row r="289" spans="1:16" s="119" customFormat="1" ht="12.6" outlineLevel="1">
      <c r="A289" s="135" t="s">
        <v>1338</v>
      </c>
      <c r="B289" s="121" t="s">
        <v>394</v>
      </c>
      <c r="C289" s="138"/>
      <c r="D289" s="134"/>
      <c r="E289" s="134"/>
      <c r="F289" s="134"/>
      <c r="G289" s="134"/>
      <c r="H289" s="134"/>
      <c r="I289" s="134"/>
      <c r="J289" s="210">
        <v>0.2</v>
      </c>
      <c r="K289" s="210">
        <v>0.2</v>
      </c>
      <c r="L289" s="210">
        <v>0.2</v>
      </c>
      <c r="M289" s="210">
        <v>0.2</v>
      </c>
      <c r="N289" s="210">
        <v>0.2</v>
      </c>
      <c r="O289" s="210">
        <v>0.2</v>
      </c>
      <c r="P289" s="210">
        <v>0.2</v>
      </c>
    </row>
    <row r="290" spans="1:16" s="227" customFormat="1" ht="12.6" outlineLevel="1">
      <c r="A290" s="122" t="s">
        <v>1262</v>
      </c>
      <c r="B290" s="121" t="s">
        <v>394</v>
      </c>
      <c r="C290" s="138"/>
      <c r="D290" s="134"/>
      <c r="E290" s="134"/>
      <c r="F290" s="134"/>
      <c r="G290" s="134"/>
      <c r="H290" s="134"/>
      <c r="I290" s="134"/>
      <c r="J290" s="226">
        <f t="shared" ref="J290:P290" si="172">J291+J292</f>
        <v>90</v>
      </c>
      <c r="K290" s="226">
        <f t="shared" si="172"/>
        <v>179.4</v>
      </c>
      <c r="L290" s="226">
        <f t="shared" si="172"/>
        <v>300.95999999999998</v>
      </c>
      <c r="M290" s="226">
        <f t="shared" si="172"/>
        <v>463.96800000000007</v>
      </c>
      <c r="N290" s="226">
        <f t="shared" si="172"/>
        <v>680.14080000000013</v>
      </c>
      <c r="O290" s="226">
        <f t="shared" si="172"/>
        <v>964.22400000000016</v>
      </c>
      <c r="P290" s="226">
        <f t="shared" si="172"/>
        <v>1334.7348480000001</v>
      </c>
    </row>
    <row r="291" spans="1:16" s="119" customFormat="1" ht="12.6" outlineLevel="1">
      <c r="A291" s="135" t="s">
        <v>1277</v>
      </c>
      <c r="B291" s="121" t="s">
        <v>394</v>
      </c>
      <c r="C291" s="138"/>
      <c r="D291" s="134"/>
      <c r="E291" s="134"/>
      <c r="F291" s="134"/>
      <c r="G291" s="134"/>
      <c r="H291" s="134"/>
      <c r="I291" s="134"/>
      <c r="J291" s="226">
        <f t="shared" ref="J291:P291" si="173">J286*J288</f>
        <v>72</v>
      </c>
      <c r="K291" s="226">
        <f t="shared" si="173"/>
        <v>143.52000000000001</v>
      </c>
      <c r="L291" s="226">
        <f t="shared" si="173"/>
        <v>240.768</v>
      </c>
      <c r="M291" s="226">
        <f t="shared" si="173"/>
        <v>371.17440000000005</v>
      </c>
      <c r="N291" s="226">
        <f t="shared" si="173"/>
        <v>544.11264000000006</v>
      </c>
      <c r="O291" s="226">
        <f t="shared" si="173"/>
        <v>771.37920000000008</v>
      </c>
      <c r="P291" s="226">
        <f t="shared" si="173"/>
        <v>1067.7878784</v>
      </c>
    </row>
    <row r="292" spans="1:16" s="119" customFormat="1" ht="12.6" outlineLevel="1">
      <c r="A292" s="135" t="s">
        <v>1338</v>
      </c>
      <c r="B292" s="121" t="s">
        <v>394</v>
      </c>
      <c r="C292" s="138"/>
      <c r="D292" s="134"/>
      <c r="E292" s="134"/>
      <c r="F292" s="134"/>
      <c r="G292" s="134"/>
      <c r="H292" s="134"/>
      <c r="I292" s="134"/>
      <c r="J292" s="226">
        <f t="shared" ref="J292:P292" si="174">J286*J289</f>
        <v>18</v>
      </c>
      <c r="K292" s="226">
        <f t="shared" si="174"/>
        <v>35.880000000000003</v>
      </c>
      <c r="L292" s="226">
        <f t="shared" si="174"/>
        <v>60.192</v>
      </c>
      <c r="M292" s="226">
        <f t="shared" si="174"/>
        <v>92.793600000000012</v>
      </c>
      <c r="N292" s="226">
        <f t="shared" si="174"/>
        <v>136.02816000000001</v>
      </c>
      <c r="O292" s="226">
        <f t="shared" si="174"/>
        <v>192.84480000000002</v>
      </c>
      <c r="P292" s="226">
        <f t="shared" si="174"/>
        <v>266.94696959999999</v>
      </c>
    </row>
    <row r="293" spans="1:16" s="227" customFormat="1" ht="12.6" outlineLevel="1">
      <c r="A293" s="227" t="s">
        <v>1372</v>
      </c>
      <c r="B293" s="121" t="s">
        <v>1267</v>
      </c>
      <c r="C293" s="138"/>
      <c r="D293" s="134"/>
      <c r="E293" s="134"/>
      <c r="F293" s="134"/>
      <c r="G293" s="134"/>
      <c r="H293" s="134"/>
      <c r="I293" s="134"/>
      <c r="J293" s="223">
        <f t="shared" ref="J293:P293" si="175">J299/J290</f>
        <v>8000</v>
      </c>
      <c r="K293" s="223">
        <f t="shared" si="175"/>
        <v>6006.6889632107022</v>
      </c>
      <c r="L293" s="223">
        <f t="shared" si="175"/>
        <v>6384.3700159489636</v>
      </c>
      <c r="M293" s="223">
        <f t="shared" si="175"/>
        <v>6594.6617008069516</v>
      </c>
      <c r="N293" s="223">
        <f t="shared" si="175"/>
        <v>6728.6585365853653</v>
      </c>
      <c r="O293" s="223">
        <f t="shared" si="175"/>
        <v>6821.5053763440865</v>
      </c>
      <c r="P293" s="223">
        <f t="shared" si="175"/>
        <v>6889.6346010439975</v>
      </c>
    </row>
    <row r="294" spans="1:16" s="227" customFormat="1" ht="12.6" outlineLevel="1">
      <c r="A294" s="135" t="s">
        <v>1277</v>
      </c>
      <c r="B294" s="121" t="s">
        <v>1267</v>
      </c>
      <c r="C294" s="138"/>
      <c r="D294" s="134"/>
      <c r="E294" s="134"/>
      <c r="F294" s="134"/>
      <c r="G294" s="134"/>
      <c r="H294" s="134"/>
      <c r="I294" s="134"/>
      <c r="J294" s="221">
        <v>10000</v>
      </c>
      <c r="K294" s="221">
        <v>10000</v>
      </c>
      <c r="L294" s="221">
        <v>10000</v>
      </c>
      <c r="M294" s="221">
        <v>10000</v>
      </c>
      <c r="N294" s="221">
        <v>10000</v>
      </c>
      <c r="O294" s="221">
        <v>10000</v>
      </c>
      <c r="P294" s="221">
        <v>10000</v>
      </c>
    </row>
    <row r="295" spans="1:16" s="227" customFormat="1" ht="12.6" outlineLevel="1">
      <c r="A295" s="135" t="s">
        <v>1338</v>
      </c>
      <c r="B295" s="121" t="s">
        <v>1267</v>
      </c>
      <c r="C295" s="138"/>
      <c r="D295" s="134"/>
      <c r="E295" s="134"/>
      <c r="F295" s="134"/>
      <c r="G295" s="134"/>
      <c r="H295" s="134"/>
      <c r="I295" s="134"/>
      <c r="J295" s="221"/>
      <c r="K295" s="221"/>
      <c r="L295" s="221"/>
      <c r="M295" s="221"/>
      <c r="N295" s="221"/>
      <c r="O295" s="221"/>
      <c r="P295" s="221"/>
    </row>
    <row r="296" spans="1:16" s="227" customFormat="1" ht="12.6" outlineLevel="1">
      <c r="A296" s="122" t="s">
        <v>1370</v>
      </c>
      <c r="B296" s="121" t="s">
        <v>1267</v>
      </c>
      <c r="C296" s="138"/>
      <c r="D296" s="134"/>
      <c r="E296" s="134"/>
      <c r="F296" s="134"/>
      <c r="G296" s="134"/>
      <c r="H296" s="134"/>
      <c r="I296" s="134"/>
      <c r="J296" s="134">
        <f t="shared" ref="J296:P296" si="176">J297+J298</f>
        <v>720000</v>
      </c>
      <c r="K296" s="134">
        <f t="shared" si="176"/>
        <v>1435200</v>
      </c>
      <c r="L296" s="134">
        <f t="shared" si="176"/>
        <v>2407680</v>
      </c>
      <c r="M296" s="134">
        <f t="shared" si="176"/>
        <v>3711744.0000000005</v>
      </c>
      <c r="N296" s="134">
        <f t="shared" si="176"/>
        <v>5441126.4000000004</v>
      </c>
      <c r="O296" s="134">
        <f t="shared" si="176"/>
        <v>7713792.0000000009</v>
      </c>
      <c r="P296" s="134">
        <f t="shared" si="176"/>
        <v>10677878.784</v>
      </c>
    </row>
    <row r="297" spans="1:16" s="227" customFormat="1" ht="12.6" outlineLevel="1">
      <c r="A297" s="135" t="s">
        <v>1277</v>
      </c>
      <c r="B297" s="121" t="s">
        <v>1267</v>
      </c>
      <c r="C297" s="138"/>
      <c r="D297" s="134"/>
      <c r="E297" s="134"/>
      <c r="F297" s="134"/>
      <c r="G297" s="134"/>
      <c r="H297" s="134"/>
      <c r="I297" s="134"/>
      <c r="J297" s="134">
        <f t="shared" ref="J297:P298" si="177">J291*J294</f>
        <v>720000</v>
      </c>
      <c r="K297" s="134">
        <f t="shared" si="177"/>
        <v>1435200</v>
      </c>
      <c r="L297" s="134">
        <f t="shared" si="177"/>
        <v>2407680</v>
      </c>
      <c r="M297" s="134">
        <f t="shared" si="177"/>
        <v>3711744.0000000005</v>
      </c>
      <c r="N297" s="134">
        <f t="shared" si="177"/>
        <v>5441126.4000000004</v>
      </c>
      <c r="O297" s="134">
        <f t="shared" si="177"/>
        <v>7713792.0000000009</v>
      </c>
      <c r="P297" s="134">
        <f t="shared" si="177"/>
        <v>10677878.784</v>
      </c>
    </row>
    <row r="298" spans="1:16" s="227" customFormat="1" ht="12.6" outlineLevel="1">
      <c r="A298" s="135" t="s">
        <v>1338</v>
      </c>
      <c r="B298" s="121" t="s">
        <v>1267</v>
      </c>
      <c r="C298" s="138"/>
      <c r="D298" s="134"/>
      <c r="E298" s="134"/>
      <c r="F298" s="134"/>
      <c r="G298" s="134"/>
      <c r="H298" s="134"/>
      <c r="I298" s="134"/>
      <c r="J298" s="134">
        <f t="shared" si="177"/>
        <v>0</v>
      </c>
      <c r="K298" s="134">
        <f t="shared" si="177"/>
        <v>0</v>
      </c>
      <c r="L298" s="134">
        <f t="shared" si="177"/>
        <v>0</v>
      </c>
      <c r="M298" s="134">
        <f t="shared" si="177"/>
        <v>0</v>
      </c>
      <c r="N298" s="134">
        <f t="shared" si="177"/>
        <v>0</v>
      </c>
      <c r="O298" s="134">
        <f t="shared" si="177"/>
        <v>0</v>
      </c>
      <c r="P298" s="134">
        <f t="shared" si="177"/>
        <v>0</v>
      </c>
    </row>
    <row r="299" spans="1:16" s="174" customFormat="1" ht="12.6" outlineLevel="1">
      <c r="A299" s="227" t="s">
        <v>1282</v>
      </c>
      <c r="B299" s="121" t="s">
        <v>1267</v>
      </c>
      <c r="C299" s="138"/>
      <c r="D299" s="134"/>
      <c r="E299" s="134"/>
      <c r="F299" s="134"/>
      <c r="G299" s="134"/>
      <c r="H299" s="134"/>
      <c r="I299" s="134"/>
      <c r="J299" s="226">
        <f t="shared" ref="J299:P299" si="178">J300+J301</f>
        <v>720000</v>
      </c>
      <c r="K299" s="226">
        <f t="shared" si="178"/>
        <v>1077600</v>
      </c>
      <c r="L299" s="226">
        <f t="shared" si="178"/>
        <v>1921440</v>
      </c>
      <c r="M299" s="226">
        <f t="shared" si="178"/>
        <v>3059712</v>
      </c>
      <c r="N299" s="226">
        <f t="shared" si="178"/>
        <v>4576435.2</v>
      </c>
      <c r="O299" s="226">
        <f t="shared" si="178"/>
        <v>6577459.2000000011</v>
      </c>
      <c r="P299" s="226">
        <f t="shared" si="178"/>
        <v>9195835.3920000009</v>
      </c>
    </row>
    <row r="300" spans="1:16" s="174" customFormat="1" ht="12.6" outlineLevel="1">
      <c r="A300" s="135" t="s">
        <v>1277</v>
      </c>
      <c r="B300" s="121" t="s">
        <v>1267</v>
      </c>
      <c r="C300" s="138"/>
      <c r="D300" s="134"/>
      <c r="E300" s="134"/>
      <c r="F300" s="134"/>
      <c r="G300" s="134"/>
      <c r="H300" s="134"/>
      <c r="I300" s="134"/>
      <c r="J300" s="226">
        <f t="shared" ref="J300:P301" si="179">AVERAGE(I297:J297)</f>
        <v>720000</v>
      </c>
      <c r="K300" s="226">
        <f t="shared" si="179"/>
        <v>1077600</v>
      </c>
      <c r="L300" s="226">
        <f t="shared" si="179"/>
        <v>1921440</v>
      </c>
      <c r="M300" s="226">
        <f t="shared" si="179"/>
        <v>3059712</v>
      </c>
      <c r="N300" s="226">
        <f t="shared" si="179"/>
        <v>4576435.2</v>
      </c>
      <c r="O300" s="226">
        <f t="shared" si="179"/>
        <v>6577459.2000000011</v>
      </c>
      <c r="P300" s="226">
        <f t="shared" si="179"/>
        <v>9195835.3920000009</v>
      </c>
    </row>
    <row r="301" spans="1:16" s="174" customFormat="1" ht="12.6" outlineLevel="1">
      <c r="A301" s="135" t="s">
        <v>1338</v>
      </c>
      <c r="B301" s="121" t="s">
        <v>1267</v>
      </c>
      <c r="C301" s="138"/>
      <c r="D301" s="134"/>
      <c r="E301" s="134"/>
      <c r="F301" s="134"/>
      <c r="G301" s="134"/>
      <c r="H301" s="134"/>
      <c r="I301" s="134"/>
      <c r="J301" s="226">
        <f t="shared" si="179"/>
        <v>0</v>
      </c>
      <c r="K301" s="226">
        <f t="shared" si="179"/>
        <v>0</v>
      </c>
      <c r="L301" s="226">
        <f t="shared" si="179"/>
        <v>0</v>
      </c>
      <c r="M301" s="226">
        <f t="shared" si="179"/>
        <v>0</v>
      </c>
      <c r="N301" s="226">
        <f t="shared" si="179"/>
        <v>0</v>
      </c>
      <c r="O301" s="226">
        <f t="shared" si="179"/>
        <v>0</v>
      </c>
      <c r="P301" s="226">
        <f t="shared" si="179"/>
        <v>0</v>
      </c>
    </row>
    <row r="302" spans="1:16" s="174" customFormat="1" ht="12.6" outlineLevel="1">
      <c r="A302" s="174" t="s">
        <v>1283</v>
      </c>
      <c r="B302" s="121"/>
      <c r="C302" s="138"/>
      <c r="D302" s="134"/>
      <c r="E302" s="134"/>
      <c r="F302" s="134"/>
      <c r="G302" s="134"/>
      <c r="H302" s="134"/>
      <c r="I302" s="134"/>
      <c r="J302" s="138"/>
      <c r="K302" s="138"/>
      <c r="L302" s="138"/>
      <c r="M302" s="138"/>
      <c r="N302" s="138"/>
      <c r="O302" s="138"/>
      <c r="P302" s="138"/>
    </row>
    <row r="303" spans="1:16" s="227" customFormat="1" ht="12.6" outlineLevel="1">
      <c r="A303" s="135" t="s">
        <v>1277</v>
      </c>
      <c r="B303" s="121" t="s">
        <v>1284</v>
      </c>
      <c r="C303" s="138"/>
      <c r="D303" s="134"/>
      <c r="E303" s="134"/>
      <c r="F303" s="134"/>
      <c r="G303" s="134"/>
      <c r="H303" s="134"/>
      <c r="I303" s="134"/>
      <c r="J303" s="210">
        <v>3</v>
      </c>
      <c r="K303" s="210">
        <v>3</v>
      </c>
      <c r="L303" s="210">
        <v>3</v>
      </c>
      <c r="M303" s="210">
        <v>3</v>
      </c>
      <c r="N303" s="210">
        <v>3</v>
      </c>
      <c r="O303" s="210">
        <v>3</v>
      </c>
      <c r="P303" s="210">
        <v>3</v>
      </c>
    </row>
    <row r="304" spans="1:16" s="227" customFormat="1" ht="12.6" outlineLevel="1">
      <c r="A304" s="135" t="s">
        <v>1278</v>
      </c>
      <c r="B304" s="121" t="s">
        <v>1284</v>
      </c>
      <c r="C304" s="138"/>
      <c r="D304" s="134"/>
      <c r="E304" s="134"/>
      <c r="F304" s="134"/>
      <c r="G304" s="134"/>
      <c r="H304" s="134"/>
      <c r="I304" s="134"/>
      <c r="J304" s="210"/>
      <c r="K304" s="210"/>
      <c r="L304" s="210"/>
      <c r="M304" s="210"/>
      <c r="N304" s="210"/>
      <c r="O304" s="210"/>
      <c r="P304" s="210"/>
    </row>
    <row r="305" spans="1:17" s="227" customFormat="1" ht="12.6" outlineLevel="1">
      <c r="A305" s="227" t="s">
        <v>1285</v>
      </c>
      <c r="B305" s="229"/>
      <c r="C305" s="138"/>
      <c r="D305" s="134"/>
      <c r="E305" s="134"/>
      <c r="F305" s="134"/>
      <c r="G305" s="134"/>
      <c r="H305" s="134"/>
      <c r="I305" s="134"/>
      <c r="J305" s="138"/>
      <c r="K305" s="138"/>
      <c r="L305" s="138"/>
      <c r="M305" s="138"/>
      <c r="N305" s="138"/>
      <c r="O305" s="138"/>
      <c r="P305" s="138"/>
      <c r="Q305" s="138"/>
    </row>
    <row r="306" spans="1:17" s="227" customFormat="1" ht="12.6" outlineLevel="1">
      <c r="A306" s="135" t="s">
        <v>1277</v>
      </c>
      <c r="B306" s="229" t="s">
        <v>231</v>
      </c>
      <c r="C306" s="138"/>
      <c r="D306" s="134"/>
      <c r="E306" s="134"/>
      <c r="F306" s="134"/>
      <c r="G306" s="134"/>
      <c r="H306" s="134"/>
      <c r="I306" s="134"/>
      <c r="J306" s="137"/>
      <c r="K306" s="137"/>
      <c r="L306" s="137"/>
      <c r="M306" s="137"/>
      <c r="N306" s="137"/>
      <c r="O306" s="137"/>
      <c r="P306" s="137"/>
    </row>
    <row r="307" spans="1:17" s="227" customFormat="1" ht="12.6" outlineLevel="1">
      <c r="A307" s="135" t="s">
        <v>1278</v>
      </c>
      <c r="B307" s="229" t="s">
        <v>231</v>
      </c>
      <c r="C307" s="138"/>
      <c r="D307" s="134"/>
      <c r="E307" s="134"/>
      <c r="F307" s="134"/>
      <c r="G307" s="134"/>
      <c r="H307" s="134"/>
      <c r="I307" s="134"/>
      <c r="J307" s="137"/>
      <c r="K307" s="137"/>
      <c r="L307" s="137"/>
      <c r="M307" s="137"/>
      <c r="N307" s="137"/>
      <c r="O307" s="137"/>
      <c r="P307" s="137"/>
    </row>
    <row r="308" spans="1:17" s="174" customFormat="1" ht="12.6" outlineLevel="1">
      <c r="A308" s="227" t="s">
        <v>1286</v>
      </c>
      <c r="B308" s="229"/>
      <c r="C308" s="138"/>
      <c r="D308" s="134"/>
      <c r="E308" s="134"/>
      <c r="F308" s="134"/>
      <c r="G308" s="134"/>
      <c r="H308" s="134"/>
      <c r="I308" s="134"/>
      <c r="J308" s="125"/>
      <c r="K308" s="125"/>
      <c r="L308" s="125"/>
      <c r="M308" s="125"/>
      <c r="N308" s="125"/>
      <c r="O308" s="125"/>
      <c r="P308" s="125"/>
    </row>
    <row r="309" spans="1:17" s="227" customFormat="1" ht="12.6" outlineLevel="1">
      <c r="A309" s="135" t="s">
        <v>1277</v>
      </c>
      <c r="B309" s="229" t="s">
        <v>231</v>
      </c>
      <c r="C309" s="138"/>
      <c r="D309" s="134"/>
      <c r="E309" s="134"/>
      <c r="F309" s="134"/>
      <c r="G309" s="134"/>
      <c r="H309" s="134"/>
      <c r="I309" s="134"/>
      <c r="J309" s="137">
        <v>0.13</v>
      </c>
      <c r="K309" s="137">
        <v>0.13</v>
      </c>
      <c r="L309" s="137">
        <v>0.13</v>
      </c>
      <c r="M309" s="137">
        <v>0.13</v>
      </c>
      <c r="N309" s="137">
        <v>0.13</v>
      </c>
      <c r="O309" s="137">
        <v>0.13</v>
      </c>
      <c r="P309" s="137">
        <v>0.13</v>
      </c>
    </row>
    <row r="310" spans="1:17" s="227" customFormat="1" ht="12.6" outlineLevel="1">
      <c r="A310" s="135" t="s">
        <v>1278</v>
      </c>
      <c r="B310" s="229" t="s">
        <v>231</v>
      </c>
      <c r="C310" s="138"/>
      <c r="D310" s="134"/>
      <c r="E310" s="134"/>
      <c r="F310" s="134"/>
      <c r="G310" s="134"/>
      <c r="H310" s="134"/>
      <c r="I310" s="134"/>
      <c r="J310" s="137"/>
      <c r="K310" s="137"/>
      <c r="L310" s="137"/>
      <c r="M310" s="137"/>
      <c r="N310" s="137"/>
      <c r="O310" s="137"/>
      <c r="P310" s="137"/>
    </row>
    <row r="311" spans="1:17" s="174" customFormat="1" ht="12.6" outlineLevel="1">
      <c r="A311" s="174" t="s">
        <v>1287</v>
      </c>
      <c r="B311" s="229"/>
      <c r="C311" s="138"/>
      <c r="D311" s="134"/>
      <c r="E311" s="134"/>
      <c r="F311" s="134"/>
      <c r="G311" s="134"/>
      <c r="H311" s="134"/>
      <c r="I311" s="134"/>
      <c r="J311" s="125"/>
      <c r="K311" s="125"/>
      <c r="L311" s="125"/>
      <c r="M311" s="125"/>
      <c r="N311" s="125"/>
      <c r="O311" s="125"/>
      <c r="P311" s="125"/>
    </row>
    <row r="312" spans="1:17" s="227" customFormat="1" ht="12.6" outlineLevel="1">
      <c r="A312" s="135" t="s">
        <v>1277</v>
      </c>
      <c r="B312" s="229" t="s">
        <v>231</v>
      </c>
      <c r="C312" s="138"/>
      <c r="D312" s="134"/>
      <c r="E312" s="134"/>
      <c r="F312" s="134"/>
      <c r="G312" s="134"/>
      <c r="H312" s="134"/>
      <c r="I312" s="134"/>
      <c r="J312" s="137">
        <v>0.14000000000000001</v>
      </c>
      <c r="K312" s="137">
        <v>0.14000000000000001</v>
      </c>
      <c r="L312" s="137">
        <v>0.14000000000000001</v>
      </c>
      <c r="M312" s="137">
        <v>0.14000000000000001</v>
      </c>
      <c r="N312" s="137">
        <v>0.14000000000000001</v>
      </c>
      <c r="O312" s="137">
        <v>0.14000000000000001</v>
      </c>
      <c r="P312" s="137">
        <v>0.14000000000000001</v>
      </c>
    </row>
    <row r="313" spans="1:17" s="227" customFormat="1" ht="12.6" outlineLevel="1">
      <c r="A313" s="135" t="s">
        <v>1278</v>
      </c>
      <c r="B313" s="229" t="s">
        <v>231</v>
      </c>
      <c r="C313" s="138"/>
      <c r="D313" s="134"/>
      <c r="E313" s="134"/>
      <c r="F313" s="134"/>
      <c r="G313" s="134"/>
      <c r="H313" s="134"/>
      <c r="I313" s="134"/>
      <c r="J313" s="137">
        <v>0.03</v>
      </c>
      <c r="K313" s="137">
        <v>0.03</v>
      </c>
      <c r="L313" s="137">
        <v>0.03</v>
      </c>
      <c r="M313" s="137">
        <v>0.03</v>
      </c>
      <c r="N313" s="137">
        <v>0.03</v>
      </c>
      <c r="O313" s="137">
        <v>0.03</v>
      </c>
      <c r="P313" s="137">
        <v>0.03</v>
      </c>
    </row>
    <row r="314" spans="1:17" s="174" customFormat="1" ht="12.6" outlineLevel="1">
      <c r="A314" s="703" t="s">
        <v>1288</v>
      </c>
      <c r="B314" s="229"/>
      <c r="C314" s="138"/>
      <c r="D314" s="134"/>
      <c r="E314" s="134"/>
      <c r="F314" s="134"/>
      <c r="G314" s="134"/>
      <c r="H314" s="134"/>
      <c r="I314" s="134"/>
      <c r="J314" s="230"/>
      <c r="K314" s="230"/>
      <c r="L314" s="230"/>
      <c r="M314" s="230"/>
      <c r="N314" s="230"/>
      <c r="O314" s="230"/>
      <c r="P314" s="230"/>
    </row>
    <row r="315" spans="1:17" s="174" customFormat="1" ht="12.6" outlineLevel="1">
      <c r="A315" s="227" t="s">
        <v>1270</v>
      </c>
      <c r="B315" s="121" t="s">
        <v>1267</v>
      </c>
      <c r="C315" s="138"/>
      <c r="D315" s="134"/>
      <c r="E315" s="134"/>
      <c r="F315" s="134"/>
      <c r="G315" s="134"/>
      <c r="H315" s="134"/>
      <c r="I315" s="134"/>
      <c r="J315" s="225">
        <f t="shared" ref="J315:P315" si="180">(J312*J300)/2+(J313*J301)/2</f>
        <v>50400.000000000007</v>
      </c>
      <c r="K315" s="225">
        <f t="shared" si="180"/>
        <v>75432</v>
      </c>
      <c r="L315" s="225">
        <f t="shared" si="180"/>
        <v>134500.80000000002</v>
      </c>
      <c r="M315" s="225">
        <f t="shared" si="180"/>
        <v>214179.84000000003</v>
      </c>
      <c r="N315" s="225">
        <f t="shared" si="180"/>
        <v>320350.46400000004</v>
      </c>
      <c r="O315" s="225">
        <f t="shared" si="180"/>
        <v>460422.14400000015</v>
      </c>
      <c r="P315" s="225">
        <f t="shared" si="180"/>
        <v>643708.47744000016</v>
      </c>
    </row>
    <row r="316" spans="1:17" s="174" customFormat="1" ht="12.6" outlineLevel="1">
      <c r="A316" s="227" t="s">
        <v>1269</v>
      </c>
      <c r="B316" s="121" t="s">
        <v>1267</v>
      </c>
      <c r="C316" s="138"/>
      <c r="D316" s="134"/>
      <c r="E316" s="134"/>
      <c r="F316" s="134"/>
      <c r="G316" s="134"/>
      <c r="H316" s="134"/>
      <c r="I316" s="134"/>
      <c r="J316" s="225">
        <f t="shared" ref="J316:P316" si="181">-((J309*J300)/2+(J310*J301)/2)</f>
        <v>-46800</v>
      </c>
      <c r="K316" s="225">
        <f t="shared" si="181"/>
        <v>-70044</v>
      </c>
      <c r="L316" s="225">
        <f t="shared" si="181"/>
        <v>-124893.6</v>
      </c>
      <c r="M316" s="225">
        <f t="shared" si="181"/>
        <v>-198881.28</v>
      </c>
      <c r="N316" s="225">
        <f t="shared" si="181"/>
        <v>-297468.288</v>
      </c>
      <c r="O316" s="225">
        <f t="shared" si="181"/>
        <v>-427534.84800000011</v>
      </c>
      <c r="P316" s="225">
        <f t="shared" si="181"/>
        <v>-597729.30048000009</v>
      </c>
    </row>
    <row r="317" spans="1:17" s="231" customFormat="1" ht="12.6" outlineLevel="1">
      <c r="A317" s="174" t="s">
        <v>1289</v>
      </c>
      <c r="B317" s="121" t="s">
        <v>1267</v>
      </c>
      <c r="C317" s="138"/>
      <c r="D317" s="134"/>
      <c r="E317" s="134"/>
      <c r="F317" s="134"/>
      <c r="G317" s="134"/>
      <c r="H317" s="134"/>
      <c r="I317" s="134"/>
      <c r="J317" s="232">
        <f t="shared" ref="J317:P317" si="182">-((J297-I297)*J306+(J298-I298)*J307)</f>
        <v>0</v>
      </c>
      <c r="K317" s="232">
        <f t="shared" si="182"/>
        <v>0</v>
      </c>
      <c r="L317" s="232">
        <f t="shared" si="182"/>
        <v>0</v>
      </c>
      <c r="M317" s="232">
        <f t="shared" si="182"/>
        <v>0</v>
      </c>
      <c r="N317" s="232">
        <f t="shared" si="182"/>
        <v>0</v>
      </c>
      <c r="O317" s="232">
        <f t="shared" si="182"/>
        <v>0</v>
      </c>
      <c r="P317" s="232">
        <f t="shared" si="182"/>
        <v>0</v>
      </c>
    </row>
    <row r="318" spans="1:17" s="231" customFormat="1" ht="12.6" outlineLevel="1">
      <c r="A318" s="183" t="s">
        <v>232</v>
      </c>
      <c r="B318" s="121" t="s">
        <v>1267</v>
      </c>
      <c r="C318" s="138"/>
      <c r="D318" s="134"/>
      <c r="E318" s="134"/>
      <c r="F318" s="134"/>
      <c r="G318" s="134"/>
      <c r="H318" s="134"/>
      <c r="I318" s="134"/>
      <c r="J318" s="232">
        <f t="shared" ref="J318:P318" si="183">SUM(J315:J317)</f>
        <v>3600.0000000000073</v>
      </c>
      <c r="K318" s="232">
        <f>SUM(K315:K317)</f>
        <v>5388</v>
      </c>
      <c r="L318" s="232">
        <f t="shared" si="183"/>
        <v>9607.2000000000116</v>
      </c>
      <c r="M318" s="232">
        <f t="shared" si="183"/>
        <v>15298.560000000027</v>
      </c>
      <c r="N318" s="232">
        <f t="shared" si="183"/>
        <v>22882.176000000036</v>
      </c>
      <c r="O318" s="232">
        <f t="shared" si="183"/>
        <v>32887.296000000031</v>
      </c>
      <c r="P318" s="232">
        <f t="shared" si="183"/>
        <v>45979.17696000007</v>
      </c>
    </row>
    <row r="319" spans="1:17" s="231" customFormat="1" ht="12.6" outlineLevel="1">
      <c r="A319" s="183" t="s">
        <v>233</v>
      </c>
      <c r="B319" s="253" t="s">
        <v>231</v>
      </c>
      <c r="C319" s="138"/>
      <c r="D319" s="134"/>
      <c r="E319" s="134"/>
      <c r="F319" s="134"/>
      <c r="G319" s="134"/>
      <c r="H319" s="134"/>
      <c r="I319" s="134"/>
      <c r="J319" s="128">
        <f t="shared" ref="J319:P319" si="184">J318*2/((I299+J299)/2)</f>
        <v>2.0000000000000042E-2</v>
      </c>
      <c r="K319" s="128">
        <f t="shared" si="184"/>
        <v>1.198931909212283E-2</v>
      </c>
      <c r="L319" s="128">
        <f t="shared" si="184"/>
        <v>1.2813700384122936E-2</v>
      </c>
      <c r="M319" s="128">
        <f t="shared" si="184"/>
        <v>1.2285158132094767E-2</v>
      </c>
      <c r="N319" s="128">
        <f t="shared" si="184"/>
        <v>1.1986241438614507E-2</v>
      </c>
      <c r="O319" s="128">
        <f t="shared" si="184"/>
        <v>1.179401375720395E-2</v>
      </c>
      <c r="P319" s="128">
        <f t="shared" si="184"/>
        <v>1.1660005889529274E-2</v>
      </c>
    </row>
    <row r="320" spans="1:17" s="174" customFormat="1" ht="12.6" outlineLevel="1">
      <c r="A320" s="174" t="s">
        <v>1373</v>
      </c>
      <c r="B320" s="121" t="s">
        <v>1267</v>
      </c>
      <c r="C320" s="138"/>
      <c r="D320" s="134"/>
      <c r="E320" s="134"/>
      <c r="F320" s="134"/>
      <c r="G320" s="134"/>
      <c r="H320" s="134"/>
      <c r="I320" s="134"/>
      <c r="J320" s="236">
        <f t="shared" ref="J320:P320" si="185">J321/AVERAGE(I290:J290)</f>
        <v>-10.00000000000002</v>
      </c>
      <c r="K320" s="236">
        <f t="shared" si="185"/>
        <v>-10</v>
      </c>
      <c r="L320" s="236">
        <f t="shared" si="185"/>
        <v>-10.000000000000012</v>
      </c>
      <c r="M320" s="236">
        <f t="shared" si="185"/>
        <v>-10.000000000000016</v>
      </c>
      <c r="N320" s="236">
        <f t="shared" si="185"/>
        <v>-10.000000000000014</v>
      </c>
      <c r="O320" s="236">
        <f t="shared" si="185"/>
        <v>-10.000000000000007</v>
      </c>
      <c r="P320" s="236">
        <f t="shared" si="185"/>
        <v>-10.000000000000014</v>
      </c>
    </row>
    <row r="321" spans="1:16" s="231" customFormat="1" ht="12.6" outlineLevel="1">
      <c r="A321" s="183" t="s">
        <v>307</v>
      </c>
      <c r="B321" s="121" t="s">
        <v>1267</v>
      </c>
      <c r="C321" s="138"/>
      <c r="D321" s="134"/>
      <c r="E321" s="134"/>
      <c r="F321" s="134"/>
      <c r="G321" s="134"/>
      <c r="H321" s="134"/>
      <c r="I321" s="134"/>
      <c r="J321" s="232">
        <f t="shared" ref="J321:P321" si="186">-J325*J318</f>
        <v>-900.00000000000182</v>
      </c>
      <c r="K321" s="232">
        <f t="shared" si="186"/>
        <v>-1347</v>
      </c>
      <c r="L321" s="232">
        <f>-L325*L318</f>
        <v>-2401.8000000000029</v>
      </c>
      <c r="M321" s="232">
        <f t="shared" si="186"/>
        <v>-3824.6400000000067</v>
      </c>
      <c r="N321" s="232">
        <f>-N325*N318</f>
        <v>-5720.544000000009</v>
      </c>
      <c r="O321" s="232">
        <f t="shared" si="186"/>
        <v>-8221.8240000000078</v>
      </c>
      <c r="P321" s="232">
        <f t="shared" si="186"/>
        <v>-11494.794240000017</v>
      </c>
    </row>
    <row r="322" spans="1:16" s="174" customFormat="1" ht="12.6" outlineLevel="1">
      <c r="A322" s="174" t="s">
        <v>1272</v>
      </c>
      <c r="B322" s="121" t="s">
        <v>1267</v>
      </c>
      <c r="C322" s="138"/>
      <c r="D322" s="134"/>
      <c r="E322" s="134"/>
      <c r="F322" s="134"/>
      <c r="G322" s="134"/>
      <c r="H322" s="134"/>
      <c r="I322" s="134"/>
      <c r="J322" s="228">
        <f t="shared" ref="J322:O322" si="187">J318+J321</f>
        <v>2700.0000000000055</v>
      </c>
      <c r="K322" s="228">
        <f t="shared" si="187"/>
        <v>4041</v>
      </c>
      <c r="L322" s="228">
        <f t="shared" si="187"/>
        <v>7205.4000000000087</v>
      </c>
      <c r="M322" s="228">
        <f t="shared" si="187"/>
        <v>11473.92000000002</v>
      </c>
      <c r="N322" s="228">
        <f t="shared" si="187"/>
        <v>17161.632000000027</v>
      </c>
      <c r="O322" s="228">
        <f t="shared" si="187"/>
        <v>24665.472000000023</v>
      </c>
      <c r="P322" s="228">
        <f>P318+P321</f>
        <v>34484.382720000052</v>
      </c>
    </row>
    <row r="323" spans="1:16" s="174" customFormat="1" ht="12.6" outlineLevel="1">
      <c r="A323" s="174" t="s">
        <v>1291</v>
      </c>
      <c r="B323" s="121" t="s">
        <v>1267</v>
      </c>
      <c r="C323" s="138"/>
      <c r="D323" s="134"/>
      <c r="E323" s="134"/>
      <c r="F323" s="134"/>
      <c r="G323" s="134"/>
      <c r="H323" s="134"/>
      <c r="I323" s="134"/>
      <c r="J323" s="228">
        <f>I323+J322</f>
        <v>2700.0000000000055</v>
      </c>
      <c r="K323" s="228">
        <f>K322</f>
        <v>4041</v>
      </c>
      <c r="L323" s="228">
        <f>K323+L322</f>
        <v>11246.400000000009</v>
      </c>
      <c r="M323" s="228">
        <f>M322</f>
        <v>11473.92000000002</v>
      </c>
      <c r="N323" s="228">
        <f>M323+N322</f>
        <v>28635.552000000047</v>
      </c>
      <c r="O323" s="228">
        <f>O322</f>
        <v>24665.472000000023</v>
      </c>
      <c r="P323" s="228">
        <f>O323+P322</f>
        <v>59149.854720000076</v>
      </c>
    </row>
    <row r="324" spans="1:16" s="168" customFormat="1" ht="12.6" outlineLevel="1">
      <c r="A324" s="177" t="s">
        <v>236</v>
      </c>
      <c r="B324" s="233" t="s">
        <v>231</v>
      </c>
      <c r="C324" s="138"/>
      <c r="D324" s="134"/>
      <c r="E324" s="134"/>
      <c r="F324" s="134"/>
      <c r="G324" s="134"/>
      <c r="H324" s="134"/>
      <c r="I324" s="134"/>
      <c r="J324" s="234">
        <f>J323/AVERAGE(I299:J299)</f>
        <v>3.7500000000000077E-3</v>
      </c>
      <c r="K324" s="234"/>
      <c r="L324" s="234">
        <f>L323/AVERAGE(K299:L299)</f>
        <v>7.5000000000000058E-3</v>
      </c>
      <c r="M324" s="234"/>
      <c r="N324" s="234">
        <f>N323/AVERAGE(M299:N299)</f>
        <v>7.5000000000000119E-3</v>
      </c>
      <c r="O324" s="234"/>
      <c r="P324" s="234">
        <f>P323/AVERAGE(O299:P299)</f>
        <v>7.5000000000000084E-3</v>
      </c>
    </row>
    <row r="325" spans="1:16" s="231" customFormat="1" ht="12.6" outlineLevel="1">
      <c r="A325" s="231" t="s">
        <v>374</v>
      </c>
      <c r="B325" s="121" t="s">
        <v>231</v>
      </c>
      <c r="C325" s="138"/>
      <c r="D325" s="134"/>
      <c r="E325" s="134"/>
      <c r="F325" s="134"/>
      <c r="G325" s="134"/>
      <c r="H325" s="134"/>
      <c r="I325" s="134"/>
      <c r="J325" s="235">
        <v>0.25</v>
      </c>
      <c r="K325" s="235">
        <v>0.25</v>
      </c>
      <c r="L325" s="235">
        <v>0.25</v>
      </c>
      <c r="M325" s="235">
        <v>0.25</v>
      </c>
      <c r="N325" s="235">
        <v>0.25</v>
      </c>
      <c r="O325" s="235">
        <v>0.25</v>
      </c>
      <c r="P325" s="235">
        <v>0.25</v>
      </c>
    </row>
    <row r="326" spans="1:16" ht="15.6" outlineLevel="1">
      <c r="A326" s="174" t="s">
        <v>1272</v>
      </c>
      <c r="B326" s="121" t="s">
        <v>803</v>
      </c>
      <c r="C326" s="302"/>
      <c r="G326" s="134"/>
      <c r="H326" s="134"/>
      <c r="I326" s="134"/>
      <c r="J326" s="301">
        <f>J322/'Funnel QH'!J30</f>
        <v>5.400000000000011</v>
      </c>
      <c r="K326" s="301">
        <f>K322/'Funnel QH'!K30</f>
        <v>8.0820000000000007</v>
      </c>
      <c r="L326" s="301">
        <f>L322/'Funnel QH'!L30</f>
        <v>14.410800000000018</v>
      </c>
      <c r="M326" s="301">
        <f>M322/'Funnel QH'!M30</f>
        <v>22.947840000000038</v>
      </c>
      <c r="N326" s="301">
        <f>N322/'Funnel QH'!N30</f>
        <v>34.323264000000052</v>
      </c>
      <c r="O326" s="301">
        <f>O322/'Funnel QH'!O30</f>
        <v>49.330944000000045</v>
      </c>
      <c r="P326" s="301">
        <f>P322/'Funnel QH'!P30</f>
        <v>68.968765440000098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8" tint="0.79998168889431442"/>
  </sheetPr>
  <dimension ref="A1:W24"/>
  <sheetViews>
    <sheetView workbookViewId="0">
      <pane xSplit="2" ySplit="6" topLeftCell="C7" activePane="bottomRight" state="frozen"/>
      <selection pane="topRight" activeCell="C1" sqref="C1"/>
      <selection pane="bottomLeft" activeCell="A8" sqref="A8"/>
      <selection pane="bottomRight" activeCell="G1" sqref="G1:G1048576"/>
    </sheetView>
  </sheetViews>
  <sheetFormatPr defaultColWidth="8.88671875" defaultRowHeight="13.8" outlineLevelCol="1"/>
  <cols>
    <col min="1" max="1" width="64.44140625" style="143" customWidth="1"/>
    <col min="2" max="2" width="9.88671875" style="155" bestFit="1" customWidth="1"/>
    <col min="3" max="3" width="10" style="143" bestFit="1" customWidth="1"/>
    <col min="4" max="4" width="16.44140625" style="143" customWidth="1" outlineLevel="1"/>
    <col min="5" max="5" width="16.6640625" style="143" customWidth="1" outlineLevel="1"/>
    <col min="6" max="6" width="14.6640625" style="143" customWidth="1" outlineLevel="1"/>
    <col min="7" max="16" width="16" style="143" customWidth="1" outlineLevel="1"/>
    <col min="17" max="17" width="5.6640625" style="143" customWidth="1" outlineLevel="1"/>
    <col min="18" max="23" width="16" style="143" bestFit="1" customWidth="1"/>
    <col min="24" max="16384" width="8.88671875" style="143"/>
  </cols>
  <sheetData>
    <row r="1" spans="1:23" s="105" customFormat="1" ht="19.8">
      <c r="A1" s="103" t="s">
        <v>368</v>
      </c>
      <c r="B1" s="152"/>
      <c r="C1" s="103"/>
      <c r="D1" s="103"/>
      <c r="E1" s="103"/>
      <c r="F1" s="103"/>
      <c r="G1" s="104"/>
      <c r="H1" s="104"/>
      <c r="I1" s="104"/>
      <c r="J1" s="104"/>
      <c r="K1" s="104"/>
      <c r="L1" s="104"/>
      <c r="M1" s="104"/>
      <c r="N1" s="104"/>
      <c r="O1" s="104"/>
      <c r="P1" s="104"/>
      <c r="R1" s="104"/>
      <c r="S1" s="104"/>
      <c r="T1" s="104"/>
      <c r="U1" s="104"/>
      <c r="V1" s="104"/>
      <c r="W1" s="104"/>
    </row>
    <row r="2" spans="1:23" s="107" customFormat="1">
      <c r="A2" s="106"/>
      <c r="B2" s="153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R2" s="109"/>
      <c r="S2" s="109"/>
      <c r="T2" s="109"/>
      <c r="U2" s="109"/>
      <c r="V2" s="109"/>
      <c r="W2" s="109"/>
    </row>
    <row r="3" spans="1:23" s="108" customFormat="1">
      <c r="A3" s="110"/>
      <c r="B3" s="147"/>
      <c r="D3" s="159">
        <v>45657</v>
      </c>
      <c r="E3" s="159">
        <v>45747</v>
      </c>
      <c r="F3" s="159">
        <v>45838</v>
      </c>
      <c r="G3" s="159">
        <v>45930</v>
      </c>
      <c r="H3" s="159">
        <v>46022</v>
      </c>
      <c r="I3" s="111"/>
      <c r="J3" s="111"/>
      <c r="K3" s="111"/>
      <c r="L3" s="111"/>
      <c r="M3" s="111"/>
      <c r="N3" s="111"/>
      <c r="O3" s="111"/>
      <c r="P3" s="111"/>
      <c r="R3" s="111"/>
      <c r="S3" s="111"/>
      <c r="T3" s="111"/>
      <c r="U3" s="111"/>
      <c r="V3" s="111"/>
      <c r="W3" s="111"/>
    </row>
    <row r="4" spans="1:23" s="147" customFormat="1">
      <c r="D4" s="148">
        <v>2024</v>
      </c>
      <c r="E4" s="148">
        <v>2025</v>
      </c>
      <c r="F4" s="148">
        <v>2025</v>
      </c>
      <c r="G4" s="148">
        <v>2025</v>
      </c>
      <c r="H4" s="148">
        <v>2025</v>
      </c>
      <c r="I4" s="148">
        <v>2026</v>
      </c>
      <c r="J4" s="148">
        <v>2026</v>
      </c>
      <c r="K4" s="148">
        <v>2027</v>
      </c>
      <c r="L4" s="148">
        <v>2027</v>
      </c>
      <c r="M4" s="148">
        <v>2028</v>
      </c>
      <c r="N4" s="148">
        <v>2028</v>
      </c>
      <c r="O4" s="148">
        <v>2029</v>
      </c>
      <c r="P4" s="148">
        <v>2029</v>
      </c>
      <c r="R4" s="148">
        <v>2024</v>
      </c>
      <c r="S4" s="148">
        <v>2025</v>
      </c>
      <c r="T4" s="148">
        <v>2026</v>
      </c>
      <c r="U4" s="148">
        <v>2027</v>
      </c>
      <c r="V4" s="148">
        <v>2028</v>
      </c>
      <c r="W4" s="148">
        <v>2029</v>
      </c>
    </row>
    <row r="5" spans="1:23" s="149" customFormat="1">
      <c r="A5" s="150"/>
      <c r="B5" s="150"/>
      <c r="C5" s="150"/>
      <c r="D5" s="151" t="s">
        <v>294</v>
      </c>
      <c r="E5" s="151" t="s">
        <v>431</v>
      </c>
      <c r="F5" s="151" t="s">
        <v>432</v>
      </c>
      <c r="G5" s="151" t="s">
        <v>433</v>
      </c>
      <c r="H5" s="151" t="s">
        <v>434</v>
      </c>
      <c r="I5" s="151" t="s">
        <v>435</v>
      </c>
      <c r="J5" s="151" t="s">
        <v>436</v>
      </c>
      <c r="K5" s="151" t="s">
        <v>435</v>
      </c>
      <c r="L5" s="151" t="s">
        <v>436</v>
      </c>
      <c r="M5" s="151" t="s">
        <v>435</v>
      </c>
      <c r="N5" s="151" t="s">
        <v>436</v>
      </c>
      <c r="O5" s="151" t="s">
        <v>435</v>
      </c>
      <c r="P5" s="151" t="s">
        <v>436</v>
      </c>
      <c r="R5" s="151" t="s">
        <v>294</v>
      </c>
      <c r="S5" s="151" t="s">
        <v>308</v>
      </c>
      <c r="T5" s="151" t="s">
        <v>309</v>
      </c>
      <c r="U5" s="151" t="s">
        <v>311</v>
      </c>
      <c r="V5" s="151" t="s">
        <v>310</v>
      </c>
      <c r="W5" s="151" t="s">
        <v>312</v>
      </c>
    </row>
    <row r="6" spans="1:23" s="114" customFormat="1">
      <c r="D6" s="158">
        <v>0</v>
      </c>
      <c r="E6" s="115">
        <v>1</v>
      </c>
      <c r="F6" s="115">
        <v>2</v>
      </c>
      <c r="G6" s="115">
        <v>3</v>
      </c>
      <c r="H6" s="115">
        <v>4</v>
      </c>
      <c r="I6" s="115">
        <v>5</v>
      </c>
      <c r="J6" s="115">
        <v>6</v>
      </c>
      <c r="K6" s="115">
        <v>7</v>
      </c>
      <c r="L6" s="115">
        <v>8</v>
      </c>
      <c r="M6" s="115">
        <v>9</v>
      </c>
      <c r="N6" s="115">
        <v>10</v>
      </c>
      <c r="O6" s="115">
        <v>11</v>
      </c>
      <c r="P6" s="115">
        <v>12</v>
      </c>
      <c r="R6" s="115"/>
      <c r="S6" s="115"/>
      <c r="T6" s="115"/>
      <c r="U6" s="115"/>
      <c r="V6" s="115"/>
      <c r="W6" s="115"/>
    </row>
    <row r="8" spans="1:23" s="119" customFormat="1" ht="12.6">
      <c r="A8" s="132" t="s">
        <v>276</v>
      </c>
      <c r="B8" s="154" t="s">
        <v>228</v>
      </c>
      <c r="C8" s="117"/>
      <c r="D8" s="117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R8" s="118"/>
      <c r="S8" s="118"/>
      <c r="T8" s="118"/>
      <c r="U8" s="118"/>
      <c r="V8" s="118"/>
      <c r="W8" s="118"/>
    </row>
    <row r="9" spans="1:23" ht="7.95" customHeight="1"/>
    <row r="10" spans="1:23" s="201" customFormat="1">
      <c r="A10" s="133" t="s">
        <v>330</v>
      </c>
      <c r="B10" s="200" t="s">
        <v>230</v>
      </c>
      <c r="D10" s="202">
        <f>'Funnel QH'!D11*'Funnel QH'!D23</f>
        <v>3280000</v>
      </c>
      <c r="E10" s="202">
        <f>'Funnel QH'!E11*'Funnel QH'!E23</f>
        <v>3456287.6247671233</v>
      </c>
      <c r="F10" s="202">
        <f>'Funnel QH'!F11*'Funnel QH'!F23</f>
        <v>3634534.0009205476</v>
      </c>
      <c r="G10" s="202">
        <f>'Funnel QH'!G11*'Funnel QH'!G23</f>
        <v>3814739.1284602741</v>
      </c>
      <c r="H10" s="202">
        <f>'Funnel QH'!H11*'Funnel QH'!H23</f>
        <v>4004864.2560000005</v>
      </c>
      <c r="I10" s="202">
        <f>'Funnel QH'!I11*'Funnel QH'!I23</f>
        <v>4211580.2687999997</v>
      </c>
      <c r="J10" s="202">
        <f>'Funnel QH'!J11*'Funnel QH'!J23</f>
        <v>4449960.2816000003</v>
      </c>
      <c r="K10" s="202">
        <f>'Funnel QH'!K11*'Funnel QH'!K23</f>
        <v>4705359.8000000007</v>
      </c>
      <c r="L10" s="202">
        <f>'Funnel QH'!L11*'Funnel QH'!L23</f>
        <v>4972759.3184000002</v>
      </c>
      <c r="M10" s="202">
        <f>'Funnel QH'!M11*'Funnel QH'!M23</f>
        <v>5280686.1488800002</v>
      </c>
      <c r="N10" s="202">
        <f>'Funnel QH'!N11*'Funnel QH'!N23</f>
        <v>5601996.9793599993</v>
      </c>
      <c r="O10" s="202">
        <f>'Funnel QH'!O11*'Funnel QH'!O23</f>
        <v>5994608.7393720001</v>
      </c>
      <c r="P10" s="202">
        <f>'Funnel QH'!P11*'Funnel QH'!P23</f>
        <v>6402436.499384</v>
      </c>
      <c r="R10" s="202">
        <f t="shared" ref="R10:R14" si="0">D10</f>
        <v>3280000</v>
      </c>
      <c r="S10" s="202">
        <f t="shared" ref="S10:S14" si="1">H10</f>
        <v>4004864.2560000005</v>
      </c>
      <c r="T10" s="202">
        <f t="shared" ref="T10:T14" si="2">J10</f>
        <v>4449960.2816000003</v>
      </c>
      <c r="U10" s="202">
        <f t="shared" ref="U10:U14" si="3">L10</f>
        <v>4972759.3184000002</v>
      </c>
      <c r="V10" s="202">
        <f t="shared" ref="V10:V14" si="4">N10</f>
        <v>5601996.9793599993</v>
      </c>
      <c r="W10" s="202">
        <f t="shared" ref="W10:W15" si="5">P10</f>
        <v>6402436.499384</v>
      </c>
    </row>
    <row r="11" spans="1:23">
      <c r="A11" s="122" t="s">
        <v>385</v>
      </c>
      <c r="B11" s="155" t="s">
        <v>231</v>
      </c>
      <c r="D11" s="125"/>
      <c r="E11" s="125"/>
      <c r="F11" s="125"/>
      <c r="G11" s="125">
        <f t="shared" ref="G11:P11" si="6">1-G12-G13</f>
        <v>0.94499999999999995</v>
      </c>
      <c r="H11" s="125">
        <f t="shared" si="6"/>
        <v>0.9395</v>
      </c>
      <c r="I11" s="125">
        <f t="shared" si="6"/>
        <v>0.9274</v>
      </c>
      <c r="J11" s="125">
        <f t="shared" si="6"/>
        <v>0.91288000000000002</v>
      </c>
      <c r="K11" s="125">
        <f t="shared" si="6"/>
        <v>0.89545600000000003</v>
      </c>
      <c r="L11" s="125">
        <f t="shared" si="6"/>
        <v>0.87454720000000008</v>
      </c>
      <c r="M11" s="125">
        <f t="shared" si="6"/>
        <v>0.86827456000000003</v>
      </c>
      <c r="N11" s="125">
        <f t="shared" si="6"/>
        <v>0.86168828799999997</v>
      </c>
      <c r="O11" s="125">
        <f t="shared" si="6"/>
        <v>0.85477270240000003</v>
      </c>
      <c r="P11" s="125">
        <f t="shared" si="6"/>
        <v>0.84751133751999996</v>
      </c>
      <c r="R11" s="205">
        <f t="shared" si="0"/>
        <v>0</v>
      </c>
      <c r="S11" s="205">
        <f t="shared" si="1"/>
        <v>0.9395</v>
      </c>
      <c r="T11" s="205">
        <f t="shared" si="2"/>
        <v>0.91288000000000002</v>
      </c>
      <c r="U11" s="205">
        <f t="shared" si="3"/>
        <v>0.87454720000000008</v>
      </c>
      <c r="V11" s="205">
        <f t="shared" si="4"/>
        <v>0.86168828799999997</v>
      </c>
      <c r="W11" s="205">
        <f t="shared" si="5"/>
        <v>0.84751133751999996</v>
      </c>
    </row>
    <row r="12" spans="1:23">
      <c r="A12" s="122" t="s">
        <v>277</v>
      </c>
      <c r="B12" s="155" t="s">
        <v>231</v>
      </c>
      <c r="G12" s="137">
        <v>0.04</v>
      </c>
      <c r="H12" s="137">
        <f>G12*(1+10%)</f>
        <v>4.4000000000000004E-2</v>
      </c>
      <c r="I12" s="137">
        <f>H12*(1+20%)</f>
        <v>5.2800000000000007E-2</v>
      </c>
      <c r="J12" s="137">
        <f t="shared" ref="J12:L12" si="7">I12*(1+20%)</f>
        <v>6.336E-2</v>
      </c>
      <c r="K12" s="137">
        <f t="shared" si="7"/>
        <v>7.6032000000000002E-2</v>
      </c>
      <c r="L12" s="137">
        <f t="shared" si="7"/>
        <v>9.1238399999999997E-2</v>
      </c>
      <c r="M12" s="137">
        <f>L12*(1+5%)</f>
        <v>9.5800319999999994E-2</v>
      </c>
      <c r="N12" s="137">
        <f t="shared" ref="N12:P12" si="8">M12*(1+5%)</f>
        <v>0.100590336</v>
      </c>
      <c r="O12" s="137">
        <f t="shared" si="8"/>
        <v>0.10561985280000001</v>
      </c>
      <c r="P12" s="137">
        <f t="shared" si="8"/>
        <v>0.11090084544000002</v>
      </c>
      <c r="R12" s="205">
        <f t="shared" si="0"/>
        <v>0</v>
      </c>
      <c r="S12" s="205">
        <f t="shared" si="1"/>
        <v>4.4000000000000004E-2</v>
      </c>
      <c r="T12" s="205">
        <f t="shared" si="2"/>
        <v>6.336E-2</v>
      </c>
      <c r="U12" s="205">
        <f t="shared" si="3"/>
        <v>9.1238399999999997E-2</v>
      </c>
      <c r="V12" s="205">
        <f t="shared" si="4"/>
        <v>0.100590336</v>
      </c>
      <c r="W12" s="205">
        <f t="shared" si="5"/>
        <v>0.11090084544000002</v>
      </c>
    </row>
    <row r="13" spans="1:23">
      <c r="A13" s="122" t="s">
        <v>278</v>
      </c>
      <c r="G13" s="137">
        <v>1.4999999999999999E-2</v>
      </c>
      <c r="H13" s="137">
        <f>G13*(1+10%)</f>
        <v>1.6500000000000001E-2</v>
      </c>
      <c r="I13" s="137">
        <f>H13*(1+20%)</f>
        <v>1.9800000000000002E-2</v>
      </c>
      <c r="J13" s="137">
        <f t="shared" ref="J13:L13" si="9">I13*(1+20%)</f>
        <v>2.376E-2</v>
      </c>
      <c r="K13" s="137">
        <f t="shared" si="9"/>
        <v>2.8511999999999999E-2</v>
      </c>
      <c r="L13" s="137">
        <f t="shared" si="9"/>
        <v>3.4214399999999999E-2</v>
      </c>
      <c r="M13" s="137">
        <f>L13*(1+5%)</f>
        <v>3.5925119999999998E-2</v>
      </c>
      <c r="N13" s="137">
        <f t="shared" ref="N13:P13" si="10">M13*(1+5%)</f>
        <v>3.7721376000000001E-2</v>
      </c>
      <c r="O13" s="137">
        <f t="shared" si="10"/>
        <v>3.9607444800000002E-2</v>
      </c>
      <c r="P13" s="137">
        <f t="shared" si="10"/>
        <v>4.1587817040000002E-2</v>
      </c>
      <c r="R13" s="205">
        <f t="shared" si="0"/>
        <v>0</v>
      </c>
      <c r="S13" s="205">
        <f t="shared" si="1"/>
        <v>1.6500000000000001E-2</v>
      </c>
      <c r="T13" s="205">
        <f t="shared" si="2"/>
        <v>2.376E-2</v>
      </c>
      <c r="U13" s="205">
        <f t="shared" si="3"/>
        <v>3.4214399999999999E-2</v>
      </c>
      <c r="V13" s="205">
        <f t="shared" si="4"/>
        <v>3.7721376000000001E-2</v>
      </c>
      <c r="W13" s="205">
        <f t="shared" si="5"/>
        <v>4.1587817040000002E-2</v>
      </c>
    </row>
    <row r="14" spans="1:23">
      <c r="A14" s="122" t="s">
        <v>386</v>
      </c>
      <c r="B14" s="138" t="s">
        <v>230</v>
      </c>
      <c r="G14" s="134">
        <f t="shared" ref="G14:P14" si="11">G$10*G11</f>
        <v>3604928.4763949588</v>
      </c>
      <c r="H14" s="134">
        <f t="shared" si="11"/>
        <v>3762569.9685120005</v>
      </c>
      <c r="I14" s="134">
        <f t="shared" si="11"/>
        <v>3905819.54128512</v>
      </c>
      <c r="J14" s="134">
        <f t="shared" si="11"/>
        <v>4062279.7418670086</v>
      </c>
      <c r="K14" s="134">
        <f t="shared" si="11"/>
        <v>4213442.6650688006</v>
      </c>
      <c r="L14" s="134">
        <f t="shared" si="11"/>
        <v>4348912.738180629</v>
      </c>
      <c r="M14" s="134">
        <f t="shared" si="11"/>
        <v>4585085.4424168766</v>
      </c>
      <c r="N14" s="134">
        <f t="shared" si="11"/>
        <v>4827175.1865258887</v>
      </c>
      <c r="O14" s="134">
        <f t="shared" si="11"/>
        <v>5124027.9119836623</v>
      </c>
      <c r="P14" s="134">
        <f t="shared" si="11"/>
        <v>5426137.5209798003</v>
      </c>
      <c r="R14" s="134">
        <f t="shared" si="0"/>
        <v>0</v>
      </c>
      <c r="S14" s="134">
        <f t="shared" si="1"/>
        <v>3762569.9685120005</v>
      </c>
      <c r="T14" s="134">
        <f t="shared" si="2"/>
        <v>4062279.7418670086</v>
      </c>
      <c r="U14" s="134">
        <f t="shared" si="3"/>
        <v>4348912.738180629</v>
      </c>
      <c r="V14" s="134">
        <f t="shared" si="4"/>
        <v>4827175.1865258887</v>
      </c>
      <c r="W14" s="134">
        <f t="shared" si="5"/>
        <v>5426137.5209798003</v>
      </c>
    </row>
    <row r="15" spans="1:23">
      <c r="A15" s="122" t="s">
        <v>331</v>
      </c>
      <c r="B15" s="138" t="s">
        <v>230</v>
      </c>
      <c r="G15" s="134">
        <f>G$10*G12</f>
        <v>152589.56513841098</v>
      </c>
      <c r="H15" s="134">
        <f t="shared" ref="H15:P15" si="12">H$10*H12</f>
        <v>176214.02726400003</v>
      </c>
      <c r="I15" s="134">
        <f t="shared" si="12"/>
        <v>222371.43819264002</v>
      </c>
      <c r="J15" s="134">
        <f t="shared" si="12"/>
        <v>281949.48344217602</v>
      </c>
      <c r="K15" s="134">
        <f t="shared" si="12"/>
        <v>357757.91631360009</v>
      </c>
      <c r="L15" s="134">
        <f t="shared" si="12"/>
        <v>453706.60379590659</v>
      </c>
      <c r="M15" s="134">
        <f t="shared" si="12"/>
        <v>505891.42288227164</v>
      </c>
      <c r="N15" s="134">
        <f t="shared" si="12"/>
        <v>563506.75842480746</v>
      </c>
      <c r="O15" s="134">
        <f t="shared" si="12"/>
        <v>633149.69264606433</v>
      </c>
      <c r="P15" s="134">
        <f t="shared" si="12"/>
        <v>710035.62065759976</v>
      </c>
      <c r="R15" s="134">
        <f t="shared" ref="R15:R16" si="13">D15</f>
        <v>0</v>
      </c>
      <c r="S15" s="134">
        <f t="shared" ref="S15:S16" si="14">H15</f>
        <v>176214.02726400003</v>
      </c>
      <c r="T15" s="134">
        <f t="shared" ref="T15:T16" si="15">J15</f>
        <v>281949.48344217602</v>
      </c>
      <c r="U15" s="134">
        <f t="shared" ref="U15:U16" si="16">L15</f>
        <v>453706.60379590659</v>
      </c>
      <c r="V15" s="134">
        <f t="shared" ref="V15:V16" si="17">N15</f>
        <v>563506.75842480746</v>
      </c>
      <c r="W15" s="134">
        <f t="shared" si="5"/>
        <v>710035.62065759976</v>
      </c>
    </row>
    <row r="16" spans="1:23">
      <c r="A16" s="122" t="s">
        <v>332</v>
      </c>
      <c r="B16" s="138" t="s">
        <v>230</v>
      </c>
      <c r="G16" s="134">
        <f t="shared" ref="G16:P16" si="18">G$10*G13</f>
        <v>57221.086926904107</v>
      </c>
      <c r="H16" s="134">
        <f t="shared" si="18"/>
        <v>66080.260224000012</v>
      </c>
      <c r="I16" s="134">
        <f t="shared" si="18"/>
        <v>83389.289322240002</v>
      </c>
      <c r="J16" s="134">
        <f t="shared" si="18"/>
        <v>105731.05629081601</v>
      </c>
      <c r="K16" s="134">
        <f t="shared" si="18"/>
        <v>134159.21861760001</v>
      </c>
      <c r="L16" s="134">
        <f t="shared" si="18"/>
        <v>170139.97642346495</v>
      </c>
      <c r="M16" s="134">
        <f t="shared" si="18"/>
        <v>189709.28358085186</v>
      </c>
      <c r="N16" s="134">
        <f t="shared" si="18"/>
        <v>211315.03440930278</v>
      </c>
      <c r="O16" s="134">
        <f t="shared" si="18"/>
        <v>237431.13474227409</v>
      </c>
      <c r="P16" s="134">
        <f t="shared" si="18"/>
        <v>266263.35774659988</v>
      </c>
      <c r="R16" s="134">
        <f t="shared" si="13"/>
        <v>0</v>
      </c>
      <c r="S16" s="134">
        <f t="shared" si="14"/>
        <v>66080.260224000012</v>
      </c>
      <c r="T16" s="134">
        <f t="shared" si="15"/>
        <v>105731.05629081601</v>
      </c>
      <c r="U16" s="134">
        <f t="shared" si="16"/>
        <v>170139.97642346495</v>
      </c>
      <c r="V16" s="134">
        <f t="shared" si="17"/>
        <v>211315.03440930278</v>
      </c>
      <c r="W16" s="134">
        <f t="shared" ref="W16" si="19">P16</f>
        <v>266263.35774659988</v>
      </c>
    </row>
    <row r="17" spans="1:23">
      <c r="A17" s="122" t="s">
        <v>290</v>
      </c>
      <c r="B17" s="138" t="s">
        <v>131</v>
      </c>
      <c r="G17" s="136">
        <v>5</v>
      </c>
      <c r="H17" s="136">
        <v>5</v>
      </c>
      <c r="I17" s="136">
        <v>5</v>
      </c>
      <c r="J17" s="136">
        <v>5</v>
      </c>
      <c r="K17" s="136">
        <v>5</v>
      </c>
      <c r="L17" s="136">
        <v>5</v>
      </c>
      <c r="M17" s="136">
        <v>5</v>
      </c>
      <c r="N17" s="136">
        <v>5</v>
      </c>
      <c r="O17" s="136">
        <v>5</v>
      </c>
      <c r="P17" s="136">
        <v>5</v>
      </c>
      <c r="R17" s="134">
        <f t="shared" ref="R17" si="20">D17</f>
        <v>0</v>
      </c>
      <c r="S17" s="134">
        <f t="shared" ref="S17" si="21">H17</f>
        <v>5</v>
      </c>
      <c r="T17" s="134">
        <f t="shared" ref="T17" si="22">J17</f>
        <v>5</v>
      </c>
      <c r="U17" s="134">
        <f t="shared" ref="U17" si="23">L17</f>
        <v>5</v>
      </c>
      <c r="V17" s="134">
        <f t="shared" ref="V17" si="24">N17</f>
        <v>5</v>
      </c>
      <c r="W17" s="134">
        <f t="shared" ref="W17" si="25">P17</f>
        <v>5</v>
      </c>
    </row>
    <row r="18" spans="1:23">
      <c r="A18" s="122" t="s">
        <v>291</v>
      </c>
      <c r="B18" s="138" t="s">
        <v>131</v>
      </c>
      <c r="G18" s="136">
        <v>10</v>
      </c>
      <c r="H18" s="136">
        <v>10</v>
      </c>
      <c r="I18" s="136">
        <v>10</v>
      </c>
      <c r="J18" s="136">
        <v>10</v>
      </c>
      <c r="K18" s="136">
        <v>10</v>
      </c>
      <c r="L18" s="136">
        <v>10</v>
      </c>
      <c r="M18" s="136">
        <v>10</v>
      </c>
      <c r="N18" s="136">
        <v>10</v>
      </c>
      <c r="O18" s="136">
        <v>10</v>
      </c>
      <c r="P18" s="136">
        <v>10</v>
      </c>
      <c r="R18" s="134">
        <f t="shared" ref="R18" si="26">D18</f>
        <v>0</v>
      </c>
      <c r="S18" s="134">
        <f t="shared" ref="S18" si="27">H18</f>
        <v>10</v>
      </c>
      <c r="T18" s="134">
        <f t="shared" ref="T18" si="28">J18</f>
        <v>10</v>
      </c>
      <c r="U18" s="134">
        <f t="shared" ref="U18" si="29">L18</f>
        <v>10</v>
      </c>
      <c r="V18" s="134">
        <f t="shared" ref="V18" si="30">N18</f>
        <v>10</v>
      </c>
      <c r="W18" s="134">
        <f t="shared" ref="W18" si="31">P18</f>
        <v>10</v>
      </c>
    </row>
    <row r="19" spans="1:23">
      <c r="A19" s="122" t="s">
        <v>315</v>
      </c>
      <c r="B19" s="138" t="s">
        <v>292</v>
      </c>
      <c r="G19" s="134">
        <f t="shared" ref="G19:P19" si="32">G20+G21</f>
        <v>1001369.0212208221</v>
      </c>
      <c r="H19" s="134">
        <f t="shared" si="32"/>
        <v>2157773.5751408227</v>
      </c>
      <c r="I19" s="134">
        <f t="shared" si="32"/>
        <v>5231434.2341184011</v>
      </c>
      <c r="J19" s="134">
        <f t="shared" si="32"/>
        <v>6619212.0964569598</v>
      </c>
      <c r="K19" s="134">
        <f t="shared" si="32"/>
        <v>8396159.6217945628</v>
      </c>
      <c r="L19" s="134">
        <f t="shared" si="32"/>
        <v>10650471.826437276</v>
      </c>
      <c r="M19" s="134">
        <f t="shared" si="32"/>
        <v>12594724.100151088</v>
      </c>
      <c r="N19" s="134">
        <f t="shared" si="32"/>
        <v>14035851.129655413</v>
      </c>
      <c r="O19" s="134">
        <f t="shared" si="32"/>
        <v>15706115.920305189</v>
      </c>
      <c r="P19" s="134">
        <f t="shared" si="32"/>
        <v>17629307.237110592</v>
      </c>
      <c r="R19" s="134">
        <f>D19</f>
        <v>0</v>
      </c>
      <c r="S19" s="134">
        <f>SUM(E19:H19)</f>
        <v>3159142.5963616446</v>
      </c>
      <c r="T19" s="134">
        <f>SUM(I19:J19)</f>
        <v>11850646.330575362</v>
      </c>
      <c r="U19" s="134">
        <f>SUM(K19:L19)</f>
        <v>19046631.448231839</v>
      </c>
      <c r="V19" s="134">
        <f>SUM(M19:N19)</f>
        <v>26630575.229806501</v>
      </c>
      <c r="W19" s="134">
        <f>SUM(O19:P19)</f>
        <v>33335423.157415781</v>
      </c>
    </row>
    <row r="20" spans="1:23">
      <c r="A20" s="135" t="s">
        <v>313</v>
      </c>
      <c r="B20" s="138" t="s">
        <v>292</v>
      </c>
      <c r="G20" s="134">
        <f>((F15+G15)/2*G17*3*('Funnel QH'!F$30+'Funnel QH'!G$30)/2)/1000</f>
        <v>572210.86926904123</v>
      </c>
      <c r="H20" s="134">
        <f>((G15+H15)/2*H17*3*('Funnel QH'!G$30+'Funnel QH'!H$30)/2)/1000</f>
        <v>1233013.4715090415</v>
      </c>
      <c r="I20" s="134">
        <f>((H15+I15)/2*I17*6*('Funnel QH'!H$30+'Funnel QH'!I$30)/2)/1000</f>
        <v>2989390.9909248007</v>
      </c>
      <c r="J20" s="134">
        <f>((I15+J15)/2*J17*6*('Funnel QH'!I$30+'Funnel QH'!J$30)/2)/1000</f>
        <v>3782406.91226112</v>
      </c>
      <c r="K20" s="134">
        <f>((J15+K15)/2*K17*6*('Funnel QH'!J$30+'Funnel QH'!K$30)/2)/1000</f>
        <v>4797805.4981683213</v>
      </c>
      <c r="L20" s="134">
        <f>((K15+L15)/2*L17*6*('Funnel QH'!K$30+'Funnel QH'!L$30)/2)/1000</f>
        <v>6085983.9008213002</v>
      </c>
      <c r="M20" s="134">
        <f>((L15+M15)/2*M17*6*('Funnel QH'!L$30+'Funnel QH'!M$30)/2)/1000</f>
        <v>7196985.2000863366</v>
      </c>
      <c r="N20" s="134">
        <f>((M15+N15)/2*N17*6*('Funnel QH'!M$30+'Funnel QH'!N$30)/2)/1000</f>
        <v>8020486.3598030936</v>
      </c>
      <c r="O20" s="134">
        <f>((N15+O15)/2*O17*6*('Funnel QH'!N$30+'Funnel QH'!O$30)/2)/1000</f>
        <v>8974923.3830315359</v>
      </c>
      <c r="P20" s="134">
        <f>((O15+P15)/2*P17*6*('Funnel QH'!O$30+'Funnel QH'!P$30)/2)/1000</f>
        <v>10073889.849777481</v>
      </c>
      <c r="R20" s="134">
        <f>D20</f>
        <v>0</v>
      </c>
      <c r="S20" s="134">
        <f>SUM(E20:H20)</f>
        <v>1805224.3407780826</v>
      </c>
      <c r="T20" s="134">
        <f>SUM(I20:J20)</f>
        <v>6771797.9031859208</v>
      </c>
      <c r="U20" s="134">
        <f>SUM(K20:L20)</f>
        <v>10883789.398989622</v>
      </c>
      <c r="V20" s="134">
        <f>SUM(M20:N20)</f>
        <v>15217471.55988943</v>
      </c>
      <c r="W20" s="134">
        <f>SUM(O20:P20)</f>
        <v>19048813.232809015</v>
      </c>
    </row>
    <row r="21" spans="1:23">
      <c r="A21" s="135" t="s">
        <v>314</v>
      </c>
      <c r="B21" s="138" t="s">
        <v>292</v>
      </c>
      <c r="G21" s="134">
        <f>((F16+G16)/2*G18*3*('Funnel QH'!F$30+'Funnel QH'!G$30)/2)/1000</f>
        <v>429158.15195178083</v>
      </c>
      <c r="H21" s="134">
        <f>((G16+H16)/2*H18*3*('Funnel QH'!G$30+'Funnel QH'!H$30)/2)/1000</f>
        <v>924760.10363178095</v>
      </c>
      <c r="I21" s="134">
        <f>((H16+I16)/2*I18*6*('Funnel QH'!H$30+'Funnel QH'!I$30)/2)/1000</f>
        <v>2242043.2431936003</v>
      </c>
      <c r="J21" s="134">
        <f>((I16+J16)/2*J18*6*('Funnel QH'!I$30+'Funnel QH'!J$30)/2)/1000</f>
        <v>2836805.1841958398</v>
      </c>
      <c r="K21" s="134">
        <f>((J16+K16)/2*K18*6*('Funnel QH'!J$30+'Funnel QH'!K$30)/2)/1000</f>
        <v>3598354.1236262405</v>
      </c>
      <c r="L21" s="134">
        <f>((K16+L16)/2*L18*6*('Funnel QH'!K$30+'Funnel QH'!L$30)/2)/1000</f>
        <v>4564487.9256159756</v>
      </c>
      <c r="M21" s="134">
        <f>((L16+M16)/2*M18*6*('Funnel QH'!L$30+'Funnel QH'!M$30)/2)/1000</f>
        <v>5397738.9000647524</v>
      </c>
      <c r="N21" s="134">
        <f>((M16+N16)/2*N18*6*('Funnel QH'!M$30+'Funnel QH'!N$30)/2)/1000</f>
        <v>6015364.7698523188</v>
      </c>
      <c r="O21" s="134">
        <f>((N16+O16)/2*O18*6*('Funnel QH'!N$30+'Funnel QH'!O$30)/2)/1000</f>
        <v>6731192.5372736529</v>
      </c>
      <c r="P21" s="134">
        <f>((O16+P16)/2*P18*6*('Funnel QH'!O$30+'Funnel QH'!P$30)/2)/1000</f>
        <v>7555417.38733311</v>
      </c>
      <c r="R21" s="134">
        <f t="shared" ref="R21" si="33">D21</f>
        <v>0</v>
      </c>
      <c r="S21" s="134">
        <f t="shared" ref="S21" si="34">SUM(E21:H21)</f>
        <v>1353918.2555835617</v>
      </c>
      <c r="T21" s="134">
        <f t="shared" ref="T21" si="35">SUM(I21:J21)</f>
        <v>5078848.4273894401</v>
      </c>
      <c r="U21" s="134">
        <f t="shared" ref="U21" si="36">SUM(K21:L21)</f>
        <v>8162842.0492422162</v>
      </c>
      <c r="V21" s="134">
        <f t="shared" ref="V21" si="37">SUM(M21:N21)</f>
        <v>11413103.669917071</v>
      </c>
      <c r="W21" s="134">
        <f t="shared" ref="W21" si="38">SUM(O21:P21)</f>
        <v>14286609.924606763</v>
      </c>
    </row>
    <row r="22" spans="1:23" s="201" customFormat="1">
      <c r="A22" s="133" t="s">
        <v>315</v>
      </c>
      <c r="B22" s="200" t="s">
        <v>293</v>
      </c>
      <c r="G22" s="202">
        <f>G19/(('Funnel QH'!F30+'Funnel QH'!G30)/2)</f>
        <v>2002.7380424416442</v>
      </c>
      <c r="H22" s="202">
        <f>H19/(('Funnel QH'!G30+'Funnel QH'!H30)/2)</f>
        <v>4315.5471502816454</v>
      </c>
      <c r="I22" s="202">
        <f>I19/(('Funnel QH'!H30+'Funnel QH'!I30)/2)</f>
        <v>10462.868468236802</v>
      </c>
      <c r="J22" s="202">
        <f>J19/(('Funnel QH'!I30+'Funnel QH'!J30)/2)</f>
        <v>13238.424192913919</v>
      </c>
      <c r="K22" s="202">
        <f>K19/(('Funnel QH'!J30+'Funnel QH'!K30)/2)</f>
        <v>16792.319243589125</v>
      </c>
      <c r="L22" s="202">
        <f>L19/(('Funnel QH'!K30+'Funnel QH'!L30)/2)</f>
        <v>21300.94365287455</v>
      </c>
      <c r="M22" s="202">
        <f>M19/(('Funnel QH'!L30+'Funnel QH'!M30)/2)</f>
        <v>25189.448200302177</v>
      </c>
      <c r="N22" s="202">
        <f>N19/(('Funnel QH'!M30+'Funnel QH'!N30)/2)</f>
        <v>28071.702259310827</v>
      </c>
      <c r="O22" s="202">
        <f>O19/(('Funnel QH'!N30+'Funnel QH'!O30)/2)</f>
        <v>31412.231840610377</v>
      </c>
      <c r="P22" s="202">
        <f>P19/(('Funnel QH'!O30+'Funnel QH'!P30)/2)</f>
        <v>35258.614474221184</v>
      </c>
      <c r="R22" s="202">
        <f t="shared" ref="R22" si="39">D22</f>
        <v>0</v>
      </c>
      <c r="S22" s="202">
        <f t="shared" ref="S22" si="40">SUM(E22:H22)</f>
        <v>6318.2851927232896</v>
      </c>
      <c r="T22" s="202">
        <f t="shared" ref="T22" si="41">SUM(I22:J22)</f>
        <v>23701.292661150721</v>
      </c>
      <c r="U22" s="202">
        <f t="shared" ref="U22" si="42">SUM(K22:L22)</f>
        <v>38093.262896463675</v>
      </c>
      <c r="V22" s="202">
        <f t="shared" ref="V22" si="43">SUM(M22:N22)</f>
        <v>53261.150459613003</v>
      </c>
      <c r="W22" s="202">
        <f t="shared" ref="W22" si="44">SUM(O22:P22)</f>
        <v>66670.846314831564</v>
      </c>
    </row>
    <row r="24" spans="1:23">
      <c r="A24" s="209" t="s">
        <v>327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8" tint="0.79998168889431442"/>
  </sheetPr>
  <dimension ref="A1:W58"/>
  <sheetViews>
    <sheetView zoomScaleNormal="100" workbookViewId="0">
      <pane ySplit="4" topLeftCell="A5" activePane="bottomLeft" state="frozen"/>
      <selection activeCell="E17" sqref="E17"/>
      <selection pane="bottomLeft" activeCell="E7" sqref="E7"/>
    </sheetView>
  </sheetViews>
  <sheetFormatPr defaultColWidth="8.88671875" defaultRowHeight="13.8" outlineLevelRow="1" outlineLevelCol="1"/>
  <cols>
    <col min="1" max="1" width="60.33203125" style="143" customWidth="1"/>
    <col min="2" max="2" width="9.88671875" style="143" bestFit="1" customWidth="1"/>
    <col min="3" max="3" width="23.6640625" style="143" customWidth="1" outlineLevel="1"/>
    <col min="4" max="4" width="13.44140625" style="143" customWidth="1" outlineLevel="1"/>
    <col min="5" max="6" width="12.44140625" style="143" customWidth="1" outlineLevel="1"/>
    <col min="7" max="10" width="12.109375" style="143" customWidth="1" outlineLevel="1"/>
    <col min="11" max="16" width="13.44140625" style="143" customWidth="1" outlineLevel="1"/>
    <col min="17" max="17" width="4.88671875" style="143" customWidth="1"/>
    <col min="18" max="23" width="10.88671875" style="143" bestFit="1" customWidth="1"/>
    <col min="24" max="16384" width="8.88671875" style="143"/>
  </cols>
  <sheetData>
    <row r="1" spans="1:23" s="105" customFormat="1" ht="19.8">
      <c r="A1" s="156" t="s">
        <v>240</v>
      </c>
      <c r="B1" s="156"/>
      <c r="C1" s="156"/>
      <c r="D1" s="156"/>
      <c r="E1" s="156"/>
      <c r="F1" s="156"/>
      <c r="G1" s="157"/>
      <c r="H1" s="157"/>
      <c r="I1" s="157"/>
      <c r="J1" s="157"/>
      <c r="K1" s="157"/>
      <c r="L1" s="157"/>
      <c r="M1" s="157"/>
      <c r="N1" s="157"/>
      <c r="O1" s="157"/>
      <c r="P1" s="157"/>
      <c r="R1" s="104"/>
      <c r="S1" s="104"/>
      <c r="T1" s="104"/>
      <c r="U1" s="104"/>
      <c r="V1" s="104"/>
      <c r="W1" s="104"/>
    </row>
    <row r="2" spans="1:23" s="107" customFormat="1">
      <c r="A2" s="106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R2" s="109"/>
      <c r="S2" s="109"/>
      <c r="T2" s="109"/>
      <c r="U2" s="109"/>
      <c r="V2" s="109"/>
      <c r="W2" s="109"/>
    </row>
    <row r="3" spans="1:23" s="108" customFormat="1">
      <c r="A3" s="110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R3" s="111"/>
      <c r="S3" s="111"/>
      <c r="T3" s="111"/>
      <c r="U3" s="111"/>
      <c r="V3" s="111"/>
      <c r="W3" s="111"/>
    </row>
    <row r="4" spans="1:23" s="108" customFormat="1">
      <c r="D4" s="148">
        <v>2024</v>
      </c>
      <c r="E4" s="148">
        <v>2025</v>
      </c>
      <c r="F4" s="148">
        <v>2025</v>
      </c>
      <c r="G4" s="148">
        <v>2025</v>
      </c>
      <c r="H4" s="148">
        <v>2025</v>
      </c>
      <c r="I4" s="148">
        <v>2026</v>
      </c>
      <c r="J4" s="148">
        <v>2026</v>
      </c>
      <c r="K4" s="148">
        <v>2027</v>
      </c>
      <c r="L4" s="148">
        <v>2027</v>
      </c>
      <c r="M4" s="148">
        <v>2028</v>
      </c>
      <c r="N4" s="148">
        <v>2028</v>
      </c>
      <c r="O4" s="148">
        <v>2029</v>
      </c>
      <c r="P4" s="148">
        <v>2029</v>
      </c>
      <c r="R4" s="148">
        <v>2024</v>
      </c>
      <c r="S4" s="148">
        <v>2025</v>
      </c>
      <c r="T4" s="148">
        <v>2026</v>
      </c>
      <c r="U4" s="148">
        <v>2027</v>
      </c>
      <c r="V4" s="148">
        <v>2028</v>
      </c>
      <c r="W4" s="148">
        <v>2029</v>
      </c>
    </row>
    <row r="5" spans="1:23" s="113" customFormat="1">
      <c r="A5" s="112"/>
      <c r="B5" s="112"/>
      <c r="C5" s="112"/>
      <c r="D5" s="151" t="s">
        <v>294</v>
      </c>
      <c r="E5" s="151" t="s">
        <v>431</v>
      </c>
      <c r="F5" s="151" t="s">
        <v>432</v>
      </c>
      <c r="G5" s="151" t="s">
        <v>433</v>
      </c>
      <c r="H5" s="151" t="s">
        <v>434</v>
      </c>
      <c r="I5" s="151" t="s">
        <v>435</v>
      </c>
      <c r="J5" s="151" t="s">
        <v>436</v>
      </c>
      <c r="K5" s="151" t="s">
        <v>435</v>
      </c>
      <c r="L5" s="151" t="s">
        <v>436</v>
      </c>
      <c r="M5" s="151" t="s">
        <v>435</v>
      </c>
      <c r="N5" s="151" t="s">
        <v>436</v>
      </c>
      <c r="O5" s="151" t="s">
        <v>435</v>
      </c>
      <c r="P5" s="151" t="s">
        <v>436</v>
      </c>
      <c r="R5" s="151" t="s">
        <v>294</v>
      </c>
      <c r="S5" s="151" t="s">
        <v>308</v>
      </c>
      <c r="T5" s="151" t="s">
        <v>309</v>
      </c>
      <c r="U5" s="151" t="s">
        <v>311</v>
      </c>
      <c r="V5" s="151" t="s">
        <v>310</v>
      </c>
      <c r="W5" s="151" t="s">
        <v>312</v>
      </c>
    </row>
    <row r="6" spans="1:23" s="114" customFormat="1">
      <c r="D6" s="158">
        <v>0</v>
      </c>
      <c r="E6" s="115">
        <v>1</v>
      </c>
      <c r="F6" s="115">
        <v>2</v>
      </c>
      <c r="G6" s="115">
        <v>3</v>
      </c>
      <c r="H6" s="115">
        <v>4</v>
      </c>
      <c r="I6" s="115">
        <v>5</v>
      </c>
      <c r="J6" s="115">
        <v>6</v>
      </c>
      <c r="K6" s="115">
        <v>7</v>
      </c>
      <c r="L6" s="115">
        <v>8</v>
      </c>
      <c r="M6" s="115">
        <v>9</v>
      </c>
      <c r="N6" s="115">
        <v>10</v>
      </c>
      <c r="O6" s="115">
        <v>11</v>
      </c>
      <c r="P6" s="115">
        <v>12</v>
      </c>
    </row>
    <row r="7" spans="1:23" s="119" customFormat="1" ht="12.6">
      <c r="A7" s="132" t="s">
        <v>465</v>
      </c>
      <c r="B7" s="116" t="s">
        <v>228</v>
      </c>
      <c r="C7" s="117" t="s">
        <v>229</v>
      </c>
      <c r="D7" s="117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</row>
    <row r="8" spans="1:23" s="127" customFormat="1" ht="12.6" outlineLevel="1">
      <c r="A8" s="122" t="s">
        <v>393</v>
      </c>
      <c r="B8" s="138" t="s">
        <v>230</v>
      </c>
      <c r="D8" s="134">
        <f>Subscr!D10</f>
        <v>3280000</v>
      </c>
      <c r="E8" s="134">
        <f>Subscr!E10</f>
        <v>3456287.6247671233</v>
      </c>
      <c r="F8" s="134">
        <f>Subscr!F10</f>
        <v>3634534.0009205476</v>
      </c>
      <c r="G8" s="134">
        <f>Subscr!G10</f>
        <v>3814739.1284602741</v>
      </c>
      <c r="H8" s="134">
        <f>Subscr!H10</f>
        <v>4004864.2560000005</v>
      </c>
      <c r="I8" s="134">
        <f>Subscr!I10</f>
        <v>4211580.2687999997</v>
      </c>
      <c r="J8" s="134">
        <f>Subscr!J10</f>
        <v>4449960.2816000003</v>
      </c>
      <c r="K8" s="134">
        <f>Subscr!K10</f>
        <v>4705359.8000000007</v>
      </c>
      <c r="L8" s="134">
        <f>Subscr!L10</f>
        <v>4972759.3184000002</v>
      </c>
      <c r="M8" s="134">
        <f>Subscr!M10</f>
        <v>5280686.1488800002</v>
      </c>
      <c r="N8" s="134">
        <f>Subscr!N10</f>
        <v>5601996.9793599993</v>
      </c>
      <c r="O8" s="134">
        <f>Subscr!O10</f>
        <v>5994608.7393720001</v>
      </c>
      <c r="P8" s="134">
        <f>Subscr!P10</f>
        <v>6402436.499384</v>
      </c>
      <c r="R8" s="134">
        <f>D8</f>
        <v>3280000</v>
      </c>
      <c r="S8" s="134">
        <f t="shared" ref="S8:S9" si="0">H8</f>
        <v>4004864.2560000005</v>
      </c>
      <c r="T8" s="134">
        <f>J8</f>
        <v>4449960.2816000003</v>
      </c>
      <c r="U8" s="134">
        <f>L8</f>
        <v>4972759.3184000002</v>
      </c>
      <c r="V8" s="134">
        <f>N8</f>
        <v>5601996.9793599993</v>
      </c>
      <c r="W8" s="134">
        <f>P8</f>
        <v>6402436.499384</v>
      </c>
    </row>
    <row r="9" spans="1:23" ht="14.4" outlineLevel="1">
      <c r="A9" s="122" t="s">
        <v>383</v>
      </c>
      <c r="B9" s="121" t="s">
        <v>231</v>
      </c>
      <c r="C9" s="122"/>
      <c r="D9" s="238"/>
      <c r="E9" s="238"/>
      <c r="F9" s="238"/>
      <c r="G9" s="238">
        <v>5.0000000000000001E-3</v>
      </c>
      <c r="H9" s="238">
        <f>G9*(1+20%)</f>
        <v>6.0000000000000001E-3</v>
      </c>
      <c r="I9" s="238">
        <f t="shared" ref="I9:P9" si="1">H9*(1+20%)</f>
        <v>7.1999999999999998E-3</v>
      </c>
      <c r="J9" s="238">
        <f t="shared" si="1"/>
        <v>8.6400000000000001E-3</v>
      </c>
      <c r="K9" s="238">
        <f t="shared" si="1"/>
        <v>1.0368E-2</v>
      </c>
      <c r="L9" s="238">
        <f t="shared" si="1"/>
        <v>1.2441600000000001E-2</v>
      </c>
      <c r="M9" s="238">
        <f t="shared" si="1"/>
        <v>1.4929919999999999E-2</v>
      </c>
      <c r="N9" s="238">
        <f t="shared" si="1"/>
        <v>1.7915904E-2</v>
      </c>
      <c r="O9" s="238">
        <f t="shared" si="1"/>
        <v>2.1499084799999998E-2</v>
      </c>
      <c r="P9" s="238">
        <f t="shared" si="1"/>
        <v>2.5798901759999996E-2</v>
      </c>
      <c r="Q9" s="162"/>
      <c r="R9" s="205"/>
      <c r="S9" s="205">
        <f t="shared" si="0"/>
        <v>6.0000000000000001E-3</v>
      </c>
      <c r="T9" s="205">
        <f t="shared" ref="T9" si="2">J9</f>
        <v>8.6400000000000001E-3</v>
      </c>
      <c r="U9" s="205">
        <f t="shared" ref="U9" si="3">L9</f>
        <v>1.2441600000000001E-2</v>
      </c>
      <c r="V9" s="205">
        <f t="shared" ref="V9" si="4">N9</f>
        <v>1.7915904E-2</v>
      </c>
      <c r="W9" s="205">
        <f t="shared" ref="W9" si="5">P9</f>
        <v>2.5798901759999996E-2</v>
      </c>
    </row>
    <row r="10" spans="1:23" outlineLevel="1">
      <c r="A10" s="174" t="s">
        <v>395</v>
      </c>
      <c r="B10" s="138" t="s">
        <v>230</v>
      </c>
      <c r="C10" s="121"/>
      <c r="D10" s="134"/>
      <c r="E10" s="134"/>
      <c r="F10" s="134"/>
      <c r="G10" s="134">
        <f t="shared" ref="G10:P10" si="6">G8*G9</f>
        <v>19073.695642301373</v>
      </c>
      <c r="H10" s="134">
        <f t="shared" si="6"/>
        <v>24029.185536000005</v>
      </c>
      <c r="I10" s="134">
        <f t="shared" si="6"/>
        <v>30323.377935359997</v>
      </c>
      <c r="J10" s="134">
        <f t="shared" si="6"/>
        <v>38447.656833024004</v>
      </c>
      <c r="K10" s="134">
        <f t="shared" si="6"/>
        <v>48785.170406400008</v>
      </c>
      <c r="L10" s="134">
        <f t="shared" si="6"/>
        <v>61869.082335805448</v>
      </c>
      <c r="M10" s="134">
        <f t="shared" si="6"/>
        <v>78840.221747886491</v>
      </c>
      <c r="N10" s="134">
        <f t="shared" si="6"/>
        <v>100364.84009050373</v>
      </c>
      <c r="O10" s="134">
        <f t="shared" si="6"/>
        <v>128878.60163057972</v>
      </c>
      <c r="P10" s="134">
        <f t="shared" si="6"/>
        <v>165175.83027224609</v>
      </c>
    </row>
    <row r="11" spans="1:23" outlineLevel="1">
      <c r="A11" s="174" t="s">
        <v>396</v>
      </c>
      <c r="B11" s="229" t="s">
        <v>292</v>
      </c>
      <c r="C11" s="121"/>
      <c r="D11" s="134"/>
      <c r="E11" s="134"/>
      <c r="F11" s="134"/>
      <c r="G11" s="136">
        <f>2000*500/1000</f>
        <v>1000</v>
      </c>
      <c r="H11" s="136">
        <f t="shared" ref="H11:P11" si="7">2000*500/1000</f>
        <v>1000</v>
      </c>
      <c r="I11" s="136">
        <f t="shared" si="7"/>
        <v>1000</v>
      </c>
      <c r="J11" s="136">
        <f t="shared" si="7"/>
        <v>1000</v>
      </c>
      <c r="K11" s="136">
        <f t="shared" si="7"/>
        <v>1000</v>
      </c>
      <c r="L11" s="136">
        <f t="shared" si="7"/>
        <v>1000</v>
      </c>
      <c r="M11" s="136">
        <f t="shared" si="7"/>
        <v>1000</v>
      </c>
      <c r="N11" s="136">
        <f t="shared" si="7"/>
        <v>1000</v>
      </c>
      <c r="O11" s="136">
        <f t="shared" si="7"/>
        <v>1000</v>
      </c>
      <c r="P11" s="136">
        <f t="shared" si="7"/>
        <v>1000</v>
      </c>
    </row>
    <row r="12" spans="1:23" outlineLevel="1">
      <c r="A12" s="174" t="s">
        <v>397</v>
      </c>
      <c r="B12" s="229" t="s">
        <v>292</v>
      </c>
      <c r="C12" s="121"/>
      <c r="D12" s="134"/>
      <c r="E12" s="134"/>
      <c r="F12" s="134"/>
      <c r="G12" s="134">
        <f t="shared" ref="G12:P12" si="8">G10*G11</f>
        <v>19073695.642301373</v>
      </c>
      <c r="H12" s="134">
        <f t="shared" si="8"/>
        <v>24029185.536000006</v>
      </c>
      <c r="I12" s="134">
        <f t="shared" si="8"/>
        <v>30323377.935359996</v>
      </c>
      <c r="J12" s="134">
        <f t="shared" si="8"/>
        <v>38447656.833024003</v>
      </c>
      <c r="K12" s="134">
        <f t="shared" si="8"/>
        <v>48785170.40640001</v>
      </c>
      <c r="L12" s="134">
        <f t="shared" si="8"/>
        <v>61869082.335805446</v>
      </c>
      <c r="M12" s="134">
        <f t="shared" si="8"/>
        <v>78840221.747886494</v>
      </c>
      <c r="N12" s="134">
        <f t="shared" si="8"/>
        <v>100364840.09050372</v>
      </c>
      <c r="O12" s="134">
        <f t="shared" si="8"/>
        <v>128878601.63057972</v>
      </c>
      <c r="P12" s="134">
        <f t="shared" si="8"/>
        <v>165175830.27224609</v>
      </c>
    </row>
    <row r="13" spans="1:23" outlineLevel="1">
      <c r="A13" s="174" t="s">
        <v>398</v>
      </c>
      <c r="B13" s="229" t="s">
        <v>231</v>
      </c>
      <c r="C13" s="121"/>
      <c r="D13" s="254"/>
      <c r="E13" s="254"/>
      <c r="F13" s="254"/>
      <c r="G13" s="137">
        <v>0.36</v>
      </c>
      <c r="H13" s="137">
        <v>0.36</v>
      </c>
      <c r="I13" s="137">
        <v>0.36</v>
      </c>
      <c r="J13" s="137">
        <v>0.36</v>
      </c>
      <c r="K13" s="137">
        <v>0.36</v>
      </c>
      <c r="L13" s="137">
        <v>0.36</v>
      </c>
      <c r="M13" s="137">
        <v>0.36</v>
      </c>
      <c r="N13" s="137">
        <v>0.36</v>
      </c>
      <c r="O13" s="137">
        <v>0.36</v>
      </c>
      <c r="P13" s="137">
        <v>0.36</v>
      </c>
    </row>
    <row r="14" spans="1:23" outlineLevel="1">
      <c r="A14" s="174" t="s">
        <v>399</v>
      </c>
      <c r="B14" s="229" t="s">
        <v>372</v>
      </c>
      <c r="C14" s="121"/>
      <c r="D14" s="254"/>
      <c r="E14" s="254"/>
      <c r="F14" s="254"/>
      <c r="G14" s="136">
        <v>24</v>
      </c>
      <c r="H14" s="136">
        <v>24</v>
      </c>
      <c r="I14" s="136">
        <v>24</v>
      </c>
      <c r="J14" s="136">
        <v>24</v>
      </c>
      <c r="K14" s="136">
        <v>24</v>
      </c>
      <c r="L14" s="136">
        <v>24</v>
      </c>
      <c r="M14" s="136">
        <v>24</v>
      </c>
      <c r="N14" s="136">
        <v>24</v>
      </c>
      <c r="O14" s="136">
        <v>24</v>
      </c>
      <c r="P14" s="136">
        <v>24</v>
      </c>
    </row>
    <row r="15" spans="1:23" outlineLevel="1">
      <c r="A15" s="133" t="s">
        <v>400</v>
      </c>
      <c r="B15" s="121"/>
      <c r="C15" s="121"/>
      <c r="D15" s="134"/>
      <c r="E15" s="134"/>
      <c r="F15" s="134"/>
    </row>
    <row r="16" spans="1:23" outlineLevel="1">
      <c r="A16" s="174" t="s">
        <v>424</v>
      </c>
      <c r="B16" s="229" t="s">
        <v>292</v>
      </c>
      <c r="C16" s="121"/>
      <c r="G16" s="139"/>
      <c r="H16" s="134">
        <f>G24</f>
        <v>15298693.37976256</v>
      </c>
      <c r="I16" s="134">
        <f t="shared" ref="I16:P16" si="9">H24</f>
        <v>32738599.462880712</v>
      </c>
      <c r="J16" s="134">
        <f t="shared" si="9"/>
        <v>48703628.18511197</v>
      </c>
      <c r="K16" s="134">
        <f t="shared" si="9"/>
        <v>67384120.952207357</v>
      </c>
      <c r="L16" s="134">
        <f t="shared" si="9"/>
        <v>90272428.950944901</v>
      </c>
      <c r="M16" s="134">
        <f t="shared" si="9"/>
        <v>118946765.24944435</v>
      </c>
      <c r="N16" s="134">
        <f t="shared" si="9"/>
        <v>154606272.03017217</v>
      </c>
      <c r="O16" s="134">
        <f t="shared" si="9"/>
        <v>199013980.58408222</v>
      </c>
      <c r="P16" s="134">
        <f t="shared" si="9"/>
        <v>255887960.10315007</v>
      </c>
    </row>
    <row r="17" spans="1:16" outlineLevel="1">
      <c r="A17" s="174" t="s">
        <v>401</v>
      </c>
      <c r="B17" s="229" t="s">
        <v>231</v>
      </c>
      <c r="C17" s="121"/>
      <c r="G17" s="238">
        <f>(1/G14)*3</f>
        <v>0.125</v>
      </c>
      <c r="H17" s="238">
        <f>(1/H14)*3</f>
        <v>0.125</v>
      </c>
      <c r="I17" s="238">
        <f>(1/I14)*6</f>
        <v>0.25</v>
      </c>
      <c r="J17" s="238">
        <f t="shared" ref="J17:P17" si="10">(1/J14)*6</f>
        <v>0.25</v>
      </c>
      <c r="K17" s="238">
        <f t="shared" si="10"/>
        <v>0.25</v>
      </c>
      <c r="L17" s="238">
        <f t="shared" si="10"/>
        <v>0.25</v>
      </c>
      <c r="M17" s="238">
        <f t="shared" si="10"/>
        <v>0.25</v>
      </c>
      <c r="N17" s="238">
        <f t="shared" si="10"/>
        <v>0.25</v>
      </c>
      <c r="O17" s="238">
        <f t="shared" si="10"/>
        <v>0.25</v>
      </c>
      <c r="P17" s="238">
        <f t="shared" si="10"/>
        <v>0.25</v>
      </c>
    </row>
    <row r="18" spans="1:16" outlineLevel="1">
      <c r="A18" s="174" t="s">
        <v>402</v>
      </c>
      <c r="B18" s="229" t="s">
        <v>292</v>
      </c>
      <c r="C18" s="121"/>
      <c r="G18" s="161">
        <f>G16*G17+G12*2/G14</f>
        <v>1589474.6368584477</v>
      </c>
      <c r="H18" s="161">
        <f t="shared" ref="H18:I18" si="11">H16*H17</f>
        <v>1912336.67247032</v>
      </c>
      <c r="I18" s="161">
        <f t="shared" si="11"/>
        <v>8184649.865720178</v>
      </c>
      <c r="J18" s="161">
        <f t="shared" ref="J18:P18" si="12">J16*J17</f>
        <v>12175907.046277992</v>
      </c>
      <c r="K18" s="161">
        <f t="shared" si="12"/>
        <v>16846030.238051839</v>
      </c>
      <c r="L18" s="161">
        <f t="shared" si="12"/>
        <v>22568107.237736225</v>
      </c>
      <c r="M18" s="161">
        <f t="shared" si="12"/>
        <v>29736691.312361088</v>
      </c>
      <c r="N18" s="161">
        <f t="shared" si="12"/>
        <v>38651568.007543042</v>
      </c>
      <c r="O18" s="161">
        <f t="shared" si="12"/>
        <v>49753495.146020554</v>
      </c>
      <c r="P18" s="161">
        <f t="shared" si="12"/>
        <v>63971990.025787517</v>
      </c>
    </row>
    <row r="19" spans="1:16" outlineLevel="1">
      <c r="A19" s="174" t="s">
        <v>423</v>
      </c>
      <c r="B19" s="229" t="s">
        <v>292</v>
      </c>
      <c r="C19" s="121"/>
      <c r="G19" s="225">
        <f>G16-G18+G12</f>
        <v>17484221.005442925</v>
      </c>
      <c r="H19" s="225">
        <f t="shared" ref="H19:P19" si="13">H16-H18+H12</f>
        <v>37415542.243292242</v>
      </c>
      <c r="I19" s="225">
        <f t="shared" si="13"/>
        <v>54877327.532520533</v>
      </c>
      <c r="J19" s="225">
        <f t="shared" si="13"/>
        <v>74975377.97185798</v>
      </c>
      <c r="K19" s="225">
        <f t="shared" si="13"/>
        <v>99323261.12055552</v>
      </c>
      <c r="L19" s="225">
        <f t="shared" si="13"/>
        <v>129573404.04901412</v>
      </c>
      <c r="M19" s="225">
        <f t="shared" si="13"/>
        <v>168050295.68496975</v>
      </c>
      <c r="N19" s="225">
        <f t="shared" si="13"/>
        <v>216319544.11313283</v>
      </c>
      <c r="O19" s="225">
        <f t="shared" si="13"/>
        <v>278139087.06864136</v>
      </c>
      <c r="P19" s="225">
        <f t="shared" si="13"/>
        <v>357091800.34960866</v>
      </c>
    </row>
    <row r="20" spans="1:16" outlineLevel="1">
      <c r="A20" s="181" t="s">
        <v>421</v>
      </c>
      <c r="B20" s="229" t="s">
        <v>231</v>
      </c>
      <c r="C20" s="121"/>
      <c r="G20" s="137">
        <v>0.2</v>
      </c>
      <c r="H20" s="137">
        <v>0.2</v>
      </c>
      <c r="I20" s="137">
        <f>H20*(1-10%)</f>
        <v>0.18000000000000002</v>
      </c>
      <c r="J20" s="137">
        <f t="shared" ref="J20:L20" si="14">I20*(1-10%)</f>
        <v>0.16200000000000003</v>
      </c>
      <c r="K20" s="137">
        <f t="shared" si="14"/>
        <v>0.14580000000000004</v>
      </c>
      <c r="L20" s="137">
        <f t="shared" si="14"/>
        <v>0.13122000000000003</v>
      </c>
      <c r="M20" s="137">
        <v>0.12</v>
      </c>
      <c r="N20" s="137">
        <v>0.12</v>
      </c>
      <c r="O20" s="137">
        <v>0.12</v>
      </c>
      <c r="P20" s="137">
        <v>0.12</v>
      </c>
    </row>
    <row r="21" spans="1:16" outlineLevel="1">
      <c r="A21" s="181" t="s">
        <v>422</v>
      </c>
      <c r="B21" s="229" t="s">
        <v>292</v>
      </c>
      <c r="C21" s="121"/>
      <c r="G21" s="225">
        <f t="shared" ref="G21:P21" si="15">G18*G20</f>
        <v>317894.92737168958</v>
      </c>
      <c r="H21" s="225">
        <f t="shared" si="15"/>
        <v>382467.33449406404</v>
      </c>
      <c r="I21" s="225">
        <f t="shared" si="15"/>
        <v>1473236.9758296323</v>
      </c>
      <c r="J21" s="225">
        <f t="shared" si="15"/>
        <v>1972496.9414970351</v>
      </c>
      <c r="K21" s="225">
        <f t="shared" si="15"/>
        <v>2456151.2087079589</v>
      </c>
      <c r="L21" s="225">
        <f t="shared" si="15"/>
        <v>2961387.0317357481</v>
      </c>
      <c r="M21" s="225">
        <f t="shared" si="15"/>
        <v>3568402.9574833303</v>
      </c>
      <c r="N21" s="225">
        <f t="shared" si="15"/>
        <v>4638188.1609051647</v>
      </c>
      <c r="O21" s="225">
        <f t="shared" si="15"/>
        <v>5970419.4175224658</v>
      </c>
      <c r="P21" s="225">
        <f t="shared" si="15"/>
        <v>7676638.8030945016</v>
      </c>
    </row>
    <row r="22" spans="1:16" outlineLevel="1">
      <c r="A22" s="181" t="s">
        <v>403</v>
      </c>
      <c r="B22" s="229" t="s">
        <v>231</v>
      </c>
      <c r="C22" s="121"/>
      <c r="G22" s="137">
        <f>G20/1.6</f>
        <v>0.125</v>
      </c>
      <c r="H22" s="137">
        <f t="shared" ref="H22:L22" si="16">H20/1.6</f>
        <v>0.125</v>
      </c>
      <c r="I22" s="137">
        <f t="shared" si="16"/>
        <v>0.1125</v>
      </c>
      <c r="J22" s="137">
        <f t="shared" si="16"/>
        <v>0.10125000000000002</v>
      </c>
      <c r="K22" s="137">
        <f t="shared" si="16"/>
        <v>9.1125000000000025E-2</v>
      </c>
      <c r="L22" s="137">
        <f t="shared" si="16"/>
        <v>8.2012500000000016E-2</v>
      </c>
      <c r="M22" s="137">
        <v>0.08</v>
      </c>
      <c r="N22" s="137">
        <v>0.08</v>
      </c>
      <c r="O22" s="137">
        <v>0.08</v>
      </c>
      <c r="P22" s="137">
        <v>0.08</v>
      </c>
    </row>
    <row r="23" spans="1:16" outlineLevel="1">
      <c r="A23" s="181" t="s">
        <v>425</v>
      </c>
      <c r="B23" s="229" t="s">
        <v>292</v>
      </c>
      <c r="C23" s="121"/>
      <c r="G23" s="225">
        <f t="shared" ref="G23:P23" si="17">G19*G22</f>
        <v>2185527.6256803656</v>
      </c>
      <c r="H23" s="225">
        <f t="shared" si="17"/>
        <v>4676942.7804115303</v>
      </c>
      <c r="I23" s="225">
        <f t="shared" si="17"/>
        <v>6173699.3474085601</v>
      </c>
      <c r="J23" s="225">
        <f t="shared" si="17"/>
        <v>7591257.0196506223</v>
      </c>
      <c r="K23" s="225">
        <f t="shared" si="17"/>
        <v>9050832.1696106251</v>
      </c>
      <c r="L23" s="225">
        <f t="shared" si="17"/>
        <v>10626638.799569773</v>
      </c>
      <c r="M23" s="225">
        <f t="shared" si="17"/>
        <v>13444023.65479758</v>
      </c>
      <c r="N23" s="225">
        <f t="shared" si="17"/>
        <v>17305563.529050626</v>
      </c>
      <c r="O23" s="225">
        <f t="shared" si="17"/>
        <v>22251126.96549131</v>
      </c>
      <c r="P23" s="225">
        <f t="shared" si="17"/>
        <v>28567344.027968694</v>
      </c>
    </row>
    <row r="24" spans="1:16" outlineLevel="1">
      <c r="A24" s="174" t="s">
        <v>437</v>
      </c>
      <c r="B24" s="229" t="s">
        <v>292</v>
      </c>
      <c r="C24" s="121"/>
      <c r="G24" s="225">
        <f>G19-G23</f>
        <v>15298693.37976256</v>
      </c>
      <c r="H24" s="225">
        <f t="shared" ref="H24:P24" si="18">H19-H23</f>
        <v>32738599.462880712</v>
      </c>
      <c r="I24" s="225">
        <f t="shared" si="18"/>
        <v>48703628.18511197</v>
      </c>
      <c r="J24" s="225">
        <f t="shared" si="18"/>
        <v>67384120.952207357</v>
      </c>
      <c r="K24" s="225">
        <f t="shared" si="18"/>
        <v>90272428.950944901</v>
      </c>
      <c r="L24" s="225">
        <f t="shared" si="18"/>
        <v>118946765.24944435</v>
      </c>
      <c r="M24" s="225">
        <f t="shared" si="18"/>
        <v>154606272.03017217</v>
      </c>
      <c r="N24" s="225">
        <f t="shared" si="18"/>
        <v>199013980.58408222</v>
      </c>
      <c r="O24" s="225">
        <f t="shared" si="18"/>
        <v>255887960.10315007</v>
      </c>
      <c r="P24" s="225">
        <f t="shared" si="18"/>
        <v>328524456.32163996</v>
      </c>
    </row>
    <row r="25" spans="1:16" outlineLevel="1">
      <c r="A25" s="174" t="s">
        <v>429</v>
      </c>
      <c r="B25" s="229" t="s">
        <v>292</v>
      </c>
      <c r="C25" s="121"/>
      <c r="G25" s="225">
        <f>AVERAGE(F19:G19)</f>
        <v>17484221.005442925</v>
      </c>
      <c r="H25" s="225">
        <f>AVERAGE(G24:H24)</f>
        <v>24018646.421321638</v>
      </c>
      <c r="I25" s="225">
        <f t="shared" ref="I25:P25" si="19">AVERAGE(H24:I24)</f>
        <v>40721113.823996343</v>
      </c>
      <c r="J25" s="225">
        <f t="shared" si="19"/>
        <v>58043874.568659663</v>
      </c>
      <c r="K25" s="225">
        <f t="shared" si="19"/>
        <v>78828274.951576129</v>
      </c>
      <c r="L25" s="225">
        <f t="shared" si="19"/>
        <v>104609597.10019463</v>
      </c>
      <c r="M25" s="225">
        <f t="shared" si="19"/>
        <v>136776518.63980827</v>
      </c>
      <c r="N25" s="225">
        <f t="shared" si="19"/>
        <v>176810126.30712718</v>
      </c>
      <c r="O25" s="225">
        <f t="shared" si="19"/>
        <v>227450970.34361613</v>
      </c>
      <c r="P25" s="225">
        <f t="shared" si="19"/>
        <v>292206208.21239501</v>
      </c>
    </row>
    <row r="26" spans="1:16" outlineLevel="1">
      <c r="A26" s="174" t="s">
        <v>429</v>
      </c>
      <c r="B26" s="229" t="s">
        <v>293</v>
      </c>
      <c r="C26" s="121"/>
      <c r="G26" s="225">
        <f>G25/AVERAGE('Funnel QH'!F30:G30)</f>
        <v>34968.442010885847</v>
      </c>
      <c r="H26" s="225">
        <f>H25/AVERAGE('Funnel QH'!G30:H30)</f>
        <v>48037.292842643277</v>
      </c>
      <c r="I26" s="225">
        <f>I25/AVERAGE('Funnel QH'!H30:I30)</f>
        <v>81442.22764799268</v>
      </c>
      <c r="J26" s="225">
        <f>J25/AVERAGE('Funnel QH'!I30:J30)</f>
        <v>116087.74913731933</v>
      </c>
      <c r="K26" s="225">
        <f>K25/AVERAGE('Funnel QH'!J30:K30)</f>
        <v>157656.54990315225</v>
      </c>
      <c r="L26" s="225">
        <f>L25/AVERAGE('Funnel QH'!K30:L30)</f>
        <v>209219.19420038926</v>
      </c>
      <c r="M26" s="225">
        <f>M25/AVERAGE('Funnel QH'!L30:M30)</f>
        <v>273553.03727961652</v>
      </c>
      <c r="N26" s="225">
        <f>N25/AVERAGE('Funnel QH'!M30:N30)</f>
        <v>353620.25261425436</v>
      </c>
      <c r="O26" s="225">
        <f>O25/AVERAGE('Funnel QH'!N30:O30)</f>
        <v>454901.94068723224</v>
      </c>
      <c r="P26" s="225">
        <f>P25/AVERAGE('Funnel QH'!O30:P30)</f>
        <v>584412.41642479005</v>
      </c>
    </row>
    <row r="27" spans="1:16" outlineLevel="1">
      <c r="A27" s="133" t="s">
        <v>404</v>
      </c>
      <c r="B27" s="121"/>
      <c r="C27" s="121"/>
      <c r="G27" s="134"/>
      <c r="H27" s="134"/>
      <c r="I27" s="134"/>
    </row>
    <row r="28" spans="1:16" outlineLevel="1">
      <c r="A28" s="174" t="s">
        <v>405</v>
      </c>
      <c r="B28" s="229" t="s">
        <v>231</v>
      </c>
      <c r="C28" s="121"/>
      <c r="G28" s="137">
        <f>G30+G31</f>
        <v>0.36</v>
      </c>
      <c r="H28" s="255">
        <f>G29</f>
        <v>0.36</v>
      </c>
      <c r="I28" s="255">
        <f t="shared" ref="I28:P28" si="20">H29</f>
        <v>0.35999999999999993</v>
      </c>
      <c r="J28" s="255">
        <f t="shared" si="20"/>
        <v>0.36</v>
      </c>
      <c r="K28" s="255">
        <f t="shared" si="20"/>
        <v>0.36000000000000004</v>
      </c>
      <c r="L28" s="255">
        <f t="shared" si="20"/>
        <v>0.36000000000000004</v>
      </c>
      <c r="M28" s="255">
        <f t="shared" si="20"/>
        <v>0.36000000000000004</v>
      </c>
      <c r="N28" s="255">
        <f t="shared" si="20"/>
        <v>0.36</v>
      </c>
      <c r="O28" s="255">
        <f t="shared" si="20"/>
        <v>0.36</v>
      </c>
      <c r="P28" s="255">
        <f t="shared" si="20"/>
        <v>0.36</v>
      </c>
    </row>
    <row r="29" spans="1:16" outlineLevel="1">
      <c r="A29" s="174" t="s">
        <v>406</v>
      </c>
      <c r="B29" s="229" t="s">
        <v>231</v>
      </c>
      <c r="C29" s="121"/>
      <c r="G29" s="255">
        <f t="shared" ref="G29:P29" si="21">(G16*G28+G12*G13)/(G16+G12)</f>
        <v>0.36</v>
      </c>
      <c r="H29" s="255">
        <f t="shared" si="21"/>
        <v>0.35999999999999993</v>
      </c>
      <c r="I29" s="255">
        <f t="shared" si="21"/>
        <v>0.36</v>
      </c>
      <c r="J29" s="255">
        <f t="shared" si="21"/>
        <v>0.36000000000000004</v>
      </c>
      <c r="K29" s="255">
        <f t="shared" si="21"/>
        <v>0.36000000000000004</v>
      </c>
      <c r="L29" s="255">
        <f t="shared" si="21"/>
        <v>0.36000000000000004</v>
      </c>
      <c r="M29" s="255">
        <f t="shared" si="21"/>
        <v>0.36</v>
      </c>
      <c r="N29" s="255">
        <f t="shared" si="21"/>
        <v>0.36</v>
      </c>
      <c r="O29" s="255">
        <f t="shared" si="21"/>
        <v>0.36</v>
      </c>
      <c r="P29" s="255">
        <f t="shared" si="21"/>
        <v>0.36</v>
      </c>
    </row>
    <row r="30" spans="1:16" outlineLevel="1">
      <c r="A30" s="174" t="s">
        <v>407</v>
      </c>
      <c r="B30" s="229" t="s">
        <v>231</v>
      </c>
      <c r="C30" s="121"/>
      <c r="G30" s="137">
        <v>0.16</v>
      </c>
      <c r="H30" s="137">
        <v>0.16</v>
      </c>
      <c r="I30" s="137">
        <v>0.16</v>
      </c>
      <c r="J30" s="137">
        <v>0.16</v>
      </c>
      <c r="K30" s="137">
        <v>0.16</v>
      </c>
      <c r="L30" s="137">
        <v>0.16</v>
      </c>
      <c r="M30" s="137">
        <v>0.16</v>
      </c>
      <c r="N30" s="137">
        <v>0.16</v>
      </c>
      <c r="O30" s="137">
        <v>0.16</v>
      </c>
      <c r="P30" s="137">
        <v>0.16</v>
      </c>
    </row>
    <row r="31" spans="1:16" outlineLevel="1">
      <c r="A31" s="174" t="s">
        <v>408</v>
      </c>
      <c r="B31" s="229" t="s">
        <v>231</v>
      </c>
      <c r="C31" s="121"/>
      <c r="G31" s="137">
        <v>0.2</v>
      </c>
      <c r="H31" s="137">
        <v>0.2</v>
      </c>
      <c r="I31" s="137">
        <v>0.2</v>
      </c>
      <c r="J31" s="137">
        <v>0.2</v>
      </c>
      <c r="K31" s="137">
        <v>0.2</v>
      </c>
      <c r="L31" s="137">
        <v>0.2</v>
      </c>
      <c r="M31" s="137">
        <v>0.2</v>
      </c>
      <c r="N31" s="137">
        <v>0.2</v>
      </c>
      <c r="O31" s="137">
        <v>0.2</v>
      </c>
      <c r="P31" s="137">
        <v>0.2</v>
      </c>
    </row>
    <row r="32" spans="1:16" outlineLevel="1">
      <c r="A32" s="133" t="s">
        <v>222</v>
      </c>
      <c r="B32" s="229"/>
      <c r="C32" s="121"/>
      <c r="G32" s="161"/>
      <c r="H32" s="161"/>
      <c r="I32" s="161"/>
    </row>
    <row r="33" spans="1:16" outlineLevel="1">
      <c r="A33" s="174" t="s">
        <v>426</v>
      </c>
      <c r="B33" s="229" t="s">
        <v>292</v>
      </c>
      <c r="C33" s="121"/>
      <c r="G33" s="139"/>
      <c r="H33" s="161">
        <f>G35</f>
        <v>1748422.1005442925</v>
      </c>
      <c r="I33" s="161">
        <f t="shared" ref="I33:P33" si="22">H35</f>
        <v>3741554.2243292243</v>
      </c>
      <c r="J33" s="161">
        <f t="shared" si="22"/>
        <v>5487732.7532520536</v>
      </c>
      <c r="K33" s="161">
        <f t="shared" si="22"/>
        <v>7497537.7971857982</v>
      </c>
      <c r="L33" s="161">
        <f t="shared" si="22"/>
        <v>9932326.1120555531</v>
      </c>
      <c r="M33" s="161">
        <f t="shared" si="22"/>
        <v>12957340.404901413</v>
      </c>
      <c r="N33" s="161">
        <f t="shared" si="22"/>
        <v>16805029.568496976</v>
      </c>
      <c r="O33" s="161">
        <f t="shared" si="22"/>
        <v>21631954.411313284</v>
      </c>
      <c r="P33" s="161">
        <f t="shared" si="22"/>
        <v>27813908.706864137</v>
      </c>
    </row>
    <row r="34" spans="1:16" outlineLevel="1">
      <c r="A34" s="174" t="s">
        <v>409</v>
      </c>
      <c r="B34" s="121" t="s">
        <v>231</v>
      </c>
      <c r="C34" s="121"/>
      <c r="G34" s="235">
        <v>0.1</v>
      </c>
      <c r="H34" s="235">
        <v>0.1</v>
      </c>
      <c r="I34" s="235">
        <v>0.1</v>
      </c>
      <c r="J34" s="235">
        <v>0.1</v>
      </c>
      <c r="K34" s="235">
        <v>0.1</v>
      </c>
      <c r="L34" s="235">
        <v>0.1</v>
      </c>
      <c r="M34" s="235">
        <v>0.1</v>
      </c>
      <c r="N34" s="235">
        <v>0.1</v>
      </c>
      <c r="O34" s="235">
        <v>0.1</v>
      </c>
      <c r="P34" s="235">
        <v>0.1</v>
      </c>
    </row>
    <row r="35" spans="1:16" outlineLevel="1">
      <c r="A35" s="174" t="s">
        <v>427</v>
      </c>
      <c r="B35" s="229" t="s">
        <v>292</v>
      </c>
      <c r="C35" s="121"/>
      <c r="G35" s="256">
        <f t="shared" ref="G35:P35" si="23">G19*G34</f>
        <v>1748422.1005442925</v>
      </c>
      <c r="H35" s="256">
        <f t="shared" si="23"/>
        <v>3741554.2243292243</v>
      </c>
      <c r="I35" s="256">
        <f t="shared" si="23"/>
        <v>5487732.7532520536</v>
      </c>
      <c r="J35" s="256">
        <f t="shared" si="23"/>
        <v>7497537.7971857982</v>
      </c>
      <c r="K35" s="256">
        <f t="shared" si="23"/>
        <v>9932326.1120555531</v>
      </c>
      <c r="L35" s="256">
        <f t="shared" si="23"/>
        <v>12957340.404901413</v>
      </c>
      <c r="M35" s="256">
        <f t="shared" si="23"/>
        <v>16805029.568496976</v>
      </c>
      <c r="N35" s="256">
        <f t="shared" si="23"/>
        <v>21631954.411313284</v>
      </c>
      <c r="O35" s="256">
        <f t="shared" si="23"/>
        <v>27813908.706864137</v>
      </c>
      <c r="P35" s="256">
        <f t="shared" si="23"/>
        <v>35709180.034960866</v>
      </c>
    </row>
    <row r="36" spans="1:16" outlineLevel="1">
      <c r="A36" s="174" t="s">
        <v>428</v>
      </c>
      <c r="B36" s="229" t="s">
        <v>231</v>
      </c>
      <c r="C36" s="121"/>
      <c r="G36" s="257">
        <f>G35/G21</f>
        <v>5.4999999999999991</v>
      </c>
      <c r="H36" s="257">
        <f t="shared" ref="H36:P36" si="24">H35/H21</f>
        <v>9.7826765500866433</v>
      </c>
      <c r="I36" s="257">
        <f t="shared" si="24"/>
        <v>3.7249491041057503</v>
      </c>
      <c r="J36" s="257">
        <f t="shared" si="24"/>
        <v>3.8010389975537855</v>
      </c>
      <c r="K36" s="257">
        <f t="shared" si="24"/>
        <v>4.0438577547024819</v>
      </c>
      <c r="L36" s="257">
        <f t="shared" si="24"/>
        <v>4.3754295760884618</v>
      </c>
      <c r="M36" s="257">
        <f t="shared" si="24"/>
        <v>4.7093979488092836</v>
      </c>
      <c r="N36" s="257">
        <f t="shared" si="24"/>
        <v>4.6638803043065211</v>
      </c>
      <c r="O36" s="257">
        <f t="shared" si="24"/>
        <v>4.6586188945509672</v>
      </c>
      <c r="P36" s="257">
        <f t="shared" si="24"/>
        <v>4.651668647034203</v>
      </c>
    </row>
    <row r="37" spans="1:16" outlineLevel="1">
      <c r="A37" s="133" t="s">
        <v>373</v>
      </c>
      <c r="B37" s="229"/>
      <c r="C37" s="121"/>
      <c r="G37" s="258"/>
      <c r="H37" s="258"/>
      <c r="I37" s="258"/>
    </row>
    <row r="38" spans="1:16" outlineLevel="1">
      <c r="A38" s="174" t="s">
        <v>410</v>
      </c>
      <c r="B38" s="229" t="s">
        <v>292</v>
      </c>
      <c r="C38" s="121"/>
      <c r="G38" s="256">
        <f>G25*G29/4</f>
        <v>1573579.8904898632</v>
      </c>
      <c r="H38" s="256">
        <f>H25*H29/4</f>
        <v>2161678.1779189468</v>
      </c>
      <c r="I38" s="256">
        <f>I25*I29/2</f>
        <v>7329800.4883193411</v>
      </c>
      <c r="J38" s="256">
        <f>J25*J29/2</f>
        <v>10447897.42235874</v>
      </c>
      <c r="K38" s="256">
        <f t="shared" ref="K38:P38" si="25">K25*K29/2</f>
        <v>14189089.491283705</v>
      </c>
      <c r="L38" s="256">
        <f t="shared" si="25"/>
        <v>18829727.478035036</v>
      </c>
      <c r="M38" s="256">
        <f t="shared" si="25"/>
        <v>24619773.355165489</v>
      </c>
      <c r="N38" s="256">
        <f t="shared" si="25"/>
        <v>31825822.73528289</v>
      </c>
      <c r="O38" s="256">
        <f t="shared" si="25"/>
        <v>40941174.661850899</v>
      </c>
      <c r="P38" s="256">
        <f t="shared" si="25"/>
        <v>52597117.478231102</v>
      </c>
    </row>
    <row r="39" spans="1:16" outlineLevel="1">
      <c r="A39" s="174" t="s">
        <v>411</v>
      </c>
      <c r="B39" s="229" t="s">
        <v>292</v>
      </c>
      <c r="C39" s="121"/>
      <c r="G39" s="256">
        <f>-G25*G30/4</f>
        <v>-699368.84021771699</v>
      </c>
      <c r="H39" s="256">
        <f>-H25*H30/4</f>
        <v>-960745.85685286555</v>
      </c>
      <c r="I39" s="256">
        <f>-I25*I30/2</f>
        <v>-3257689.1059197076</v>
      </c>
      <c r="J39" s="256">
        <f t="shared" ref="J39:P39" si="26">-J25*J30/2</f>
        <v>-4643509.9654927729</v>
      </c>
      <c r="K39" s="256">
        <f t="shared" si="26"/>
        <v>-6306261.9961260902</v>
      </c>
      <c r="L39" s="256">
        <f t="shared" si="26"/>
        <v>-8368767.7680155709</v>
      </c>
      <c r="M39" s="256">
        <f t="shared" si="26"/>
        <v>-10942121.491184661</v>
      </c>
      <c r="N39" s="256">
        <f t="shared" si="26"/>
        <v>-14144810.104570175</v>
      </c>
      <c r="O39" s="256">
        <f t="shared" si="26"/>
        <v>-18196077.627489291</v>
      </c>
      <c r="P39" s="256">
        <f t="shared" si="26"/>
        <v>-23376496.656991601</v>
      </c>
    </row>
    <row r="40" spans="1:16" outlineLevel="1">
      <c r="A40" s="183" t="s">
        <v>232</v>
      </c>
      <c r="B40" s="229" t="s">
        <v>292</v>
      </c>
      <c r="C40" s="121"/>
      <c r="G40" s="259">
        <f>SUM(G38:G39)</f>
        <v>874211.05027214624</v>
      </c>
      <c r="H40" s="259">
        <f t="shared" ref="H40:P40" si="27">SUM(H38:H39)</f>
        <v>1200932.3210660813</v>
      </c>
      <c r="I40" s="259">
        <f t="shared" si="27"/>
        <v>4072111.3823996335</v>
      </c>
      <c r="J40" s="259">
        <f t="shared" si="27"/>
        <v>5804387.4568659673</v>
      </c>
      <c r="K40" s="259">
        <f t="shared" si="27"/>
        <v>7882827.4951576153</v>
      </c>
      <c r="L40" s="259">
        <f t="shared" si="27"/>
        <v>10460959.710019466</v>
      </c>
      <c r="M40" s="259">
        <f t="shared" si="27"/>
        <v>13677651.863980828</v>
      </c>
      <c r="N40" s="259">
        <f t="shared" si="27"/>
        <v>17681012.630712718</v>
      </c>
      <c r="O40" s="259">
        <f t="shared" si="27"/>
        <v>22745097.034361608</v>
      </c>
      <c r="P40" s="259">
        <f t="shared" si="27"/>
        <v>29220620.821239501</v>
      </c>
    </row>
    <row r="41" spans="1:16" outlineLevel="1">
      <c r="A41" s="183" t="s">
        <v>233</v>
      </c>
      <c r="B41" s="253" t="s">
        <v>231</v>
      </c>
      <c r="C41" s="121"/>
      <c r="G41" s="128">
        <f>G40*4/G25</f>
        <v>0.2</v>
      </c>
      <c r="H41" s="128">
        <f>H40*4/H25</f>
        <v>0.1999999999999999</v>
      </c>
      <c r="I41" s="128">
        <f>I40*2/I25</f>
        <v>0.19999999999999996</v>
      </c>
      <c r="J41" s="128">
        <f t="shared" ref="J41:P41" si="28">J40*2/J25</f>
        <v>0.20000000000000004</v>
      </c>
      <c r="K41" s="128">
        <f t="shared" si="28"/>
        <v>0.20000000000000007</v>
      </c>
      <c r="L41" s="128">
        <f t="shared" si="28"/>
        <v>0.20000000000000004</v>
      </c>
      <c r="M41" s="128">
        <f t="shared" si="28"/>
        <v>0.2</v>
      </c>
      <c r="N41" s="128">
        <f t="shared" si="28"/>
        <v>0.2</v>
      </c>
      <c r="O41" s="128">
        <f t="shared" si="28"/>
        <v>0.19999999999999996</v>
      </c>
      <c r="P41" s="128">
        <f t="shared" si="28"/>
        <v>0.2</v>
      </c>
    </row>
    <row r="42" spans="1:16" outlineLevel="1">
      <c r="A42" s="174" t="s">
        <v>412</v>
      </c>
      <c r="B42" s="229" t="s">
        <v>292</v>
      </c>
      <c r="C42" s="121"/>
      <c r="G42" s="161">
        <f>-(G35-G33)</f>
        <v>-1748422.1005442925</v>
      </c>
      <c r="H42" s="161">
        <f>-(H35-H33)</f>
        <v>-1993132.1237849318</v>
      </c>
      <c r="I42" s="161">
        <f t="shared" ref="I42:P42" si="29">-(I35-I33)</f>
        <v>-1746178.5289228293</v>
      </c>
      <c r="J42" s="161">
        <f t="shared" si="29"/>
        <v>-2009805.0439337445</v>
      </c>
      <c r="K42" s="161">
        <f t="shared" si="29"/>
        <v>-2434788.3148697549</v>
      </c>
      <c r="L42" s="161">
        <f t="shared" si="29"/>
        <v>-3025014.2928458601</v>
      </c>
      <c r="M42" s="161">
        <f t="shared" si="29"/>
        <v>-3847689.1635955628</v>
      </c>
      <c r="N42" s="161">
        <f t="shared" si="29"/>
        <v>-4826924.8428163081</v>
      </c>
      <c r="O42" s="161">
        <f t="shared" si="29"/>
        <v>-6181954.295550853</v>
      </c>
      <c r="P42" s="161">
        <f t="shared" si="29"/>
        <v>-7895271.3280967288</v>
      </c>
    </row>
    <row r="43" spans="1:16" outlineLevel="1">
      <c r="A43" s="183" t="s">
        <v>413</v>
      </c>
      <c r="B43" s="229" t="s">
        <v>231</v>
      </c>
      <c r="C43" s="121"/>
      <c r="G43" s="255">
        <f>(G12*G34)/G25</f>
        <v>0.1090909090909091</v>
      </c>
      <c r="H43" s="255">
        <f t="shared" ref="H43:P43" si="30">(H12*H34)/H25</f>
        <v>0.10004387888681776</v>
      </c>
      <c r="I43" s="255">
        <f t="shared" si="30"/>
        <v>7.446598358390405E-2</v>
      </c>
      <c r="J43" s="255">
        <f t="shared" si="30"/>
        <v>6.6238956511327579E-2</v>
      </c>
      <c r="K43" s="255">
        <f t="shared" si="30"/>
        <v>6.1887908160325127E-2</v>
      </c>
      <c r="L43" s="255">
        <f t="shared" si="30"/>
        <v>5.9142835887750815E-2</v>
      </c>
      <c r="M43" s="255">
        <f t="shared" si="30"/>
        <v>5.7641635078830238E-2</v>
      </c>
      <c r="N43" s="255">
        <f t="shared" si="30"/>
        <v>5.67641922930169E-2</v>
      </c>
      <c r="O43" s="255">
        <f t="shared" si="30"/>
        <v>5.6662146323614035E-2</v>
      </c>
      <c r="P43" s="255">
        <f t="shared" si="30"/>
        <v>5.6527146114631915E-2</v>
      </c>
    </row>
    <row r="44" spans="1:16" outlineLevel="1">
      <c r="A44" s="183" t="s">
        <v>414</v>
      </c>
      <c r="B44" s="229" t="s">
        <v>292</v>
      </c>
      <c r="C44" s="121"/>
      <c r="G44" s="175">
        <f>G40+G42</f>
        <v>-874211.05027214624</v>
      </c>
      <c r="H44" s="175">
        <f>H40+H42</f>
        <v>-792199.80271885055</v>
      </c>
      <c r="I44" s="175">
        <f t="shared" ref="I44:P44" si="31">I40+I42</f>
        <v>2325932.8534768042</v>
      </c>
      <c r="J44" s="175">
        <f t="shared" si="31"/>
        <v>3794582.4129322227</v>
      </c>
      <c r="K44" s="175">
        <f t="shared" si="31"/>
        <v>5448039.1802878603</v>
      </c>
      <c r="L44" s="175">
        <f t="shared" si="31"/>
        <v>7435945.4171736054</v>
      </c>
      <c r="M44" s="175">
        <f t="shared" si="31"/>
        <v>9829962.7003852651</v>
      </c>
      <c r="N44" s="175">
        <f t="shared" si="31"/>
        <v>12854087.78789641</v>
      </c>
      <c r="O44" s="175">
        <f t="shared" si="31"/>
        <v>16563142.738810755</v>
      </c>
      <c r="P44" s="175">
        <f t="shared" si="31"/>
        <v>21325349.493142772</v>
      </c>
    </row>
    <row r="45" spans="1:16" outlineLevel="1">
      <c r="A45" s="174" t="s">
        <v>430</v>
      </c>
      <c r="B45" s="229" t="s">
        <v>231</v>
      </c>
      <c r="C45" s="121"/>
      <c r="G45" s="137">
        <v>0.01</v>
      </c>
      <c r="H45" s="137">
        <v>0.01</v>
      </c>
      <c r="I45" s="137">
        <v>0.01</v>
      </c>
      <c r="J45" s="137">
        <v>0.01</v>
      </c>
      <c r="K45" s="137">
        <v>0.01</v>
      </c>
      <c r="L45" s="137">
        <v>0.01</v>
      </c>
      <c r="M45" s="137">
        <v>0.01</v>
      </c>
      <c r="N45" s="137">
        <v>0.01</v>
      </c>
      <c r="O45" s="137">
        <v>0.01</v>
      </c>
      <c r="P45" s="137">
        <v>0.01</v>
      </c>
    </row>
    <row r="46" spans="1:16" outlineLevel="1">
      <c r="A46" s="174" t="s">
        <v>415</v>
      </c>
      <c r="B46" s="229" t="s">
        <v>292</v>
      </c>
      <c r="C46" s="121"/>
      <c r="G46" s="161">
        <f>G12*G45</f>
        <v>190736.95642301373</v>
      </c>
      <c r="H46" s="161">
        <f t="shared" ref="H46:P46" si="32">H12*H45</f>
        <v>240291.85536000007</v>
      </c>
      <c r="I46" s="161">
        <f t="shared" si="32"/>
        <v>303233.77935359994</v>
      </c>
      <c r="J46" s="161">
        <f t="shared" si="32"/>
        <v>384476.56833024003</v>
      </c>
      <c r="K46" s="161">
        <f t="shared" si="32"/>
        <v>487851.70406400011</v>
      </c>
      <c r="L46" s="161">
        <f t="shared" si="32"/>
        <v>618690.82335805451</v>
      </c>
      <c r="M46" s="161">
        <f t="shared" si="32"/>
        <v>788402.21747886494</v>
      </c>
      <c r="N46" s="161">
        <f t="shared" si="32"/>
        <v>1003648.4009050373</v>
      </c>
      <c r="O46" s="161">
        <f t="shared" si="32"/>
        <v>1288786.0163057973</v>
      </c>
      <c r="P46" s="161">
        <f t="shared" si="32"/>
        <v>1651758.3027224611</v>
      </c>
    </row>
    <row r="47" spans="1:16" outlineLevel="1">
      <c r="A47" s="183" t="s">
        <v>237</v>
      </c>
      <c r="B47" s="229" t="s">
        <v>292</v>
      </c>
      <c r="C47" s="121"/>
      <c r="G47" s="175">
        <f>G44+G46</f>
        <v>-683474.09384913254</v>
      </c>
      <c r="H47" s="175">
        <f t="shared" ref="H47:P47" si="33">H44+H46</f>
        <v>-551907.94735885051</v>
      </c>
      <c r="I47" s="175">
        <f t="shared" si="33"/>
        <v>2629166.6328304042</v>
      </c>
      <c r="J47" s="175">
        <f t="shared" si="33"/>
        <v>4179058.9812624627</v>
      </c>
      <c r="K47" s="175">
        <f t="shared" si="33"/>
        <v>5935890.8843518607</v>
      </c>
      <c r="L47" s="175">
        <f t="shared" si="33"/>
        <v>8054636.2405316597</v>
      </c>
      <c r="M47" s="175">
        <f t="shared" si="33"/>
        <v>10618364.917864131</v>
      </c>
      <c r="N47" s="175">
        <f t="shared" si="33"/>
        <v>13857736.188801447</v>
      </c>
      <c r="O47" s="175">
        <f t="shared" si="33"/>
        <v>17851928.755116552</v>
      </c>
      <c r="P47" s="175">
        <f t="shared" si="33"/>
        <v>22977107.795865234</v>
      </c>
    </row>
    <row r="48" spans="1:16" outlineLevel="1">
      <c r="A48" s="174" t="s">
        <v>416</v>
      </c>
      <c r="B48" s="229" t="s">
        <v>292</v>
      </c>
      <c r="C48" s="121"/>
      <c r="G48" s="210">
        <v>10</v>
      </c>
      <c r="H48" s="210">
        <v>10</v>
      </c>
      <c r="I48" s="210">
        <v>10</v>
      </c>
      <c r="J48" s="210">
        <v>10</v>
      </c>
      <c r="K48" s="210">
        <v>10</v>
      </c>
      <c r="L48" s="210">
        <v>10</v>
      </c>
      <c r="M48" s="210">
        <v>10</v>
      </c>
      <c r="N48" s="210">
        <v>10</v>
      </c>
      <c r="O48" s="210">
        <v>10</v>
      </c>
      <c r="P48" s="210">
        <v>10</v>
      </c>
    </row>
    <row r="49" spans="1:16" outlineLevel="1">
      <c r="A49" s="183" t="s">
        <v>417</v>
      </c>
      <c r="B49" s="229" t="s">
        <v>292</v>
      </c>
      <c r="C49" s="121"/>
      <c r="G49" s="161">
        <f t="shared" ref="G49:P49" si="34">-G10*G48</f>
        <v>-190736.95642301373</v>
      </c>
      <c r="H49" s="161">
        <f t="shared" si="34"/>
        <v>-240291.85536000005</v>
      </c>
      <c r="I49" s="161">
        <f t="shared" si="34"/>
        <v>-303233.7793536</v>
      </c>
      <c r="J49" s="161">
        <f t="shared" si="34"/>
        <v>-384476.56833024003</v>
      </c>
      <c r="K49" s="161">
        <f t="shared" si="34"/>
        <v>-487851.70406400005</v>
      </c>
      <c r="L49" s="161">
        <f t="shared" si="34"/>
        <v>-618690.82335805451</v>
      </c>
      <c r="M49" s="161">
        <f t="shared" si="34"/>
        <v>-788402.21747886494</v>
      </c>
      <c r="N49" s="161">
        <f t="shared" si="34"/>
        <v>-1003648.4009050373</v>
      </c>
      <c r="O49" s="161">
        <f t="shared" si="34"/>
        <v>-1288786.0163057973</v>
      </c>
      <c r="P49" s="161">
        <f t="shared" si="34"/>
        <v>-1651758.3027224611</v>
      </c>
    </row>
    <row r="50" spans="1:16" outlineLevel="1">
      <c r="A50" s="174" t="s">
        <v>418</v>
      </c>
      <c r="B50" s="229" t="s">
        <v>230</v>
      </c>
      <c r="C50" s="121"/>
      <c r="G50" s="161">
        <f t="shared" ref="G50:P50" si="35">ROUNDUP(G19/G11,0)</f>
        <v>17485</v>
      </c>
      <c r="H50" s="161">
        <f t="shared" si="35"/>
        <v>37416</v>
      </c>
      <c r="I50" s="161">
        <f t="shared" si="35"/>
        <v>54878</v>
      </c>
      <c r="J50" s="161">
        <f t="shared" si="35"/>
        <v>74976</v>
      </c>
      <c r="K50" s="161">
        <f t="shared" si="35"/>
        <v>99324</v>
      </c>
      <c r="L50" s="161">
        <f t="shared" si="35"/>
        <v>129574</v>
      </c>
      <c r="M50" s="161">
        <f t="shared" si="35"/>
        <v>168051</v>
      </c>
      <c r="N50" s="161">
        <f t="shared" si="35"/>
        <v>216320</v>
      </c>
      <c r="O50" s="161">
        <f t="shared" si="35"/>
        <v>278140</v>
      </c>
      <c r="P50" s="161">
        <f t="shared" si="35"/>
        <v>357092</v>
      </c>
    </row>
    <row r="51" spans="1:16" outlineLevel="1">
      <c r="A51" s="174" t="s">
        <v>419</v>
      </c>
      <c r="B51" s="229" t="s">
        <v>292</v>
      </c>
      <c r="C51" s="121"/>
      <c r="G51" s="210">
        <v>30</v>
      </c>
      <c r="H51" s="210">
        <v>30</v>
      </c>
      <c r="I51" s="210">
        <v>30</v>
      </c>
      <c r="J51" s="210">
        <v>30</v>
      </c>
      <c r="K51" s="210">
        <v>30</v>
      </c>
      <c r="L51" s="210">
        <v>30</v>
      </c>
      <c r="M51" s="210">
        <v>30</v>
      </c>
      <c r="N51" s="210">
        <v>30</v>
      </c>
      <c r="O51" s="210">
        <v>30</v>
      </c>
      <c r="P51" s="210">
        <v>30</v>
      </c>
    </row>
    <row r="52" spans="1:16" outlineLevel="1">
      <c r="A52" s="183" t="s">
        <v>420</v>
      </c>
      <c r="B52" s="229" t="s">
        <v>292</v>
      </c>
      <c r="C52" s="121"/>
      <c r="G52" s="259">
        <f>-G50*G51</f>
        <v>-524550</v>
      </c>
      <c r="H52" s="259">
        <f t="shared" ref="H52:P52" si="36">-H50*H51</f>
        <v>-1122480</v>
      </c>
      <c r="I52" s="259">
        <f t="shared" si="36"/>
        <v>-1646340</v>
      </c>
      <c r="J52" s="259">
        <f t="shared" si="36"/>
        <v>-2249280</v>
      </c>
      <c r="K52" s="259">
        <f t="shared" si="36"/>
        <v>-2979720</v>
      </c>
      <c r="L52" s="259">
        <f t="shared" si="36"/>
        <v>-3887220</v>
      </c>
      <c r="M52" s="259">
        <f t="shared" si="36"/>
        <v>-5041530</v>
      </c>
      <c r="N52" s="259">
        <f t="shared" si="36"/>
        <v>-6489600</v>
      </c>
      <c r="O52" s="259">
        <f t="shared" si="36"/>
        <v>-8344200</v>
      </c>
      <c r="P52" s="259">
        <f t="shared" si="36"/>
        <v>-10712760</v>
      </c>
    </row>
    <row r="53" spans="1:16" outlineLevel="1">
      <c r="A53" s="174" t="s">
        <v>392</v>
      </c>
      <c r="B53" s="229" t="s">
        <v>292</v>
      </c>
      <c r="C53" s="121"/>
      <c r="G53" s="161">
        <f>G47+G49+G52</f>
        <v>-1398761.0502721462</v>
      </c>
      <c r="H53" s="161">
        <f>H47+H49+H52</f>
        <v>-1914679.8027188506</v>
      </c>
      <c r="I53" s="161">
        <f>I47+I49+I52</f>
        <v>679592.85347680422</v>
      </c>
      <c r="J53" s="161">
        <f t="shared" ref="J53:P53" si="37">J47+J49+J52</f>
        <v>1545302.4129322227</v>
      </c>
      <c r="K53" s="161">
        <f t="shared" si="37"/>
        <v>2468319.1802878603</v>
      </c>
      <c r="L53" s="161">
        <f t="shared" si="37"/>
        <v>3548725.4171736054</v>
      </c>
      <c r="M53" s="161">
        <f t="shared" si="37"/>
        <v>4788432.7003852651</v>
      </c>
      <c r="N53" s="161">
        <f t="shared" si="37"/>
        <v>6364487.7878964096</v>
      </c>
      <c r="O53" s="161">
        <f t="shared" si="37"/>
        <v>8218942.7388107553</v>
      </c>
      <c r="P53" s="161">
        <f t="shared" si="37"/>
        <v>10612589.493142772</v>
      </c>
    </row>
    <row r="54" spans="1:16" outlineLevel="1">
      <c r="A54" s="174" t="s">
        <v>235</v>
      </c>
      <c r="B54" s="229" t="s">
        <v>292</v>
      </c>
      <c r="C54" s="121"/>
      <c r="G54" s="161">
        <f>G53</f>
        <v>-1398761.0502721462</v>
      </c>
      <c r="H54" s="161">
        <f t="shared" ref="H54:P54" si="38">G54+H53</f>
        <v>-3313440.852990997</v>
      </c>
      <c r="I54" s="161">
        <f t="shared" si="38"/>
        <v>-2633847.9995141928</v>
      </c>
      <c r="J54" s="161">
        <f t="shared" si="38"/>
        <v>-1088545.5865819701</v>
      </c>
      <c r="K54" s="161">
        <f t="shared" si="38"/>
        <v>1379773.5937058902</v>
      </c>
      <c r="L54" s="161">
        <f t="shared" si="38"/>
        <v>4928499.0108794961</v>
      </c>
      <c r="M54" s="161">
        <f t="shared" si="38"/>
        <v>9716931.7112647612</v>
      </c>
      <c r="N54" s="161">
        <f t="shared" si="38"/>
        <v>16081419.499161171</v>
      </c>
      <c r="O54" s="161">
        <f t="shared" si="38"/>
        <v>24300362.237971924</v>
      </c>
      <c r="P54" s="161">
        <f t="shared" si="38"/>
        <v>34912951.7311147</v>
      </c>
    </row>
    <row r="55" spans="1:16" outlineLevel="1">
      <c r="A55" s="183" t="s">
        <v>236</v>
      </c>
      <c r="B55" s="253" t="s">
        <v>231</v>
      </c>
      <c r="C55" s="121"/>
      <c r="G55" s="128">
        <f>G53*4/G25</f>
        <v>-0.32000534649766893</v>
      </c>
      <c r="H55" s="128">
        <f>H53*4/H25</f>
        <v>-0.31886556288520346</v>
      </c>
      <c r="I55" s="128">
        <f>I53*2/I25</f>
        <v>3.3377910850578472E-2</v>
      </c>
      <c r="J55" s="128">
        <f t="shared" ref="J55:P55" si="39">J53*2/J25</f>
        <v>5.3246011725295701E-2</v>
      </c>
      <c r="K55" s="128">
        <f t="shared" si="39"/>
        <v>6.2625223799560203E-2</v>
      </c>
      <c r="L55" s="128">
        <f t="shared" si="39"/>
        <v>6.7847033456684691E-2</v>
      </c>
      <c r="M55" s="128">
        <f t="shared" si="39"/>
        <v>7.0018344493696025E-2</v>
      </c>
      <c r="N55" s="128">
        <f t="shared" si="39"/>
        <v>7.1992344791847573E-2</v>
      </c>
      <c r="O55" s="128">
        <f t="shared" si="39"/>
        <v>7.2270016930630662E-2</v>
      </c>
      <c r="P55" s="128">
        <f t="shared" si="39"/>
        <v>7.2637672950663881E-2</v>
      </c>
    </row>
    <row r="56" spans="1:16" outlineLevel="1">
      <c r="A56" s="183" t="s">
        <v>374</v>
      </c>
      <c r="B56" s="253" t="s">
        <v>231</v>
      </c>
      <c r="C56" s="121"/>
      <c r="G56" s="128">
        <f>-(G49+G52)/(G47-G42)</f>
        <v>0.67166373562476056</v>
      </c>
      <c r="H56" s="128">
        <f t="shared" ref="H56:P56" si="40">-(H49+H52)/(H47-H42)</f>
        <v>0.94556549747824381</v>
      </c>
      <c r="I56" s="128">
        <f t="shared" si="40"/>
        <v>0.44558171007756364</v>
      </c>
      <c r="J56" s="128">
        <f t="shared" si="40"/>
        <v>0.425563812293766</v>
      </c>
      <c r="K56" s="128">
        <f t="shared" si="40"/>
        <v>0.41425213194007571</v>
      </c>
      <c r="L56" s="128">
        <f t="shared" si="40"/>
        <v>0.40668347885016481</v>
      </c>
      <c r="M56" s="128">
        <f t="shared" si="40"/>
        <v>0.40300777148004391</v>
      </c>
      <c r="N56" s="128">
        <f t="shared" si="40"/>
        <v>0.40103742787868268</v>
      </c>
      <c r="O56" s="128">
        <f t="shared" si="40"/>
        <v>0.40080855831735002</v>
      </c>
      <c r="P56" s="128">
        <f t="shared" si="40"/>
        <v>0.4005042258996358</v>
      </c>
    </row>
    <row r="57" spans="1:16" outlineLevel="1">
      <c r="A57" s="174" t="s">
        <v>392</v>
      </c>
      <c r="B57" s="229" t="s">
        <v>293</v>
      </c>
      <c r="C57" s="121"/>
      <c r="G57" s="161">
        <f>G53/AVERAGE('Funnel QH'!F30:G30)</f>
        <v>-2797.5221005442927</v>
      </c>
      <c r="H57" s="161">
        <f>H53/AVERAGE('Funnel QH'!G30:H30)</f>
        <v>-3829.3596054377012</v>
      </c>
      <c r="I57" s="161">
        <f>I53/AVERAGE('Funnel QH'!H30:I30)</f>
        <v>1359.1857069536084</v>
      </c>
      <c r="J57" s="161">
        <f>J53/AVERAGE('Funnel QH'!I30:J30)</f>
        <v>3090.6048258644455</v>
      </c>
      <c r="K57" s="161">
        <f>K53/AVERAGE('Funnel QH'!J30:K30)</f>
        <v>4936.638360575721</v>
      </c>
      <c r="L57" s="161">
        <f>L53/AVERAGE('Funnel QH'!K30:L30)</f>
        <v>7097.4508343472107</v>
      </c>
      <c r="M57" s="161">
        <f>M53/AVERAGE('Funnel QH'!L30:M30)</f>
        <v>9576.86540077053</v>
      </c>
      <c r="N57" s="161">
        <f>N53/AVERAGE('Funnel QH'!M30:N30)</f>
        <v>12728.97557579282</v>
      </c>
      <c r="O57" s="161">
        <f>O53/AVERAGE('Funnel QH'!N30:O30)</f>
        <v>16437.885477621512</v>
      </c>
      <c r="P57" s="161">
        <f>P53/AVERAGE('Funnel QH'!O30:P30)</f>
        <v>21225.178986285544</v>
      </c>
    </row>
    <row r="58" spans="1:16" outlineLevel="1">
      <c r="A58" s="122" t="s">
        <v>380</v>
      </c>
      <c r="B58" s="138" t="s">
        <v>390</v>
      </c>
      <c r="G58" s="238">
        <f>G57*4/G26</f>
        <v>-0.32000534649766899</v>
      </c>
      <c r="H58" s="238">
        <f>H57*4/H26</f>
        <v>-0.31886556288520346</v>
      </c>
      <c r="I58" s="238">
        <f>I57*2/I26</f>
        <v>3.3377910850578472E-2</v>
      </c>
      <c r="J58" s="238">
        <f t="shared" ref="J58:P58" si="41">J57*2/J26</f>
        <v>5.3246011725295701E-2</v>
      </c>
      <c r="K58" s="238">
        <f t="shared" si="41"/>
        <v>6.2625223799560203E-2</v>
      </c>
      <c r="L58" s="238">
        <f t="shared" si="41"/>
        <v>6.7847033456684691E-2</v>
      </c>
      <c r="M58" s="238">
        <f t="shared" si="41"/>
        <v>7.0018344493696025E-2</v>
      </c>
      <c r="N58" s="238">
        <f t="shared" si="41"/>
        <v>7.1992344791847573E-2</v>
      </c>
      <c r="O58" s="238">
        <f t="shared" si="41"/>
        <v>7.2270016930630676E-2</v>
      </c>
      <c r="P58" s="238">
        <f t="shared" si="41"/>
        <v>7.2637672950663881E-2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0.79998168889431442"/>
  </sheetPr>
  <dimension ref="A1:W67"/>
  <sheetViews>
    <sheetView zoomScaleNormal="100" workbookViewId="0">
      <pane ySplit="4" topLeftCell="A53" activePane="bottomLeft" state="frozen"/>
      <selection activeCell="E17" sqref="E17"/>
      <selection pane="bottomLeft" activeCell="D27" sqref="D27"/>
    </sheetView>
  </sheetViews>
  <sheetFormatPr defaultColWidth="8.88671875" defaultRowHeight="13.8" outlineLevelRow="1" outlineLevelCol="1"/>
  <cols>
    <col min="1" max="1" width="60.33203125" style="143" customWidth="1"/>
    <col min="2" max="2" width="9.88671875" style="143" bestFit="1" customWidth="1"/>
    <col min="3" max="3" width="23.6640625" style="143" customWidth="1" outlineLevel="1"/>
    <col min="4" max="4" width="13.44140625" style="143" customWidth="1" outlineLevel="1"/>
    <col min="5" max="6" width="12.44140625" style="143" customWidth="1" outlineLevel="1"/>
    <col min="7" max="8" width="12.109375" style="143" customWidth="1" outlineLevel="1"/>
    <col min="9" max="12" width="15.33203125" style="143" customWidth="1" outlineLevel="1"/>
    <col min="13" max="16" width="16.5546875" style="143" customWidth="1" outlineLevel="1"/>
    <col min="17" max="17" width="4.88671875" style="143" customWidth="1"/>
    <col min="18" max="23" width="10.88671875" style="143" bestFit="1" customWidth="1"/>
    <col min="24" max="16384" width="8.88671875" style="143"/>
  </cols>
  <sheetData>
    <row r="1" spans="1:23" s="105" customFormat="1" ht="19.8">
      <c r="A1" s="156" t="s">
        <v>794</v>
      </c>
      <c r="B1" s="156"/>
      <c r="C1" s="156"/>
      <c r="D1" s="156"/>
      <c r="E1" s="156"/>
      <c r="F1" s="156"/>
      <c r="G1" s="157"/>
      <c r="H1" s="157"/>
      <c r="I1" s="157"/>
      <c r="J1" s="157"/>
      <c r="K1" s="157"/>
      <c r="L1" s="157"/>
      <c r="M1" s="157"/>
      <c r="N1" s="157"/>
      <c r="O1" s="157"/>
      <c r="P1" s="157"/>
      <c r="R1" s="104"/>
      <c r="S1" s="104"/>
      <c r="T1" s="104"/>
      <c r="U1" s="104"/>
      <c r="V1" s="104"/>
      <c r="W1" s="104"/>
    </row>
    <row r="2" spans="1:23" s="107" customFormat="1">
      <c r="A2" s="106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R2" s="109"/>
      <c r="S2" s="109"/>
      <c r="T2" s="109"/>
      <c r="U2" s="109"/>
      <c r="V2" s="109"/>
      <c r="W2" s="109"/>
    </row>
    <row r="3" spans="1:23" s="108" customFormat="1">
      <c r="A3" s="110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R3" s="111"/>
      <c r="S3" s="111"/>
      <c r="T3" s="111"/>
      <c r="U3" s="111"/>
      <c r="V3" s="111"/>
      <c r="W3" s="111"/>
    </row>
    <row r="4" spans="1:23" s="108" customFormat="1">
      <c r="D4" s="148">
        <v>2024</v>
      </c>
      <c r="E4" s="148">
        <v>2025</v>
      </c>
      <c r="F4" s="148">
        <v>2025</v>
      </c>
      <c r="G4" s="148">
        <v>2025</v>
      </c>
      <c r="H4" s="148">
        <v>2025</v>
      </c>
      <c r="I4" s="148">
        <v>2026</v>
      </c>
      <c r="J4" s="148">
        <v>2026</v>
      </c>
      <c r="K4" s="148">
        <v>2027</v>
      </c>
      <c r="L4" s="148">
        <v>2027</v>
      </c>
      <c r="M4" s="148">
        <v>2028</v>
      </c>
      <c r="N4" s="148">
        <v>2028</v>
      </c>
      <c r="O4" s="148">
        <v>2029</v>
      </c>
      <c r="P4" s="148">
        <v>2029</v>
      </c>
      <c r="R4" s="148">
        <v>2024</v>
      </c>
      <c r="S4" s="148">
        <v>2025</v>
      </c>
      <c r="T4" s="148">
        <v>2026</v>
      </c>
      <c r="U4" s="148">
        <v>2027</v>
      </c>
      <c r="V4" s="148">
        <v>2028</v>
      </c>
      <c r="W4" s="148">
        <v>2029</v>
      </c>
    </row>
    <row r="5" spans="1:23" s="113" customFormat="1">
      <c r="A5" s="112"/>
      <c r="B5" s="112"/>
      <c r="C5" s="112"/>
      <c r="D5" s="151" t="s">
        <v>294</v>
      </c>
      <c r="E5" s="151" t="s">
        <v>431</v>
      </c>
      <c r="F5" s="151" t="s">
        <v>432</v>
      </c>
      <c r="G5" s="151" t="s">
        <v>433</v>
      </c>
      <c r="H5" s="151" t="s">
        <v>434</v>
      </c>
      <c r="I5" s="151" t="s">
        <v>435</v>
      </c>
      <c r="J5" s="151" t="s">
        <v>436</v>
      </c>
      <c r="K5" s="151" t="s">
        <v>435</v>
      </c>
      <c r="L5" s="151" t="s">
        <v>436</v>
      </c>
      <c r="M5" s="151" t="s">
        <v>435</v>
      </c>
      <c r="N5" s="151" t="s">
        <v>436</v>
      </c>
      <c r="O5" s="151" t="s">
        <v>435</v>
      </c>
      <c r="P5" s="151" t="s">
        <v>436</v>
      </c>
      <c r="R5" s="151" t="s">
        <v>294</v>
      </c>
      <c r="S5" s="151" t="s">
        <v>308</v>
      </c>
      <c r="T5" s="151" t="s">
        <v>309</v>
      </c>
      <c r="U5" s="151" t="s">
        <v>311</v>
      </c>
      <c r="V5" s="151" t="s">
        <v>310</v>
      </c>
      <c r="W5" s="151" t="s">
        <v>312</v>
      </c>
    </row>
    <row r="6" spans="1:23" s="114" customFormat="1">
      <c r="D6" s="158">
        <v>0</v>
      </c>
      <c r="E6" s="115">
        <v>1</v>
      </c>
      <c r="F6" s="115">
        <v>2</v>
      </c>
      <c r="G6" s="115">
        <v>3</v>
      </c>
      <c r="H6" s="115">
        <v>4</v>
      </c>
      <c r="I6" s="115">
        <v>5</v>
      </c>
      <c r="J6" s="115">
        <v>6</v>
      </c>
      <c r="K6" s="115">
        <v>7</v>
      </c>
      <c r="L6" s="115">
        <v>8</v>
      </c>
      <c r="M6" s="115">
        <v>9</v>
      </c>
      <c r="N6" s="115">
        <v>10</v>
      </c>
      <c r="O6" s="115">
        <v>11</v>
      </c>
      <c r="P6" s="115">
        <v>12</v>
      </c>
    </row>
    <row r="7" spans="1:23" s="119" customFormat="1" ht="12.6">
      <c r="A7" s="132" t="s">
        <v>854</v>
      </c>
      <c r="B7" s="116" t="s">
        <v>228</v>
      </c>
      <c r="C7" s="117" t="s">
        <v>229</v>
      </c>
      <c r="D7" s="117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</row>
    <row r="8" spans="1:23" s="127" customFormat="1" ht="12.6" outlineLevel="1">
      <c r="A8" s="122" t="s">
        <v>452</v>
      </c>
      <c r="B8" s="138" t="s">
        <v>230</v>
      </c>
      <c r="D8" s="134"/>
      <c r="E8" s="134"/>
      <c r="F8" s="134"/>
      <c r="G8" s="134"/>
      <c r="H8" s="134"/>
      <c r="I8" s="134">
        <v>0</v>
      </c>
      <c r="J8" s="134">
        <f>I8*(1+30%)</f>
        <v>0</v>
      </c>
      <c r="K8" s="134">
        <f t="shared" ref="K8:L8" si="0">J8*(1+30%)</f>
        <v>0</v>
      </c>
      <c r="L8" s="134">
        <f t="shared" si="0"/>
        <v>0</v>
      </c>
      <c r="M8" s="134">
        <f>L8*(1+50%)</f>
        <v>0</v>
      </c>
      <c r="N8" s="134">
        <f t="shared" ref="N8:P8" si="1">M8*(1+50%)</f>
        <v>0</v>
      </c>
      <c r="O8" s="134">
        <f t="shared" si="1"/>
        <v>0</v>
      </c>
      <c r="P8" s="134">
        <f t="shared" si="1"/>
        <v>0</v>
      </c>
      <c r="R8" s="134">
        <f>D8</f>
        <v>0</v>
      </c>
      <c r="S8" s="134">
        <f t="shared" ref="S8:S13" si="2">H8</f>
        <v>0</v>
      </c>
      <c r="T8" s="134">
        <f>J8</f>
        <v>0</v>
      </c>
      <c r="U8" s="134">
        <f>L8</f>
        <v>0</v>
      </c>
      <c r="V8" s="134">
        <f>N8</f>
        <v>0</v>
      </c>
      <c r="W8" s="134">
        <f>P8</f>
        <v>0</v>
      </c>
    </row>
    <row r="9" spans="1:23" s="127" customFormat="1" ht="12.6" outlineLevel="1">
      <c r="A9" s="122" t="s">
        <v>453</v>
      </c>
      <c r="B9" s="138" t="s">
        <v>230</v>
      </c>
      <c r="D9" s="134"/>
      <c r="E9" s="134"/>
      <c r="F9" s="134"/>
      <c r="G9" s="134"/>
      <c r="H9" s="134"/>
      <c r="I9" s="136">
        <v>4</v>
      </c>
      <c r="J9" s="136">
        <v>4</v>
      </c>
      <c r="K9" s="136">
        <v>4</v>
      </c>
      <c r="L9" s="136">
        <v>4</v>
      </c>
      <c r="M9" s="136">
        <v>4</v>
      </c>
      <c r="N9" s="136">
        <v>4</v>
      </c>
      <c r="O9" s="136">
        <v>4</v>
      </c>
      <c r="P9" s="136">
        <v>4</v>
      </c>
      <c r="R9" s="134"/>
      <c r="S9" s="134"/>
      <c r="T9" s="134"/>
      <c r="U9" s="134"/>
      <c r="V9" s="134"/>
      <c r="W9" s="134"/>
    </row>
    <row r="10" spans="1:23" s="127" customFormat="1" ht="12.6" outlineLevel="1">
      <c r="A10" s="122" t="s">
        <v>451</v>
      </c>
      <c r="B10" s="138" t="s">
        <v>230</v>
      </c>
      <c r="D10" s="134"/>
      <c r="E10" s="134"/>
      <c r="F10" s="134"/>
      <c r="G10" s="134"/>
      <c r="H10" s="134"/>
      <c r="I10" s="134">
        <f>I8*I9</f>
        <v>0</v>
      </c>
      <c r="J10" s="134">
        <f t="shared" ref="J10:P10" si="3">J8*J9</f>
        <v>0</v>
      </c>
      <c r="K10" s="134">
        <f t="shared" si="3"/>
        <v>0</v>
      </c>
      <c r="L10" s="134">
        <f t="shared" si="3"/>
        <v>0</v>
      </c>
      <c r="M10" s="134">
        <f t="shared" si="3"/>
        <v>0</v>
      </c>
      <c r="N10" s="134">
        <f t="shared" si="3"/>
        <v>0</v>
      </c>
      <c r="O10" s="134">
        <f t="shared" si="3"/>
        <v>0</v>
      </c>
      <c r="P10" s="134">
        <f t="shared" si="3"/>
        <v>0</v>
      </c>
      <c r="R10" s="134"/>
      <c r="S10" s="134"/>
      <c r="T10" s="134"/>
      <c r="U10" s="134"/>
      <c r="V10" s="134"/>
      <c r="W10" s="134"/>
    </row>
    <row r="11" spans="1:23" s="127" customFormat="1" ht="12.6" outlineLevel="1">
      <c r="A11" s="122" t="s">
        <v>455</v>
      </c>
      <c r="B11" s="229" t="s">
        <v>292</v>
      </c>
      <c r="D11" s="134"/>
      <c r="E11" s="134"/>
      <c r="F11" s="134"/>
      <c r="G11" s="134"/>
      <c r="H11" s="134"/>
      <c r="I11" s="136">
        <f>4*500</f>
        <v>2000</v>
      </c>
      <c r="J11" s="136">
        <f t="shared" ref="J11:P11" si="4">4*500</f>
        <v>2000</v>
      </c>
      <c r="K11" s="136">
        <f t="shared" si="4"/>
        <v>2000</v>
      </c>
      <c r="L11" s="136">
        <f t="shared" si="4"/>
        <v>2000</v>
      </c>
      <c r="M11" s="136">
        <f t="shared" si="4"/>
        <v>2000</v>
      </c>
      <c r="N11" s="136">
        <f t="shared" si="4"/>
        <v>2000</v>
      </c>
      <c r="O11" s="136">
        <f t="shared" si="4"/>
        <v>2000</v>
      </c>
      <c r="P11" s="136">
        <f t="shared" si="4"/>
        <v>2000</v>
      </c>
      <c r="R11" s="134"/>
      <c r="S11" s="134"/>
      <c r="T11" s="134"/>
      <c r="U11" s="134"/>
      <c r="V11" s="134"/>
      <c r="W11" s="134"/>
    </row>
    <row r="12" spans="1:23" s="127" customFormat="1" ht="12.6" outlineLevel="1">
      <c r="A12" s="122" t="s">
        <v>464</v>
      </c>
      <c r="B12" s="229" t="s">
        <v>292</v>
      </c>
      <c r="D12" s="134"/>
      <c r="E12" s="134"/>
      <c r="F12" s="134"/>
      <c r="G12" s="134"/>
      <c r="H12" s="134"/>
      <c r="I12" s="134">
        <f>I11*I10*6</f>
        <v>0</v>
      </c>
      <c r="J12" s="134">
        <f t="shared" ref="J12:P12" si="5">J11*J10*6</f>
        <v>0</v>
      </c>
      <c r="K12" s="134">
        <f t="shared" si="5"/>
        <v>0</v>
      </c>
      <c r="L12" s="134">
        <f t="shared" si="5"/>
        <v>0</v>
      </c>
      <c r="M12" s="134">
        <f t="shared" si="5"/>
        <v>0</v>
      </c>
      <c r="N12" s="134">
        <f t="shared" si="5"/>
        <v>0</v>
      </c>
      <c r="O12" s="134">
        <f t="shared" si="5"/>
        <v>0</v>
      </c>
      <c r="P12" s="134">
        <f t="shared" si="5"/>
        <v>0</v>
      </c>
      <c r="R12" s="134"/>
      <c r="S12" s="134"/>
      <c r="T12" s="134"/>
      <c r="U12" s="134"/>
      <c r="V12" s="134"/>
      <c r="W12" s="134"/>
    </row>
    <row r="13" spans="1:23" ht="14.4" outlineLevel="1">
      <c r="A13" s="122" t="s">
        <v>441</v>
      </c>
      <c r="B13" s="121" t="s">
        <v>231</v>
      </c>
      <c r="C13" s="122"/>
      <c r="D13" s="238"/>
      <c r="E13" s="238"/>
      <c r="F13" s="238"/>
      <c r="G13" s="134"/>
      <c r="H13" s="134"/>
      <c r="I13" s="137">
        <v>0.3</v>
      </c>
      <c r="J13" s="137">
        <v>0.3</v>
      </c>
      <c r="K13" s="137">
        <v>0.3</v>
      </c>
      <c r="L13" s="137">
        <v>0.3</v>
      </c>
      <c r="M13" s="137">
        <v>0.3</v>
      </c>
      <c r="N13" s="137">
        <v>0.3</v>
      </c>
      <c r="O13" s="137">
        <v>0.3</v>
      </c>
      <c r="P13" s="137">
        <v>0.3</v>
      </c>
      <c r="Q13" s="162"/>
      <c r="R13" s="205"/>
      <c r="S13" s="205">
        <f t="shared" si="2"/>
        <v>0</v>
      </c>
      <c r="T13" s="205">
        <f t="shared" ref="T13" si="6">J13</f>
        <v>0.3</v>
      </c>
      <c r="U13" s="205">
        <f t="shared" ref="U13" si="7">L13</f>
        <v>0.3</v>
      </c>
      <c r="V13" s="205">
        <f t="shared" ref="V13" si="8">N13</f>
        <v>0.3</v>
      </c>
      <c r="W13" s="205">
        <f t="shared" ref="W13" si="9">P13</f>
        <v>0.3</v>
      </c>
    </row>
    <row r="14" spans="1:23" ht="14.4" outlineLevel="1">
      <c r="A14" s="122" t="s">
        <v>442</v>
      </c>
      <c r="B14" s="138" t="s">
        <v>230</v>
      </c>
      <c r="C14" s="122"/>
      <c r="D14" s="238"/>
      <c r="E14" s="238"/>
      <c r="F14" s="238"/>
      <c r="G14" s="134"/>
      <c r="H14" s="134"/>
      <c r="I14" s="185">
        <f>I10*I13</f>
        <v>0</v>
      </c>
      <c r="J14" s="185">
        <f t="shared" ref="J14:P14" si="10">J10*J13</f>
        <v>0</v>
      </c>
      <c r="K14" s="185">
        <f t="shared" si="10"/>
        <v>0</v>
      </c>
      <c r="L14" s="185">
        <f t="shared" si="10"/>
        <v>0</v>
      </c>
      <c r="M14" s="185">
        <f t="shared" si="10"/>
        <v>0</v>
      </c>
      <c r="N14" s="185">
        <f t="shared" si="10"/>
        <v>0</v>
      </c>
      <c r="O14" s="185">
        <f t="shared" si="10"/>
        <v>0</v>
      </c>
      <c r="P14" s="185">
        <f t="shared" si="10"/>
        <v>0</v>
      </c>
      <c r="Q14" s="162"/>
      <c r="R14" s="205"/>
      <c r="S14" s="205"/>
      <c r="T14" s="205"/>
      <c r="U14" s="205"/>
      <c r="V14" s="205"/>
      <c r="W14" s="205"/>
    </row>
    <row r="15" spans="1:23" ht="14.4" outlineLevel="1">
      <c r="A15" s="122" t="s">
        <v>443</v>
      </c>
      <c r="B15" s="121" t="s">
        <v>231</v>
      </c>
      <c r="C15" s="122"/>
      <c r="D15" s="238"/>
      <c r="E15" s="238"/>
      <c r="F15" s="238"/>
      <c r="G15" s="134"/>
      <c r="H15" s="134"/>
      <c r="I15" s="137">
        <v>0.5</v>
      </c>
      <c r="J15" s="137">
        <v>0.5</v>
      </c>
      <c r="K15" s="137">
        <v>0.5</v>
      </c>
      <c r="L15" s="137">
        <v>0.5</v>
      </c>
      <c r="M15" s="137">
        <v>0.5</v>
      </c>
      <c r="N15" s="137">
        <v>0.5</v>
      </c>
      <c r="O15" s="137">
        <v>0.5</v>
      </c>
      <c r="P15" s="137">
        <v>0.5</v>
      </c>
      <c r="Q15" s="162"/>
      <c r="R15" s="205"/>
      <c r="S15" s="205"/>
      <c r="T15" s="205"/>
      <c r="U15" s="205"/>
      <c r="V15" s="205"/>
      <c r="W15" s="205"/>
    </row>
    <row r="16" spans="1:23" ht="14.4" outlineLevel="1">
      <c r="A16" s="122" t="s">
        <v>444</v>
      </c>
      <c r="B16" s="138" t="s">
        <v>230</v>
      </c>
      <c r="C16" s="122"/>
      <c r="D16" s="238"/>
      <c r="E16" s="238"/>
      <c r="F16" s="238"/>
      <c r="G16" s="134"/>
      <c r="H16" s="134"/>
      <c r="I16" s="185">
        <f>I14*I15</f>
        <v>0</v>
      </c>
      <c r="J16" s="185">
        <f t="shared" ref="J16:P16" si="11">J14*J15</f>
        <v>0</v>
      </c>
      <c r="K16" s="185">
        <f t="shared" si="11"/>
        <v>0</v>
      </c>
      <c r="L16" s="185">
        <f t="shared" si="11"/>
        <v>0</v>
      </c>
      <c r="M16" s="185">
        <f t="shared" si="11"/>
        <v>0</v>
      </c>
      <c r="N16" s="185">
        <f t="shared" si="11"/>
        <v>0</v>
      </c>
      <c r="O16" s="185">
        <f t="shared" si="11"/>
        <v>0</v>
      </c>
      <c r="P16" s="185">
        <f t="shared" si="11"/>
        <v>0</v>
      </c>
      <c r="Q16" s="162"/>
      <c r="R16" s="205"/>
      <c r="S16" s="205"/>
      <c r="T16" s="205"/>
      <c r="U16" s="205"/>
      <c r="V16" s="205"/>
      <c r="W16" s="205"/>
    </row>
    <row r="17" spans="1:23" ht="14.4" outlineLevel="1">
      <c r="A17" s="122" t="s">
        <v>445</v>
      </c>
      <c r="B17" s="121" t="s">
        <v>231</v>
      </c>
      <c r="C17" s="122"/>
      <c r="D17" s="238"/>
      <c r="E17" s="238"/>
      <c r="F17" s="238"/>
      <c r="G17" s="134"/>
      <c r="H17" s="134"/>
      <c r="I17" s="137">
        <v>0.9</v>
      </c>
      <c r="J17" s="137">
        <v>0.9</v>
      </c>
      <c r="K17" s="137">
        <v>0.9</v>
      </c>
      <c r="L17" s="137">
        <v>0.9</v>
      </c>
      <c r="M17" s="137">
        <v>0.9</v>
      </c>
      <c r="N17" s="137">
        <v>0.9</v>
      </c>
      <c r="O17" s="137">
        <v>0.9</v>
      </c>
      <c r="P17" s="137">
        <v>0.9</v>
      </c>
      <c r="Q17" s="162"/>
      <c r="R17" s="205"/>
      <c r="S17" s="205"/>
      <c r="T17" s="205"/>
      <c r="U17" s="205"/>
      <c r="V17" s="205"/>
      <c r="W17" s="205"/>
    </row>
    <row r="18" spans="1:23" outlineLevel="1">
      <c r="A18" s="122" t="s">
        <v>446</v>
      </c>
      <c r="B18" s="138" t="s">
        <v>230</v>
      </c>
      <c r="C18" s="122"/>
      <c r="D18" s="238"/>
      <c r="E18" s="238"/>
      <c r="F18" s="238"/>
      <c r="G18" s="134"/>
      <c r="H18" s="134"/>
      <c r="I18" s="134">
        <f>I16*I17</f>
        <v>0</v>
      </c>
      <c r="J18" s="134">
        <f t="shared" ref="J18:P18" si="12">J16*J17</f>
        <v>0</v>
      </c>
      <c r="K18" s="134">
        <f t="shared" si="12"/>
        <v>0</v>
      </c>
      <c r="L18" s="134">
        <f t="shared" si="12"/>
        <v>0</v>
      </c>
      <c r="M18" s="134">
        <f t="shared" si="12"/>
        <v>0</v>
      </c>
      <c r="N18" s="134">
        <f t="shared" si="12"/>
        <v>0</v>
      </c>
      <c r="O18" s="134">
        <f t="shared" si="12"/>
        <v>0</v>
      </c>
      <c r="P18" s="134">
        <f t="shared" si="12"/>
        <v>0</v>
      </c>
    </row>
    <row r="19" spans="1:23" outlineLevel="1">
      <c r="A19" s="174" t="s">
        <v>447</v>
      </c>
      <c r="B19" s="229" t="s">
        <v>292</v>
      </c>
      <c r="C19" s="122"/>
      <c r="D19" s="238"/>
      <c r="E19" s="238"/>
      <c r="F19" s="238"/>
      <c r="G19" s="134"/>
      <c r="H19" s="134"/>
      <c r="I19" s="136">
        <v>2000</v>
      </c>
      <c r="J19" s="136">
        <v>2000</v>
      </c>
      <c r="K19" s="136">
        <v>2000</v>
      </c>
      <c r="L19" s="136">
        <v>2000</v>
      </c>
      <c r="M19" s="136">
        <v>2000</v>
      </c>
      <c r="N19" s="136">
        <v>2000</v>
      </c>
      <c r="O19" s="136">
        <v>2000</v>
      </c>
      <c r="P19" s="136">
        <v>2000</v>
      </c>
    </row>
    <row r="20" spans="1:23" outlineLevel="1">
      <c r="A20" s="174" t="s">
        <v>448</v>
      </c>
      <c r="B20" s="229" t="s">
        <v>292</v>
      </c>
      <c r="C20" s="121"/>
      <c r="D20" s="134"/>
      <c r="E20" s="134"/>
      <c r="F20" s="134"/>
      <c r="G20" s="134"/>
      <c r="H20" s="134"/>
      <c r="I20" s="134">
        <f>I18*I19</f>
        <v>0</v>
      </c>
      <c r="J20" s="134">
        <f t="shared" ref="J20:P20" si="13">J18*J19</f>
        <v>0</v>
      </c>
      <c r="K20" s="134">
        <f t="shared" si="13"/>
        <v>0</v>
      </c>
      <c r="L20" s="134">
        <f t="shared" si="13"/>
        <v>0</v>
      </c>
      <c r="M20" s="134">
        <f t="shared" si="13"/>
        <v>0</v>
      </c>
      <c r="N20" s="134">
        <f t="shared" si="13"/>
        <v>0</v>
      </c>
      <c r="O20" s="134">
        <f t="shared" si="13"/>
        <v>0</v>
      </c>
      <c r="P20" s="134">
        <f t="shared" si="13"/>
        <v>0</v>
      </c>
    </row>
    <row r="21" spans="1:23" outlineLevel="1">
      <c r="A21" s="174" t="s">
        <v>450</v>
      </c>
      <c r="B21" s="229" t="s">
        <v>231</v>
      </c>
      <c r="C21" s="121"/>
      <c r="D21" s="134"/>
      <c r="E21" s="134"/>
      <c r="F21" s="134"/>
      <c r="G21" s="134"/>
      <c r="H21" s="134"/>
      <c r="I21" s="137">
        <v>0.7</v>
      </c>
      <c r="J21" s="137">
        <v>0.7</v>
      </c>
      <c r="K21" s="137">
        <v>0.7</v>
      </c>
      <c r="L21" s="137">
        <v>0.7</v>
      </c>
      <c r="M21" s="137">
        <v>0.7</v>
      </c>
      <c r="N21" s="137">
        <v>0.7</v>
      </c>
      <c r="O21" s="137">
        <v>0.7</v>
      </c>
      <c r="P21" s="137">
        <v>0.7</v>
      </c>
    </row>
    <row r="22" spans="1:23" outlineLevel="1">
      <c r="A22" s="174" t="s">
        <v>400</v>
      </c>
      <c r="B22" s="229" t="s">
        <v>292</v>
      </c>
      <c r="C22" s="121"/>
      <c r="D22" s="134"/>
      <c r="E22" s="134"/>
      <c r="F22" s="134"/>
      <c r="G22" s="134"/>
      <c r="H22" s="134"/>
      <c r="I22" s="134">
        <f>I20*I21</f>
        <v>0</v>
      </c>
      <c r="J22" s="134">
        <f t="shared" ref="J22:P22" si="14">J20*J21</f>
        <v>0</v>
      </c>
      <c r="K22" s="134">
        <f t="shared" si="14"/>
        <v>0</v>
      </c>
      <c r="L22" s="134">
        <f t="shared" si="14"/>
        <v>0</v>
      </c>
      <c r="M22" s="134">
        <f t="shared" si="14"/>
        <v>0</v>
      </c>
      <c r="N22" s="134">
        <f t="shared" si="14"/>
        <v>0</v>
      </c>
      <c r="O22" s="134">
        <f t="shared" si="14"/>
        <v>0</v>
      </c>
      <c r="P22" s="134">
        <f t="shared" si="14"/>
        <v>0</v>
      </c>
    </row>
    <row r="23" spans="1:23" outlineLevel="1">
      <c r="A23" s="174" t="s">
        <v>398</v>
      </c>
      <c r="B23" s="229" t="s">
        <v>231</v>
      </c>
      <c r="C23" s="121"/>
      <c r="D23" s="254"/>
      <c r="E23" s="254"/>
      <c r="F23" s="254"/>
      <c r="G23" s="134"/>
      <c r="H23" s="134"/>
      <c r="I23" s="137">
        <v>0.38</v>
      </c>
      <c r="J23" s="137">
        <v>0.38</v>
      </c>
      <c r="K23" s="137">
        <v>0.38</v>
      </c>
      <c r="L23" s="137">
        <v>0.38</v>
      </c>
      <c r="M23" s="137">
        <v>0.38</v>
      </c>
      <c r="N23" s="137">
        <v>0.38</v>
      </c>
      <c r="O23" s="137">
        <v>0.38</v>
      </c>
      <c r="P23" s="137">
        <v>0.38</v>
      </c>
    </row>
    <row r="24" spans="1:23" outlineLevel="1">
      <c r="A24" s="174" t="s">
        <v>399</v>
      </c>
      <c r="B24" s="229" t="s">
        <v>372</v>
      </c>
      <c r="C24" s="121"/>
      <c r="D24" s="254"/>
      <c r="E24" s="254"/>
      <c r="F24" s="254"/>
      <c r="G24" s="134"/>
      <c r="H24" s="134"/>
      <c r="I24" s="136">
        <v>24</v>
      </c>
      <c r="J24" s="136">
        <v>24</v>
      </c>
      <c r="K24" s="136">
        <v>24</v>
      </c>
      <c r="L24" s="136">
        <v>24</v>
      </c>
      <c r="M24" s="136">
        <v>24</v>
      </c>
      <c r="N24" s="136">
        <v>24</v>
      </c>
      <c r="O24" s="136">
        <v>24</v>
      </c>
      <c r="P24" s="136">
        <v>24</v>
      </c>
    </row>
    <row r="25" spans="1:23" outlineLevel="1">
      <c r="A25" s="133" t="s">
        <v>400</v>
      </c>
      <c r="B25" s="121"/>
      <c r="C25" s="121"/>
      <c r="D25" s="134"/>
      <c r="E25" s="134"/>
      <c r="F25" s="134"/>
      <c r="G25" s="134"/>
      <c r="H25" s="134"/>
    </row>
    <row r="26" spans="1:23" outlineLevel="1">
      <c r="A26" s="174" t="s">
        <v>423</v>
      </c>
      <c r="B26" s="229" t="s">
        <v>292</v>
      </c>
      <c r="C26" s="121"/>
      <c r="G26" s="134"/>
      <c r="H26" s="134"/>
      <c r="I26" s="225">
        <f t="shared" ref="I26:P26" si="15">I22</f>
        <v>0</v>
      </c>
      <c r="J26" s="225">
        <f t="shared" si="15"/>
        <v>0</v>
      </c>
      <c r="K26" s="225">
        <f t="shared" si="15"/>
        <v>0</v>
      </c>
      <c r="L26" s="225">
        <f t="shared" si="15"/>
        <v>0</v>
      </c>
      <c r="M26" s="225">
        <f t="shared" si="15"/>
        <v>0</v>
      </c>
      <c r="N26" s="225">
        <f t="shared" si="15"/>
        <v>0</v>
      </c>
      <c r="O26" s="225">
        <f t="shared" si="15"/>
        <v>0</v>
      </c>
      <c r="P26" s="225">
        <f t="shared" si="15"/>
        <v>0</v>
      </c>
    </row>
    <row r="27" spans="1:23" outlineLevel="1">
      <c r="A27" s="181" t="s">
        <v>454</v>
      </c>
      <c r="B27" s="229" t="s">
        <v>231</v>
      </c>
      <c r="C27" s="121"/>
      <c r="G27" s="134"/>
      <c r="H27" s="134"/>
      <c r="I27" s="137">
        <v>0.1</v>
      </c>
      <c r="J27" s="137">
        <f>I27*(1-5%)</f>
        <v>9.5000000000000001E-2</v>
      </c>
      <c r="K27" s="137">
        <f t="shared" ref="K27:P27" si="16">J27*(1-5%)</f>
        <v>9.0249999999999997E-2</v>
      </c>
      <c r="L27" s="137">
        <f t="shared" si="16"/>
        <v>8.5737499999999994E-2</v>
      </c>
      <c r="M27" s="137">
        <f t="shared" si="16"/>
        <v>8.1450624999999985E-2</v>
      </c>
      <c r="N27" s="137">
        <f t="shared" si="16"/>
        <v>7.7378093749999988E-2</v>
      </c>
      <c r="O27" s="137">
        <f t="shared" si="16"/>
        <v>7.350918906249998E-2</v>
      </c>
      <c r="P27" s="137">
        <f t="shared" si="16"/>
        <v>6.9833729609374978E-2</v>
      </c>
    </row>
    <row r="28" spans="1:23" outlineLevel="1">
      <c r="A28" s="181" t="s">
        <v>425</v>
      </c>
      <c r="B28" s="229" t="s">
        <v>292</v>
      </c>
      <c r="C28" s="121"/>
      <c r="G28" s="134"/>
      <c r="H28" s="134"/>
      <c r="I28" s="225">
        <f>I27*I26</f>
        <v>0</v>
      </c>
      <c r="J28" s="225">
        <f t="shared" ref="J28:P28" si="17">J27*J26</f>
        <v>0</v>
      </c>
      <c r="K28" s="225">
        <f t="shared" si="17"/>
        <v>0</v>
      </c>
      <c r="L28" s="225">
        <f t="shared" si="17"/>
        <v>0</v>
      </c>
      <c r="M28" s="225">
        <f t="shared" si="17"/>
        <v>0</v>
      </c>
      <c r="N28" s="225">
        <f t="shared" si="17"/>
        <v>0</v>
      </c>
      <c r="O28" s="225">
        <f t="shared" si="17"/>
        <v>0</v>
      </c>
      <c r="P28" s="225">
        <f t="shared" si="17"/>
        <v>0</v>
      </c>
    </row>
    <row r="29" spans="1:23" outlineLevel="1">
      <c r="A29" s="174" t="s">
        <v>449</v>
      </c>
      <c r="B29" s="229" t="s">
        <v>292</v>
      </c>
      <c r="C29" s="121"/>
      <c r="G29" s="225"/>
      <c r="H29" s="225"/>
      <c r="I29" s="225">
        <f>I26-I28</f>
        <v>0</v>
      </c>
      <c r="J29" s="225">
        <f t="shared" ref="J29:P29" si="18">J26-J28</f>
        <v>0</v>
      </c>
      <c r="K29" s="225">
        <f t="shared" si="18"/>
        <v>0</v>
      </c>
      <c r="L29" s="225">
        <f t="shared" si="18"/>
        <v>0</v>
      </c>
      <c r="M29" s="225">
        <f t="shared" si="18"/>
        <v>0</v>
      </c>
      <c r="N29" s="225">
        <f t="shared" si="18"/>
        <v>0</v>
      </c>
      <c r="O29" s="225">
        <f t="shared" si="18"/>
        <v>0</v>
      </c>
      <c r="P29" s="225">
        <f t="shared" si="18"/>
        <v>0</v>
      </c>
    </row>
    <row r="30" spans="1:23" outlineLevel="1">
      <c r="A30" s="174" t="s">
        <v>429</v>
      </c>
      <c r="B30" s="229" t="s">
        <v>292</v>
      </c>
      <c r="C30" s="121"/>
      <c r="G30" s="225"/>
      <c r="H30" s="225"/>
      <c r="I30" s="225">
        <f>AVERAGE(H29:I29)</f>
        <v>0</v>
      </c>
      <c r="J30" s="225">
        <f>AVERAGE(I29:J29)</f>
        <v>0</v>
      </c>
      <c r="K30" s="225">
        <f t="shared" ref="K30:P30" si="19">AVERAGE(J29:K29)</f>
        <v>0</v>
      </c>
      <c r="L30" s="225">
        <f t="shared" si="19"/>
        <v>0</v>
      </c>
      <c r="M30" s="225">
        <f t="shared" si="19"/>
        <v>0</v>
      </c>
      <c r="N30" s="225">
        <f t="shared" si="19"/>
        <v>0</v>
      </c>
      <c r="O30" s="225">
        <f t="shared" si="19"/>
        <v>0</v>
      </c>
      <c r="P30" s="225">
        <f t="shared" si="19"/>
        <v>0</v>
      </c>
    </row>
    <row r="31" spans="1:23" outlineLevel="1">
      <c r="A31" s="174" t="s">
        <v>429</v>
      </c>
      <c r="B31" s="229" t="s">
        <v>293</v>
      </c>
      <c r="C31" s="121"/>
      <c r="G31" s="225"/>
      <c r="H31" s="225"/>
      <c r="I31" s="225">
        <f>I30/AVERAGE('Funnel QH'!H30:I30)</f>
        <v>0</v>
      </c>
      <c r="J31" s="225">
        <f>J30/AVERAGE('Funnel QH'!I30:J30)</f>
        <v>0</v>
      </c>
      <c r="K31" s="225">
        <f>K30/AVERAGE('Funnel QH'!J30:K30)</f>
        <v>0</v>
      </c>
      <c r="L31" s="225">
        <f>L30/AVERAGE('Funnel QH'!K30:L30)</f>
        <v>0</v>
      </c>
      <c r="M31" s="225">
        <f>M30/AVERAGE('Funnel QH'!L30:M30)</f>
        <v>0</v>
      </c>
      <c r="N31" s="225">
        <f>N30/AVERAGE('Funnel QH'!M30:N30)</f>
        <v>0</v>
      </c>
      <c r="O31" s="225">
        <f>O30/AVERAGE('Funnel QH'!N30:O30)</f>
        <v>0</v>
      </c>
      <c r="P31" s="225">
        <f>P30/AVERAGE('Funnel QH'!O30:P30)</f>
        <v>0</v>
      </c>
    </row>
    <row r="32" spans="1:23" outlineLevel="1">
      <c r="A32" s="133" t="s">
        <v>404</v>
      </c>
      <c r="B32" s="121"/>
      <c r="C32" s="121"/>
      <c r="G32" s="134"/>
      <c r="H32" s="134"/>
      <c r="I32" s="134"/>
    </row>
    <row r="33" spans="1:16" outlineLevel="1">
      <c r="A33" s="174" t="s">
        <v>405</v>
      </c>
      <c r="B33" s="229" t="s">
        <v>231</v>
      </c>
      <c r="C33" s="121"/>
      <c r="G33" s="134"/>
      <c r="H33" s="134"/>
      <c r="I33" s="255">
        <f t="shared" ref="I33:P33" si="20">I23</f>
        <v>0.38</v>
      </c>
      <c r="J33" s="255">
        <f t="shared" si="20"/>
        <v>0.38</v>
      </c>
      <c r="K33" s="255">
        <f t="shared" si="20"/>
        <v>0.38</v>
      </c>
      <c r="L33" s="255">
        <f t="shared" si="20"/>
        <v>0.38</v>
      </c>
      <c r="M33" s="255">
        <f t="shared" si="20"/>
        <v>0.38</v>
      </c>
      <c r="N33" s="255">
        <f t="shared" si="20"/>
        <v>0.38</v>
      </c>
      <c r="O33" s="255">
        <f t="shared" si="20"/>
        <v>0.38</v>
      </c>
      <c r="P33" s="255">
        <f t="shared" si="20"/>
        <v>0.38</v>
      </c>
    </row>
    <row r="34" spans="1:16" outlineLevel="1">
      <c r="A34" s="174" t="s">
        <v>406</v>
      </c>
      <c r="B34" s="229" t="s">
        <v>231</v>
      </c>
      <c r="C34" s="121"/>
      <c r="G34" s="134"/>
      <c r="H34" s="134"/>
      <c r="I34" s="255">
        <f>I33</f>
        <v>0.38</v>
      </c>
      <c r="J34" s="255">
        <f t="shared" ref="J34:P34" si="21">J33</f>
        <v>0.38</v>
      </c>
      <c r="K34" s="255">
        <f t="shared" si="21"/>
        <v>0.38</v>
      </c>
      <c r="L34" s="255">
        <f t="shared" si="21"/>
        <v>0.38</v>
      </c>
      <c r="M34" s="255">
        <f t="shared" si="21"/>
        <v>0.38</v>
      </c>
      <c r="N34" s="255">
        <f t="shared" si="21"/>
        <v>0.38</v>
      </c>
      <c r="O34" s="255">
        <f t="shared" si="21"/>
        <v>0.38</v>
      </c>
      <c r="P34" s="255">
        <f t="shared" si="21"/>
        <v>0.38</v>
      </c>
    </row>
    <row r="35" spans="1:16" outlineLevel="1">
      <c r="A35" s="174" t="s">
        <v>407</v>
      </c>
      <c r="B35" s="229" t="s">
        <v>231</v>
      </c>
      <c r="C35" s="121"/>
      <c r="G35" s="134"/>
      <c r="H35" s="134"/>
      <c r="I35" s="137">
        <v>0.17499999999999999</v>
      </c>
      <c r="J35" s="137">
        <v>0.17499999999999999</v>
      </c>
      <c r="K35" s="137">
        <v>0.17499999999999999</v>
      </c>
      <c r="L35" s="137">
        <v>0.17499999999999999</v>
      </c>
      <c r="M35" s="137">
        <v>0.17499999999999999</v>
      </c>
      <c r="N35" s="137">
        <v>0.17499999999999999</v>
      </c>
      <c r="O35" s="137">
        <v>0.17499999999999999</v>
      </c>
      <c r="P35" s="137">
        <v>0.17499999999999999</v>
      </c>
    </row>
    <row r="36" spans="1:16" outlineLevel="1">
      <c r="A36" s="133" t="s">
        <v>222</v>
      </c>
      <c r="B36" s="229"/>
      <c r="C36" s="121"/>
      <c r="G36" s="134"/>
      <c r="H36" s="134"/>
      <c r="I36" s="161"/>
    </row>
    <row r="37" spans="1:16" outlineLevel="1">
      <c r="A37" s="174" t="s">
        <v>426</v>
      </c>
      <c r="B37" s="229" t="s">
        <v>292</v>
      </c>
      <c r="C37" s="121"/>
      <c r="G37" s="134"/>
      <c r="H37" s="134"/>
      <c r="I37" s="161"/>
      <c r="J37" s="161">
        <f t="shared" ref="J37:P37" si="22">I39</f>
        <v>0</v>
      </c>
      <c r="K37" s="161">
        <f t="shared" si="22"/>
        <v>0</v>
      </c>
      <c r="L37" s="161">
        <f t="shared" si="22"/>
        <v>0</v>
      </c>
      <c r="M37" s="161">
        <f t="shared" si="22"/>
        <v>0</v>
      </c>
      <c r="N37" s="161">
        <f t="shared" si="22"/>
        <v>0</v>
      </c>
      <c r="O37" s="161">
        <f t="shared" si="22"/>
        <v>0</v>
      </c>
      <c r="P37" s="161">
        <f t="shared" si="22"/>
        <v>0</v>
      </c>
    </row>
    <row r="38" spans="1:16" outlineLevel="1">
      <c r="A38" s="174" t="s">
        <v>409</v>
      </c>
      <c r="B38" s="121" t="s">
        <v>231</v>
      </c>
      <c r="C38" s="121"/>
      <c r="G38" s="134"/>
      <c r="H38" s="134"/>
      <c r="I38" s="237">
        <v>0.1</v>
      </c>
      <c r="J38" s="237">
        <f>I38*(1-2%)</f>
        <v>9.8000000000000004E-2</v>
      </c>
      <c r="K38" s="237">
        <f t="shared" ref="K38:P38" si="23">J38*(1-2%)</f>
        <v>9.604E-2</v>
      </c>
      <c r="L38" s="237">
        <f t="shared" si="23"/>
        <v>9.41192E-2</v>
      </c>
      <c r="M38" s="237">
        <f t="shared" si="23"/>
        <v>9.2236815999999999E-2</v>
      </c>
      <c r="N38" s="237">
        <f t="shared" si="23"/>
        <v>9.0392079680000001E-2</v>
      </c>
      <c r="O38" s="237">
        <f t="shared" si="23"/>
        <v>8.8584238086399994E-2</v>
      </c>
      <c r="P38" s="237">
        <f t="shared" si="23"/>
        <v>8.6812553324671998E-2</v>
      </c>
    </row>
    <row r="39" spans="1:16" outlineLevel="1">
      <c r="A39" s="174" t="s">
        <v>427</v>
      </c>
      <c r="B39" s="229" t="s">
        <v>292</v>
      </c>
      <c r="C39" s="121"/>
      <c r="G39" s="134"/>
      <c r="H39" s="134"/>
      <c r="I39" s="256">
        <f t="shared" ref="I39:P39" si="24">I20*I38</f>
        <v>0</v>
      </c>
      <c r="J39" s="256">
        <f t="shared" si="24"/>
        <v>0</v>
      </c>
      <c r="K39" s="256">
        <f>K20*K38</f>
        <v>0</v>
      </c>
      <c r="L39" s="256">
        <f t="shared" si="24"/>
        <v>0</v>
      </c>
      <c r="M39" s="256">
        <f t="shared" si="24"/>
        <v>0</v>
      </c>
      <c r="N39" s="256">
        <f t="shared" si="24"/>
        <v>0</v>
      </c>
      <c r="O39" s="256">
        <f t="shared" si="24"/>
        <v>0</v>
      </c>
      <c r="P39" s="256">
        <f t="shared" si="24"/>
        <v>0</v>
      </c>
    </row>
    <row r="40" spans="1:16" outlineLevel="1">
      <c r="A40" s="174" t="s">
        <v>428</v>
      </c>
      <c r="B40" s="229" t="s">
        <v>231</v>
      </c>
      <c r="C40" s="121"/>
      <c r="G40" s="134"/>
      <c r="H40" s="134"/>
      <c r="I40" s="257" t="e">
        <f t="shared" ref="I40:P40" si="25">I39/I28</f>
        <v>#DIV/0!</v>
      </c>
      <c r="J40" s="257" t="e">
        <f t="shared" si="25"/>
        <v>#DIV/0!</v>
      </c>
      <c r="K40" s="257" t="e">
        <f t="shared" si="25"/>
        <v>#DIV/0!</v>
      </c>
      <c r="L40" s="257" t="e">
        <f t="shared" si="25"/>
        <v>#DIV/0!</v>
      </c>
      <c r="M40" s="257" t="e">
        <f t="shared" si="25"/>
        <v>#DIV/0!</v>
      </c>
      <c r="N40" s="257" t="e">
        <f t="shared" si="25"/>
        <v>#DIV/0!</v>
      </c>
      <c r="O40" s="257" t="e">
        <f t="shared" si="25"/>
        <v>#DIV/0!</v>
      </c>
      <c r="P40" s="257" t="e">
        <f t="shared" si="25"/>
        <v>#DIV/0!</v>
      </c>
    </row>
    <row r="41" spans="1:16" outlineLevel="1">
      <c r="A41" s="133" t="s">
        <v>373</v>
      </c>
      <c r="B41" s="229"/>
      <c r="C41" s="121"/>
      <c r="G41" s="258"/>
      <c r="H41" s="258"/>
      <c r="I41" s="258"/>
    </row>
    <row r="42" spans="1:16" outlineLevel="1">
      <c r="A42" s="174" t="s">
        <v>410</v>
      </c>
      <c r="B42" s="229" t="s">
        <v>292</v>
      </c>
      <c r="C42" s="121"/>
      <c r="G42" s="256"/>
      <c r="H42" s="256"/>
      <c r="I42" s="256">
        <f>I30*I34/2</f>
        <v>0</v>
      </c>
      <c r="J42" s="256">
        <f t="shared" ref="J42:P42" si="26">J30*J34/2</f>
        <v>0</v>
      </c>
      <c r="K42" s="256">
        <f t="shared" si="26"/>
        <v>0</v>
      </c>
      <c r="L42" s="256">
        <f t="shared" si="26"/>
        <v>0</v>
      </c>
      <c r="M42" s="256">
        <f t="shared" si="26"/>
        <v>0</v>
      </c>
      <c r="N42" s="256">
        <f t="shared" si="26"/>
        <v>0</v>
      </c>
      <c r="O42" s="256">
        <f t="shared" si="26"/>
        <v>0</v>
      </c>
      <c r="P42" s="256">
        <f t="shared" si="26"/>
        <v>0</v>
      </c>
    </row>
    <row r="43" spans="1:16" outlineLevel="1">
      <c r="A43" s="174" t="s">
        <v>411</v>
      </c>
      <c r="B43" s="229" t="s">
        <v>292</v>
      </c>
      <c r="C43" s="121"/>
      <c r="G43" s="256"/>
      <c r="H43" s="256"/>
      <c r="I43" s="256">
        <f t="shared" ref="I43:P43" si="27">-I30*I35/2</f>
        <v>0</v>
      </c>
      <c r="J43" s="256">
        <f t="shared" si="27"/>
        <v>0</v>
      </c>
      <c r="K43" s="256">
        <f t="shared" si="27"/>
        <v>0</v>
      </c>
      <c r="L43" s="256">
        <f t="shared" si="27"/>
        <v>0</v>
      </c>
      <c r="M43" s="256">
        <f t="shared" si="27"/>
        <v>0</v>
      </c>
      <c r="N43" s="256">
        <f t="shared" si="27"/>
        <v>0</v>
      </c>
      <c r="O43" s="256">
        <f t="shared" si="27"/>
        <v>0</v>
      </c>
      <c r="P43" s="256">
        <f t="shared" si="27"/>
        <v>0</v>
      </c>
    </row>
    <row r="44" spans="1:16" outlineLevel="1">
      <c r="A44" s="183" t="s">
        <v>232</v>
      </c>
      <c r="B44" s="229" t="s">
        <v>292</v>
      </c>
      <c r="C44" s="121"/>
      <c r="G44" s="259"/>
      <c r="H44" s="259"/>
      <c r="I44" s="259">
        <f>SUM(I42:I43)</f>
        <v>0</v>
      </c>
      <c r="J44" s="259">
        <f t="shared" ref="J44:P44" si="28">SUM(J42:J43)</f>
        <v>0</v>
      </c>
      <c r="K44" s="259">
        <f t="shared" si="28"/>
        <v>0</v>
      </c>
      <c r="L44" s="259">
        <f t="shared" si="28"/>
        <v>0</v>
      </c>
      <c r="M44" s="259">
        <f t="shared" si="28"/>
        <v>0</v>
      </c>
      <c r="N44" s="259">
        <f t="shared" si="28"/>
        <v>0</v>
      </c>
      <c r="O44" s="259">
        <f t="shared" si="28"/>
        <v>0</v>
      </c>
      <c r="P44" s="259">
        <f t="shared" si="28"/>
        <v>0</v>
      </c>
    </row>
    <row r="45" spans="1:16" outlineLevel="1">
      <c r="A45" s="183" t="s">
        <v>233</v>
      </c>
      <c r="B45" s="253" t="s">
        <v>231</v>
      </c>
      <c r="C45" s="121"/>
      <c r="G45" s="128"/>
      <c r="H45" s="128"/>
      <c r="I45" s="128" t="e">
        <f>I44*2/I30</f>
        <v>#DIV/0!</v>
      </c>
      <c r="J45" s="128" t="e">
        <f t="shared" ref="J45:P45" si="29">J44*2/J30</f>
        <v>#DIV/0!</v>
      </c>
      <c r="K45" s="128" t="e">
        <f t="shared" si="29"/>
        <v>#DIV/0!</v>
      </c>
      <c r="L45" s="128" t="e">
        <f t="shared" si="29"/>
        <v>#DIV/0!</v>
      </c>
      <c r="M45" s="128" t="e">
        <f t="shared" si="29"/>
        <v>#DIV/0!</v>
      </c>
      <c r="N45" s="128" t="e">
        <f t="shared" si="29"/>
        <v>#DIV/0!</v>
      </c>
      <c r="O45" s="128" t="e">
        <f t="shared" si="29"/>
        <v>#DIV/0!</v>
      </c>
      <c r="P45" s="128" t="e">
        <f t="shared" si="29"/>
        <v>#DIV/0!</v>
      </c>
    </row>
    <row r="46" spans="1:16" outlineLevel="1">
      <c r="A46" s="174" t="s">
        <v>412</v>
      </c>
      <c r="B46" s="229" t="s">
        <v>292</v>
      </c>
      <c r="C46" s="121"/>
      <c r="G46" s="161"/>
      <c r="H46" s="161"/>
      <c r="I46" s="161">
        <f>-(I39-I37)</f>
        <v>0</v>
      </c>
      <c r="J46" s="161">
        <f>-(J39-J37)</f>
        <v>0</v>
      </c>
      <c r="K46" s="161">
        <f>-(K39-K37)</f>
        <v>0</v>
      </c>
      <c r="L46" s="161">
        <f t="shared" ref="L46:P46" si="30">-(L39-L37)</f>
        <v>0</v>
      </c>
      <c r="M46" s="161">
        <f t="shared" si="30"/>
        <v>0</v>
      </c>
      <c r="N46" s="161">
        <f t="shared" si="30"/>
        <v>0</v>
      </c>
      <c r="O46" s="161">
        <f t="shared" si="30"/>
        <v>0</v>
      </c>
      <c r="P46" s="161">
        <f t="shared" si="30"/>
        <v>0</v>
      </c>
    </row>
    <row r="47" spans="1:16" outlineLevel="1">
      <c r="A47" s="183" t="s">
        <v>413</v>
      </c>
      <c r="B47" s="229" t="s">
        <v>231</v>
      </c>
      <c r="C47" s="121"/>
      <c r="G47" s="255"/>
      <c r="H47" s="255"/>
      <c r="I47" s="255" t="e">
        <f>-I46/I30*2</f>
        <v>#DIV/0!</v>
      </c>
      <c r="J47" s="255" t="e">
        <f t="shared" ref="J47:P47" si="31">-J46/J30*2</f>
        <v>#DIV/0!</v>
      </c>
      <c r="K47" s="255" t="e">
        <f t="shared" si="31"/>
        <v>#DIV/0!</v>
      </c>
      <c r="L47" s="255" t="e">
        <f t="shared" si="31"/>
        <v>#DIV/0!</v>
      </c>
      <c r="M47" s="255" t="e">
        <f t="shared" si="31"/>
        <v>#DIV/0!</v>
      </c>
      <c r="N47" s="255" t="e">
        <f t="shared" si="31"/>
        <v>#DIV/0!</v>
      </c>
      <c r="O47" s="255" t="e">
        <f t="shared" si="31"/>
        <v>#DIV/0!</v>
      </c>
      <c r="P47" s="255" t="e">
        <f t="shared" si="31"/>
        <v>#DIV/0!</v>
      </c>
    </row>
    <row r="48" spans="1:16" outlineLevel="1">
      <c r="A48" s="183" t="s">
        <v>414</v>
      </c>
      <c r="B48" s="229" t="s">
        <v>292</v>
      </c>
      <c r="C48" s="121"/>
      <c r="G48" s="175"/>
      <c r="H48" s="175"/>
      <c r="I48" s="175">
        <f>I44+I46</f>
        <v>0</v>
      </c>
      <c r="J48" s="175">
        <f>J44+J46</f>
        <v>0</v>
      </c>
      <c r="K48" s="175">
        <f>K44+K46</f>
        <v>0</v>
      </c>
      <c r="L48" s="175">
        <f t="shared" ref="L48:P48" si="32">L44+L46</f>
        <v>0</v>
      </c>
      <c r="M48" s="175">
        <f t="shared" si="32"/>
        <v>0</v>
      </c>
      <c r="N48" s="175">
        <f t="shared" si="32"/>
        <v>0</v>
      </c>
      <c r="O48" s="175">
        <f t="shared" si="32"/>
        <v>0</v>
      </c>
      <c r="P48" s="175">
        <f t="shared" si="32"/>
        <v>0</v>
      </c>
    </row>
    <row r="49" spans="1:16" outlineLevel="1">
      <c r="A49" s="183" t="s">
        <v>237</v>
      </c>
      <c r="B49" s="229" t="s">
        <v>292</v>
      </c>
      <c r="C49" s="121"/>
      <c r="G49" s="175"/>
      <c r="H49" s="175"/>
      <c r="I49" s="175">
        <f>I48</f>
        <v>0</v>
      </c>
      <c r="J49" s="175">
        <f t="shared" ref="J49:P49" si="33">J48</f>
        <v>0</v>
      </c>
      <c r="K49" s="175">
        <f t="shared" si="33"/>
        <v>0</v>
      </c>
      <c r="L49" s="175">
        <f t="shared" si="33"/>
        <v>0</v>
      </c>
      <c r="M49" s="175">
        <f t="shared" si="33"/>
        <v>0</v>
      </c>
      <c r="N49" s="175">
        <f t="shared" si="33"/>
        <v>0</v>
      </c>
      <c r="O49" s="175">
        <f t="shared" si="33"/>
        <v>0</v>
      </c>
      <c r="P49" s="175">
        <f t="shared" si="33"/>
        <v>0</v>
      </c>
    </row>
    <row r="50" spans="1:16" outlineLevel="1">
      <c r="A50" s="174" t="s">
        <v>416</v>
      </c>
      <c r="B50" s="229" t="s">
        <v>292</v>
      </c>
      <c r="C50" s="121"/>
      <c r="G50" s="175"/>
      <c r="H50" s="175"/>
      <c r="I50" s="210">
        <v>3.5</v>
      </c>
      <c r="J50" s="210">
        <f>I50*(1+5%)</f>
        <v>3.6750000000000003</v>
      </c>
      <c r="K50" s="210">
        <f t="shared" ref="K50:P50" si="34">J50*(1+5%)</f>
        <v>3.8587500000000006</v>
      </c>
      <c r="L50" s="210">
        <f t="shared" si="34"/>
        <v>4.0516875000000008</v>
      </c>
      <c r="M50" s="210">
        <f t="shared" si="34"/>
        <v>4.2542718750000006</v>
      </c>
      <c r="N50" s="210">
        <f t="shared" si="34"/>
        <v>4.4669854687500008</v>
      </c>
      <c r="O50" s="210">
        <f t="shared" si="34"/>
        <v>4.6903347421875008</v>
      </c>
      <c r="P50" s="210">
        <f t="shared" si="34"/>
        <v>4.9248514792968763</v>
      </c>
    </row>
    <row r="51" spans="1:16" outlineLevel="1">
      <c r="A51" s="183" t="s">
        <v>417</v>
      </c>
      <c r="B51" s="229" t="s">
        <v>292</v>
      </c>
      <c r="C51" s="121"/>
      <c r="G51" s="175"/>
      <c r="H51" s="175"/>
      <c r="I51" s="161">
        <f t="shared" ref="I51:P51" si="35">-I18*I50</f>
        <v>0</v>
      </c>
      <c r="J51" s="161">
        <f t="shared" si="35"/>
        <v>0</v>
      </c>
      <c r="K51" s="161">
        <f t="shared" si="35"/>
        <v>0</v>
      </c>
      <c r="L51" s="161">
        <f t="shared" si="35"/>
        <v>0</v>
      </c>
      <c r="M51" s="161">
        <f t="shared" si="35"/>
        <v>0</v>
      </c>
      <c r="N51" s="161">
        <f t="shared" si="35"/>
        <v>0</v>
      </c>
      <c r="O51" s="161">
        <f t="shared" si="35"/>
        <v>0</v>
      </c>
      <c r="P51" s="161">
        <f t="shared" si="35"/>
        <v>0</v>
      </c>
    </row>
    <row r="52" spans="1:16" outlineLevel="1">
      <c r="A52" s="174" t="s">
        <v>418</v>
      </c>
      <c r="B52" s="229" t="s">
        <v>230</v>
      </c>
      <c r="C52" s="121"/>
      <c r="G52" s="175"/>
      <c r="H52" s="175"/>
      <c r="I52" s="161">
        <f t="shared" ref="I52:P52" si="36">I18</f>
        <v>0</v>
      </c>
      <c r="J52" s="161">
        <f t="shared" si="36"/>
        <v>0</v>
      </c>
      <c r="K52" s="161">
        <f t="shared" si="36"/>
        <v>0</v>
      </c>
      <c r="L52" s="161">
        <f t="shared" si="36"/>
        <v>0</v>
      </c>
      <c r="M52" s="161">
        <f t="shared" si="36"/>
        <v>0</v>
      </c>
      <c r="N52" s="161">
        <f t="shared" si="36"/>
        <v>0</v>
      </c>
      <c r="O52" s="161">
        <f t="shared" si="36"/>
        <v>0</v>
      </c>
      <c r="P52" s="161">
        <f t="shared" si="36"/>
        <v>0</v>
      </c>
    </row>
    <row r="53" spans="1:16" outlineLevel="1">
      <c r="A53" s="174" t="s">
        <v>419</v>
      </c>
      <c r="B53" s="229" t="s">
        <v>292</v>
      </c>
      <c r="C53" s="121"/>
      <c r="G53" s="175"/>
      <c r="H53" s="175"/>
      <c r="I53" s="210">
        <v>5</v>
      </c>
      <c r="J53" s="210">
        <v>5</v>
      </c>
      <c r="K53" s="210">
        <v>5</v>
      </c>
      <c r="L53" s="210">
        <v>5</v>
      </c>
      <c r="M53" s="210">
        <v>5</v>
      </c>
      <c r="N53" s="210">
        <v>5</v>
      </c>
      <c r="O53" s="210">
        <v>5</v>
      </c>
      <c r="P53" s="210">
        <v>5</v>
      </c>
    </row>
    <row r="54" spans="1:16" outlineLevel="1">
      <c r="A54" s="183" t="s">
        <v>420</v>
      </c>
      <c r="B54" s="229" t="s">
        <v>292</v>
      </c>
      <c r="C54" s="121"/>
      <c r="G54" s="259"/>
      <c r="H54" s="259"/>
      <c r="I54" s="259">
        <f>-I52*I53</f>
        <v>0</v>
      </c>
      <c r="J54" s="259">
        <f t="shared" ref="J54:P54" si="37">-J52*J53</f>
        <v>0</v>
      </c>
      <c r="K54" s="259">
        <f t="shared" si="37"/>
        <v>0</v>
      </c>
      <c r="L54" s="259">
        <f t="shared" si="37"/>
        <v>0</v>
      </c>
      <c r="M54" s="259">
        <f t="shared" si="37"/>
        <v>0</v>
      </c>
      <c r="N54" s="259">
        <f t="shared" si="37"/>
        <v>0</v>
      </c>
      <c r="O54" s="259">
        <f t="shared" si="37"/>
        <v>0</v>
      </c>
      <c r="P54" s="259">
        <f t="shared" si="37"/>
        <v>0</v>
      </c>
    </row>
    <row r="55" spans="1:16" outlineLevel="1">
      <c r="A55" s="174" t="s">
        <v>392</v>
      </c>
      <c r="B55" s="229" t="s">
        <v>292</v>
      </c>
      <c r="C55" s="121"/>
      <c r="G55" s="161"/>
      <c r="H55" s="161"/>
      <c r="I55" s="161">
        <f>I49+I51+I54</f>
        <v>0</v>
      </c>
      <c r="J55" s="161">
        <f t="shared" ref="J55:P55" si="38">J49+J51+J54</f>
        <v>0</v>
      </c>
      <c r="K55" s="161">
        <f t="shared" si="38"/>
        <v>0</v>
      </c>
      <c r="L55" s="161">
        <f t="shared" si="38"/>
        <v>0</v>
      </c>
      <c r="M55" s="161">
        <f t="shared" si="38"/>
        <v>0</v>
      </c>
      <c r="N55" s="161">
        <f t="shared" si="38"/>
        <v>0</v>
      </c>
      <c r="O55" s="161">
        <f t="shared" si="38"/>
        <v>0</v>
      </c>
      <c r="P55" s="161">
        <f t="shared" si="38"/>
        <v>0</v>
      </c>
    </row>
    <row r="56" spans="1:16" outlineLevel="1">
      <c r="A56" s="174" t="s">
        <v>235</v>
      </c>
      <c r="B56" s="229" t="s">
        <v>292</v>
      </c>
      <c r="C56" s="121"/>
      <c r="G56" s="161"/>
      <c r="H56" s="161"/>
      <c r="I56" s="161">
        <f>H56+I55</f>
        <v>0</v>
      </c>
      <c r="J56" s="161">
        <f>I56+J55</f>
        <v>0</v>
      </c>
      <c r="K56" s="161">
        <f t="shared" ref="K56:O56" si="39">J56+K55</f>
        <v>0</v>
      </c>
      <c r="L56" s="161">
        <f t="shared" si="39"/>
        <v>0</v>
      </c>
      <c r="M56" s="161">
        <f t="shared" si="39"/>
        <v>0</v>
      </c>
      <c r="N56" s="161">
        <f t="shared" si="39"/>
        <v>0</v>
      </c>
      <c r="O56" s="161">
        <f t="shared" si="39"/>
        <v>0</v>
      </c>
      <c r="P56" s="161">
        <f>O56+P55</f>
        <v>0</v>
      </c>
    </row>
    <row r="57" spans="1:16" outlineLevel="1">
      <c r="A57" s="183" t="s">
        <v>236</v>
      </c>
      <c r="B57" s="253" t="s">
        <v>231</v>
      </c>
      <c r="C57" s="121"/>
      <c r="G57" s="128"/>
      <c r="H57" s="128"/>
      <c r="I57" s="128"/>
      <c r="J57" s="128"/>
      <c r="K57" s="128"/>
      <c r="L57" s="128"/>
      <c r="M57" s="128"/>
      <c r="N57" s="128"/>
      <c r="O57" s="128"/>
      <c r="P57" s="128"/>
    </row>
    <row r="58" spans="1:16" outlineLevel="1">
      <c r="A58" s="183" t="s">
        <v>374</v>
      </c>
      <c r="B58" s="253" t="s">
        <v>231</v>
      </c>
      <c r="C58" s="121"/>
      <c r="G58" s="128"/>
      <c r="H58" s="128"/>
      <c r="I58" s="128" t="e">
        <f t="shared" ref="I58:P58" si="40">-(I51+I54)/(I49-I46)</f>
        <v>#DIV/0!</v>
      </c>
      <c r="J58" s="128" t="e">
        <f t="shared" si="40"/>
        <v>#DIV/0!</v>
      </c>
      <c r="K58" s="128" t="e">
        <f t="shared" si="40"/>
        <v>#DIV/0!</v>
      </c>
      <c r="L58" s="128" t="e">
        <f t="shared" si="40"/>
        <v>#DIV/0!</v>
      </c>
      <c r="M58" s="128" t="e">
        <f t="shared" si="40"/>
        <v>#DIV/0!</v>
      </c>
      <c r="N58" s="128" t="e">
        <f t="shared" si="40"/>
        <v>#DIV/0!</v>
      </c>
      <c r="O58" s="128" t="e">
        <f t="shared" si="40"/>
        <v>#DIV/0!</v>
      </c>
      <c r="P58" s="128" t="e">
        <f t="shared" si="40"/>
        <v>#DIV/0!</v>
      </c>
    </row>
    <row r="59" spans="1:16" outlineLevel="1">
      <c r="A59" s="174" t="s">
        <v>456</v>
      </c>
      <c r="B59" s="229" t="s">
        <v>293</v>
      </c>
      <c r="C59" s="121"/>
      <c r="G59" s="161"/>
      <c r="H59" s="161"/>
      <c r="I59" s="161">
        <f>I55/AVERAGE('Funnel QH'!H30:I30)</f>
        <v>0</v>
      </c>
      <c r="J59" s="161">
        <f>J55/AVERAGE('Funnel QH'!I30:J30)</f>
        <v>0</v>
      </c>
      <c r="K59" s="161">
        <f>K55/AVERAGE('Funnel QH'!J30:K30)</f>
        <v>0</v>
      </c>
      <c r="L59" s="161">
        <f>L55/AVERAGE('Funnel QH'!K30:L30)</f>
        <v>0</v>
      </c>
      <c r="M59" s="161">
        <f>M55/AVERAGE('Funnel QH'!L30:M30)</f>
        <v>0</v>
      </c>
      <c r="N59" s="161">
        <f>N55/AVERAGE('Funnel QH'!M30:N30)</f>
        <v>0</v>
      </c>
      <c r="O59" s="161">
        <f>O55/AVERAGE('Funnel QH'!N30:O30)</f>
        <v>0</v>
      </c>
      <c r="P59" s="161">
        <f>P55/AVERAGE('Funnel QH'!O30:P30)</f>
        <v>0</v>
      </c>
    </row>
    <row r="60" spans="1:16" outlineLevel="1">
      <c r="A60" s="122" t="s">
        <v>380</v>
      </c>
      <c r="B60" s="138" t="s">
        <v>390</v>
      </c>
      <c r="G60" s="238"/>
      <c r="H60" s="238"/>
      <c r="I60" s="238" t="e">
        <f t="shared" ref="I60:P60" si="41">I59*2/I31</f>
        <v>#DIV/0!</v>
      </c>
      <c r="J60" s="238" t="e">
        <f t="shared" si="41"/>
        <v>#DIV/0!</v>
      </c>
      <c r="K60" s="238" t="e">
        <f t="shared" si="41"/>
        <v>#DIV/0!</v>
      </c>
      <c r="L60" s="238" t="e">
        <f t="shared" si="41"/>
        <v>#DIV/0!</v>
      </c>
      <c r="M60" s="238" t="e">
        <f t="shared" si="41"/>
        <v>#DIV/0!</v>
      </c>
      <c r="N60" s="238" t="e">
        <f t="shared" si="41"/>
        <v>#DIV/0!</v>
      </c>
      <c r="O60" s="238" t="e">
        <f t="shared" si="41"/>
        <v>#DIV/0!</v>
      </c>
      <c r="P60" s="238" t="e">
        <f t="shared" si="41"/>
        <v>#DIV/0!</v>
      </c>
    </row>
    <row r="61" spans="1:16">
      <c r="A61" s="183"/>
      <c r="B61" s="253"/>
      <c r="C61" s="121"/>
      <c r="G61" s="128"/>
      <c r="H61" s="128"/>
      <c r="I61" s="128"/>
      <c r="J61" s="128"/>
      <c r="K61" s="128"/>
      <c r="L61" s="128"/>
      <c r="M61" s="128"/>
      <c r="N61" s="128"/>
      <c r="O61" s="128"/>
      <c r="P61" s="128"/>
    </row>
    <row r="62" spans="1:16" s="119" customFormat="1" ht="12.6">
      <c r="A62" s="132" t="s">
        <v>460</v>
      </c>
      <c r="B62" s="116" t="s">
        <v>228</v>
      </c>
      <c r="C62" s="117" t="s">
        <v>229</v>
      </c>
      <c r="D62" s="117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</row>
    <row r="63" spans="1:16" outlineLevel="1">
      <c r="A63" s="174" t="s">
        <v>457</v>
      </c>
      <c r="B63" s="229" t="s">
        <v>231</v>
      </c>
      <c r="C63" s="121"/>
      <c r="G63" s="175"/>
      <c r="H63" s="175"/>
      <c r="I63" s="137">
        <v>0.01</v>
      </c>
      <c r="J63" s="137">
        <v>0.01</v>
      </c>
      <c r="K63" s="137">
        <v>0.01</v>
      </c>
      <c r="L63" s="137">
        <v>0.01</v>
      </c>
      <c r="M63" s="137">
        <v>0.01</v>
      </c>
      <c r="N63" s="137">
        <v>0.01</v>
      </c>
      <c r="O63" s="137">
        <v>0.01</v>
      </c>
      <c r="P63" s="137">
        <v>0.01</v>
      </c>
    </row>
    <row r="64" spans="1:16" outlineLevel="1">
      <c r="A64" s="174" t="s">
        <v>458</v>
      </c>
      <c r="B64" s="229" t="s">
        <v>292</v>
      </c>
      <c r="C64" s="121"/>
      <c r="G64" s="175"/>
      <c r="H64" s="175"/>
      <c r="I64" s="161">
        <f>I12*I63</f>
        <v>0</v>
      </c>
      <c r="J64" s="161">
        <f t="shared" ref="J64:P64" si="42">J12*J63</f>
        <v>0</v>
      </c>
      <c r="K64" s="161">
        <f t="shared" si="42"/>
        <v>0</v>
      </c>
      <c r="L64" s="161">
        <f t="shared" si="42"/>
        <v>0</v>
      </c>
      <c r="M64" s="161">
        <f t="shared" si="42"/>
        <v>0</v>
      </c>
      <c r="N64" s="161">
        <f t="shared" si="42"/>
        <v>0</v>
      </c>
      <c r="O64" s="161">
        <f t="shared" si="42"/>
        <v>0</v>
      </c>
      <c r="P64" s="161">
        <f t="shared" si="42"/>
        <v>0</v>
      </c>
    </row>
    <row r="65" spans="1:16" outlineLevel="1">
      <c r="A65" s="174" t="s">
        <v>458</v>
      </c>
      <c r="B65" s="229" t="s">
        <v>293</v>
      </c>
      <c r="C65" s="121"/>
      <c r="G65" s="175"/>
      <c r="H65" s="175"/>
      <c r="I65" s="161">
        <f>I64/'Funnel QH'!I30</f>
        <v>0</v>
      </c>
      <c r="J65" s="161">
        <f>J64/'Funnel QH'!J30</f>
        <v>0</v>
      </c>
      <c r="K65" s="161">
        <f>K64/'Funnel QH'!K30</f>
        <v>0</v>
      </c>
      <c r="L65" s="161">
        <f>L64/'Funnel QH'!L30</f>
        <v>0</v>
      </c>
      <c r="M65" s="161">
        <f>M64/'Funnel QH'!M30</f>
        <v>0</v>
      </c>
      <c r="N65" s="161">
        <f>N64/'Funnel QH'!N30</f>
        <v>0</v>
      </c>
      <c r="O65" s="161">
        <f>O64/'Funnel QH'!O30</f>
        <v>0</v>
      </c>
      <c r="P65" s="161">
        <f>P64/'Funnel QH'!P30</f>
        <v>0</v>
      </c>
    </row>
    <row r="66" spans="1:16">
      <c r="A66" s="174"/>
      <c r="B66" s="229"/>
      <c r="C66" s="121"/>
      <c r="G66" s="175"/>
      <c r="H66" s="175"/>
      <c r="I66" s="161"/>
      <c r="J66" s="161"/>
      <c r="K66" s="161"/>
      <c r="L66" s="161"/>
      <c r="M66" s="161"/>
      <c r="N66" s="161"/>
      <c r="O66" s="161"/>
      <c r="P66" s="161"/>
    </row>
    <row r="67" spans="1:16">
      <c r="I67" s="238"/>
      <c r="J67" s="238"/>
      <c r="K67" s="238"/>
      <c r="L67" s="238"/>
      <c r="M67" s="238"/>
      <c r="N67" s="238"/>
      <c r="O67" s="238"/>
      <c r="P67" s="238"/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7" tint="0.79998168889431442"/>
    <outlinePr summaryBelow="0"/>
  </sheetPr>
  <dimension ref="A1:CF100"/>
  <sheetViews>
    <sheetView showGridLines="0" zoomScale="110" zoomScaleNormal="110" workbookViewId="0">
      <pane xSplit="3" ySplit="3" topLeftCell="G4" activePane="bottomRight" state="frozen"/>
      <selection pane="topRight" activeCell="D1" sqref="D1"/>
      <selection pane="bottomLeft" activeCell="A4" sqref="A4"/>
      <selection pane="bottomRight" activeCell="G5" sqref="G5"/>
    </sheetView>
  </sheetViews>
  <sheetFormatPr defaultColWidth="9.109375" defaultRowHeight="13.8" outlineLevelRow="1" outlineLevelCol="1"/>
  <cols>
    <col min="1" max="1" width="68.109375" style="4" bestFit="1" customWidth="1"/>
    <col min="2" max="2" width="9.109375" style="13"/>
    <col min="3" max="3" width="9.109375" style="4"/>
    <col min="4" max="15" width="9.109375" style="4" customWidth="1" outlineLevel="1"/>
    <col min="16" max="16" width="12.6640625" style="4" customWidth="1"/>
    <col min="17" max="28" width="9.109375" style="4" hidden="1" customWidth="1" outlineLevel="1"/>
    <col min="29" max="29" width="12.6640625" style="4" customWidth="1" collapsed="1"/>
    <col min="30" max="41" width="9.109375" style="4" hidden="1" customWidth="1" outlineLevel="1"/>
    <col min="42" max="42" width="12.6640625" style="4" customWidth="1" collapsed="1"/>
    <col min="43" max="54" width="9.109375" style="4" hidden="1" customWidth="1" outlineLevel="1"/>
    <col min="55" max="55" width="12.6640625" style="4" customWidth="1" collapsed="1"/>
    <col min="56" max="67" width="9.109375" style="4" hidden="1" customWidth="1" outlineLevel="1"/>
    <col min="68" max="68" width="12.6640625" style="4" customWidth="1" collapsed="1"/>
    <col min="69" max="81" width="0" style="4" hidden="1" customWidth="1"/>
    <col min="82" max="82" width="9.109375" style="4"/>
    <col min="83" max="83" width="68.109375" style="4" bestFit="1" customWidth="1"/>
    <col min="84" max="84" width="9.109375" style="13"/>
    <col min="85" max="16384" width="9.109375" style="4"/>
  </cols>
  <sheetData>
    <row r="1" spans="1:84">
      <c r="A1" s="4" t="s">
        <v>10</v>
      </c>
      <c r="D1" s="4">
        <f>P1</f>
        <v>500</v>
      </c>
      <c r="E1" s="4">
        <f>D1</f>
        <v>500</v>
      </c>
      <c r="F1" s="4">
        <f t="shared" ref="F1:O1" si="0">E1</f>
        <v>500</v>
      </c>
      <c r="G1" s="4">
        <f t="shared" si="0"/>
        <v>500</v>
      </c>
      <c r="H1" s="4">
        <f t="shared" si="0"/>
        <v>500</v>
      </c>
      <c r="I1" s="4">
        <f t="shared" si="0"/>
        <v>500</v>
      </c>
      <c r="J1" s="4">
        <f t="shared" si="0"/>
        <v>500</v>
      </c>
      <c r="K1" s="4">
        <f t="shared" si="0"/>
        <v>500</v>
      </c>
      <c r="L1" s="4">
        <f t="shared" si="0"/>
        <v>500</v>
      </c>
      <c r="M1" s="4">
        <f t="shared" si="0"/>
        <v>500</v>
      </c>
      <c r="N1" s="4">
        <f t="shared" si="0"/>
        <v>500</v>
      </c>
      <c r="O1" s="4">
        <f t="shared" si="0"/>
        <v>500</v>
      </c>
      <c r="P1" s="349">
        <f>[11]Воронка!E5</f>
        <v>500</v>
      </c>
      <c r="Q1" s="4">
        <f>AC1</f>
        <v>500</v>
      </c>
      <c r="R1" s="4">
        <f>Q1</f>
        <v>500</v>
      </c>
      <c r="S1" s="4">
        <f t="shared" ref="S1:AB1" si="1">R1</f>
        <v>500</v>
      </c>
      <c r="T1" s="4">
        <f t="shared" si="1"/>
        <v>500</v>
      </c>
      <c r="U1" s="4">
        <f t="shared" si="1"/>
        <v>500</v>
      </c>
      <c r="V1" s="4">
        <f t="shared" si="1"/>
        <v>500</v>
      </c>
      <c r="W1" s="4">
        <f t="shared" si="1"/>
        <v>500</v>
      </c>
      <c r="X1" s="4">
        <f t="shared" si="1"/>
        <v>500</v>
      </c>
      <c r="Y1" s="4">
        <f t="shared" si="1"/>
        <v>500</v>
      </c>
      <c r="Z1" s="4">
        <f t="shared" si="1"/>
        <v>500</v>
      </c>
      <c r="AA1" s="4">
        <f t="shared" si="1"/>
        <v>500</v>
      </c>
      <c r="AB1" s="4">
        <f t="shared" si="1"/>
        <v>500</v>
      </c>
      <c r="AC1" s="349">
        <f>P1</f>
        <v>500</v>
      </c>
      <c r="AD1" s="4">
        <f>AP1</f>
        <v>500</v>
      </c>
      <c r="AE1" s="4">
        <f>AD1</f>
        <v>500</v>
      </c>
      <c r="AF1" s="4">
        <f t="shared" ref="AF1:AO1" si="2">AE1</f>
        <v>500</v>
      </c>
      <c r="AG1" s="4">
        <f t="shared" si="2"/>
        <v>500</v>
      </c>
      <c r="AH1" s="4">
        <f t="shared" si="2"/>
        <v>500</v>
      </c>
      <c r="AI1" s="4">
        <f t="shared" si="2"/>
        <v>500</v>
      </c>
      <c r="AJ1" s="4">
        <f t="shared" si="2"/>
        <v>500</v>
      </c>
      <c r="AK1" s="4">
        <f t="shared" si="2"/>
        <v>500</v>
      </c>
      <c r="AL1" s="4">
        <f t="shared" si="2"/>
        <v>500</v>
      </c>
      <c r="AM1" s="4">
        <f t="shared" si="2"/>
        <v>500</v>
      </c>
      <c r="AN1" s="4">
        <f t="shared" si="2"/>
        <v>500</v>
      </c>
      <c r="AO1" s="4">
        <f t="shared" si="2"/>
        <v>500</v>
      </c>
      <c r="AP1" s="349">
        <f>AC1</f>
        <v>500</v>
      </c>
      <c r="AQ1" s="4">
        <f>BC1</f>
        <v>500</v>
      </c>
      <c r="AR1" s="4">
        <f>AQ1</f>
        <v>500</v>
      </c>
      <c r="AS1" s="4">
        <f t="shared" ref="AS1:BB1" si="3">AR1</f>
        <v>500</v>
      </c>
      <c r="AT1" s="4">
        <f t="shared" si="3"/>
        <v>500</v>
      </c>
      <c r="AU1" s="4">
        <f t="shared" si="3"/>
        <v>500</v>
      </c>
      <c r="AV1" s="4">
        <f t="shared" si="3"/>
        <v>500</v>
      </c>
      <c r="AW1" s="4">
        <f t="shared" si="3"/>
        <v>500</v>
      </c>
      <c r="AX1" s="4">
        <f t="shared" si="3"/>
        <v>500</v>
      </c>
      <c r="AY1" s="4">
        <f t="shared" si="3"/>
        <v>500</v>
      </c>
      <c r="AZ1" s="4">
        <f t="shared" si="3"/>
        <v>500</v>
      </c>
      <c r="BA1" s="4">
        <f t="shared" si="3"/>
        <v>500</v>
      </c>
      <c r="BB1" s="4">
        <f t="shared" si="3"/>
        <v>500</v>
      </c>
      <c r="BC1" s="349">
        <f>AP1</f>
        <v>500</v>
      </c>
      <c r="BD1" s="4">
        <f>BP1</f>
        <v>500</v>
      </c>
      <c r="BE1" s="4">
        <f>BD1</f>
        <v>500</v>
      </c>
      <c r="BF1" s="4">
        <f t="shared" ref="BF1:BO1" si="4">BE1</f>
        <v>500</v>
      </c>
      <c r="BG1" s="4">
        <f t="shared" si="4"/>
        <v>500</v>
      </c>
      <c r="BH1" s="4">
        <f t="shared" si="4"/>
        <v>500</v>
      </c>
      <c r="BI1" s="4">
        <f t="shared" si="4"/>
        <v>500</v>
      </c>
      <c r="BJ1" s="4">
        <f t="shared" si="4"/>
        <v>500</v>
      </c>
      <c r="BK1" s="4">
        <f t="shared" si="4"/>
        <v>500</v>
      </c>
      <c r="BL1" s="4">
        <f t="shared" si="4"/>
        <v>500</v>
      </c>
      <c r="BM1" s="4">
        <f t="shared" si="4"/>
        <v>500</v>
      </c>
      <c r="BN1" s="4">
        <f t="shared" si="4"/>
        <v>500</v>
      </c>
      <c r="BO1" s="4">
        <f t="shared" si="4"/>
        <v>500</v>
      </c>
      <c r="BP1" s="349">
        <f>BC1</f>
        <v>500</v>
      </c>
    </row>
    <row r="2" spans="1:84" s="6" customFormat="1">
      <c r="B2" s="13"/>
      <c r="D2" s="6">
        <v>31</v>
      </c>
      <c r="E2" s="6">
        <v>28</v>
      </c>
      <c r="F2" s="6">
        <v>31</v>
      </c>
      <c r="G2" s="6">
        <v>30</v>
      </c>
      <c r="H2" s="6">
        <v>31</v>
      </c>
      <c r="I2" s="6">
        <v>30</v>
      </c>
      <c r="J2" s="6">
        <v>31</v>
      </c>
      <c r="K2" s="6">
        <v>31</v>
      </c>
      <c r="L2" s="6">
        <v>30</v>
      </c>
      <c r="M2" s="6">
        <v>31</v>
      </c>
      <c r="N2" s="6">
        <v>30</v>
      </c>
      <c r="O2" s="6">
        <v>31</v>
      </c>
      <c r="P2" s="343">
        <f>SUM(D2:O2)</f>
        <v>365</v>
      </c>
      <c r="Q2" s="6">
        <v>31</v>
      </c>
      <c r="R2" s="6">
        <v>28</v>
      </c>
      <c r="S2" s="6">
        <v>31</v>
      </c>
      <c r="T2" s="6">
        <v>30</v>
      </c>
      <c r="U2" s="6">
        <v>31</v>
      </c>
      <c r="V2" s="6">
        <v>30</v>
      </c>
      <c r="W2" s="6">
        <v>31</v>
      </c>
      <c r="X2" s="6">
        <v>31</v>
      </c>
      <c r="Y2" s="6">
        <v>30</v>
      </c>
      <c r="Z2" s="6">
        <v>31</v>
      </c>
      <c r="AA2" s="6">
        <v>30</v>
      </c>
      <c r="AB2" s="6">
        <v>31</v>
      </c>
      <c r="AC2" s="343">
        <f>SUM(Q2:AB2)</f>
        <v>365</v>
      </c>
      <c r="AD2" s="6">
        <v>31</v>
      </c>
      <c r="AE2" s="6">
        <v>28</v>
      </c>
      <c r="AF2" s="6">
        <v>31</v>
      </c>
      <c r="AG2" s="6">
        <v>30</v>
      </c>
      <c r="AH2" s="6">
        <v>31</v>
      </c>
      <c r="AI2" s="6">
        <v>30</v>
      </c>
      <c r="AJ2" s="6">
        <v>31</v>
      </c>
      <c r="AK2" s="6">
        <v>31</v>
      </c>
      <c r="AL2" s="6">
        <v>30</v>
      </c>
      <c r="AM2" s="6">
        <v>31</v>
      </c>
      <c r="AN2" s="6">
        <v>30</v>
      </c>
      <c r="AO2" s="6">
        <v>31</v>
      </c>
      <c r="AP2" s="343">
        <f>SUM(AD2:AO2)</f>
        <v>365</v>
      </c>
      <c r="AQ2" s="6">
        <v>31</v>
      </c>
      <c r="AR2" s="6">
        <v>28</v>
      </c>
      <c r="AS2" s="6">
        <v>31</v>
      </c>
      <c r="AT2" s="6">
        <v>30</v>
      </c>
      <c r="AU2" s="6">
        <v>31</v>
      </c>
      <c r="AV2" s="6">
        <v>30</v>
      </c>
      <c r="AW2" s="6">
        <v>31</v>
      </c>
      <c r="AX2" s="6">
        <v>31</v>
      </c>
      <c r="AY2" s="6">
        <v>30</v>
      </c>
      <c r="AZ2" s="6">
        <v>31</v>
      </c>
      <c r="BA2" s="6">
        <v>30</v>
      </c>
      <c r="BB2" s="6">
        <v>31</v>
      </c>
      <c r="BC2" s="343">
        <f>SUM(AQ2:BB2)</f>
        <v>365</v>
      </c>
      <c r="BD2" s="6">
        <v>31</v>
      </c>
      <c r="BE2" s="6">
        <v>28</v>
      </c>
      <c r="BF2" s="6">
        <v>31</v>
      </c>
      <c r="BG2" s="6">
        <v>30</v>
      </c>
      <c r="BH2" s="6">
        <v>31</v>
      </c>
      <c r="BI2" s="6">
        <v>30</v>
      </c>
      <c r="BJ2" s="6">
        <v>31</v>
      </c>
      <c r="BK2" s="6">
        <v>31</v>
      </c>
      <c r="BL2" s="6">
        <v>30</v>
      </c>
      <c r="BM2" s="6">
        <v>31</v>
      </c>
      <c r="BN2" s="6">
        <v>30</v>
      </c>
      <c r="BO2" s="6">
        <v>31</v>
      </c>
      <c r="BP2" s="343">
        <f>SUM(BD2:BO2)</f>
        <v>365</v>
      </c>
      <c r="CF2" s="13"/>
    </row>
    <row r="3" spans="1:84" s="41" customFormat="1" ht="15.6">
      <c r="A3" s="606"/>
      <c r="B3" s="607" t="s">
        <v>665</v>
      </c>
      <c r="C3" s="607"/>
      <c r="D3" s="606" t="s">
        <v>107</v>
      </c>
      <c r="E3" s="606" t="s">
        <v>135</v>
      </c>
      <c r="F3" s="606" t="s">
        <v>136</v>
      </c>
      <c r="G3" s="606" t="s">
        <v>137</v>
      </c>
      <c r="H3" s="606" t="s">
        <v>138</v>
      </c>
      <c r="I3" s="606" t="s">
        <v>139</v>
      </c>
      <c r="J3" s="606" t="s">
        <v>140</v>
      </c>
      <c r="K3" s="606" t="s">
        <v>141</v>
      </c>
      <c r="L3" s="606" t="s">
        <v>142</v>
      </c>
      <c r="M3" s="606" t="s">
        <v>143</v>
      </c>
      <c r="N3" s="606" t="s">
        <v>144</v>
      </c>
      <c r="O3" s="606" t="s">
        <v>145</v>
      </c>
      <c r="P3" s="608" t="s">
        <v>146</v>
      </c>
      <c r="Q3" s="606" t="s">
        <v>107</v>
      </c>
      <c r="R3" s="606" t="s">
        <v>135</v>
      </c>
      <c r="S3" s="606" t="s">
        <v>136</v>
      </c>
      <c r="T3" s="606" t="s">
        <v>137</v>
      </c>
      <c r="U3" s="606" t="s">
        <v>138</v>
      </c>
      <c r="V3" s="606" t="s">
        <v>139</v>
      </c>
      <c r="W3" s="606" t="s">
        <v>140</v>
      </c>
      <c r="X3" s="606" t="s">
        <v>141</v>
      </c>
      <c r="Y3" s="606" t="s">
        <v>142</v>
      </c>
      <c r="Z3" s="606" t="s">
        <v>143</v>
      </c>
      <c r="AA3" s="606" t="s">
        <v>144</v>
      </c>
      <c r="AB3" s="606" t="s">
        <v>145</v>
      </c>
      <c r="AC3" s="608" t="s">
        <v>151</v>
      </c>
      <c r="AD3" s="606" t="s">
        <v>107</v>
      </c>
      <c r="AE3" s="606" t="s">
        <v>135</v>
      </c>
      <c r="AF3" s="606" t="s">
        <v>136</v>
      </c>
      <c r="AG3" s="606" t="s">
        <v>137</v>
      </c>
      <c r="AH3" s="606" t="s">
        <v>138</v>
      </c>
      <c r="AI3" s="606" t="s">
        <v>139</v>
      </c>
      <c r="AJ3" s="606" t="s">
        <v>140</v>
      </c>
      <c r="AK3" s="606" t="s">
        <v>141</v>
      </c>
      <c r="AL3" s="606" t="s">
        <v>142</v>
      </c>
      <c r="AM3" s="606" t="s">
        <v>143</v>
      </c>
      <c r="AN3" s="606" t="s">
        <v>144</v>
      </c>
      <c r="AO3" s="606" t="s">
        <v>145</v>
      </c>
      <c r="AP3" s="608" t="s">
        <v>152</v>
      </c>
      <c r="AQ3" s="606" t="s">
        <v>107</v>
      </c>
      <c r="AR3" s="606" t="s">
        <v>135</v>
      </c>
      <c r="AS3" s="606" t="s">
        <v>136</v>
      </c>
      <c r="AT3" s="606" t="s">
        <v>137</v>
      </c>
      <c r="AU3" s="606" t="s">
        <v>138</v>
      </c>
      <c r="AV3" s="606" t="s">
        <v>139</v>
      </c>
      <c r="AW3" s="606" t="s">
        <v>140</v>
      </c>
      <c r="AX3" s="606" t="s">
        <v>141</v>
      </c>
      <c r="AY3" s="606" t="s">
        <v>142</v>
      </c>
      <c r="AZ3" s="606" t="s">
        <v>143</v>
      </c>
      <c r="BA3" s="606" t="s">
        <v>144</v>
      </c>
      <c r="BB3" s="606" t="s">
        <v>145</v>
      </c>
      <c r="BC3" s="608" t="s">
        <v>153</v>
      </c>
      <c r="BD3" s="606" t="s">
        <v>107</v>
      </c>
      <c r="BE3" s="606" t="s">
        <v>135</v>
      </c>
      <c r="BF3" s="606" t="s">
        <v>136</v>
      </c>
      <c r="BG3" s="606" t="s">
        <v>137</v>
      </c>
      <c r="BH3" s="606" t="s">
        <v>138</v>
      </c>
      <c r="BI3" s="606" t="s">
        <v>139</v>
      </c>
      <c r="BJ3" s="606" t="s">
        <v>140</v>
      </c>
      <c r="BK3" s="606" t="s">
        <v>141</v>
      </c>
      <c r="BL3" s="606" t="s">
        <v>142</v>
      </c>
      <c r="BM3" s="606" t="s">
        <v>143</v>
      </c>
      <c r="BN3" s="606" t="s">
        <v>144</v>
      </c>
      <c r="BO3" s="606" t="s">
        <v>145</v>
      </c>
      <c r="BP3" s="608" t="s">
        <v>154</v>
      </c>
      <c r="CE3" s="606"/>
      <c r="CF3" s="607"/>
    </row>
    <row r="4" spans="1:84" s="301" customFormat="1" ht="15.6" collapsed="1">
      <c r="A4" s="301" t="s">
        <v>818</v>
      </c>
      <c r="B4" s="12" t="s">
        <v>502</v>
      </c>
      <c r="D4" s="301">
        <f t="shared" ref="D4:O4" si="5">D5+D23+D24+D25+D37+D38+D39+D48</f>
        <v>-600.6608044710008</v>
      </c>
      <c r="E4" s="301">
        <f t="shared" si="5"/>
        <v>-619.87246845797779</v>
      </c>
      <c r="F4" s="301">
        <f t="shared" si="5"/>
        <v>-638.95182846048544</v>
      </c>
      <c r="G4" s="301">
        <f t="shared" si="5"/>
        <v>-657.90703924263698</v>
      </c>
      <c r="H4" s="301">
        <f t="shared" si="5"/>
        <v>-676.74558982247686</v>
      </c>
      <c r="I4" s="301">
        <f t="shared" si="5"/>
        <v>-695.47432843512502</v>
      </c>
      <c r="J4" s="301">
        <f t="shared" si="5"/>
        <v>-714.0994872860847</v>
      </c>
      <c r="K4" s="301">
        <f t="shared" si="5"/>
        <v>-732.62670710051998</v>
      </c>
      <c r="L4" s="301">
        <f t="shared" si="5"/>
        <v>-751.06106147148159</v>
      </c>
      <c r="M4" s="301">
        <f t="shared" si="5"/>
        <v>-769.40708100737106</v>
      </c>
      <c r="N4" s="301">
        <f t="shared" si="5"/>
        <v>-787.66877727640713</v>
      </c>
      <c r="O4" s="301">
        <f t="shared" si="5"/>
        <v>-795.04903408587234</v>
      </c>
      <c r="P4" s="389">
        <f>SUM(D4:O4)</f>
        <v>-8439.5242071174398</v>
      </c>
      <c r="Q4" s="301">
        <f t="shared" ref="Q4:AB4" si="6">Q5+Q23+Q24+Q25+Q37+Q38+Q39+Q48</f>
        <v>-892.5018710572997</v>
      </c>
      <c r="R4" s="301">
        <f t="shared" si="6"/>
        <v>-920.13740668605124</v>
      </c>
      <c r="S4" s="301">
        <f t="shared" si="6"/>
        <v>-947.21189760848415</v>
      </c>
      <c r="T4" s="301">
        <f t="shared" si="6"/>
        <v>-974.10606581580942</v>
      </c>
      <c r="U4" s="301">
        <f t="shared" si="6"/>
        <v>-1000.8285211003741</v>
      </c>
      <c r="V4" s="301">
        <f t="shared" si="6"/>
        <v>-1027.3871088718047</v>
      </c>
      <c r="W4" s="301">
        <f t="shared" si="6"/>
        <v>-1053.7889453785579</v>
      </c>
      <c r="X4" s="301">
        <f t="shared" si="6"/>
        <v>-1080.0404524102341</v>
      </c>
      <c r="Y4" s="301">
        <f t="shared" si="6"/>
        <v>-1106.1473914739786</v>
      </c>
      <c r="Z4" s="301">
        <f t="shared" si="6"/>
        <v>-1132.1148974360208</v>
      </c>
      <c r="AA4" s="301">
        <f t="shared" si="6"/>
        <v>-1157.9475116173787</v>
      </c>
      <c r="AB4" s="301">
        <f t="shared" si="6"/>
        <v>-1167.0724980762234</v>
      </c>
      <c r="AC4" s="389">
        <f>SUM(Q4:AB4)</f>
        <v>-12459.284567532213</v>
      </c>
      <c r="AD4" s="301">
        <f t="shared" ref="AD4:AO4" si="7">AD5+AD23+AD24+AD25+AD37+AD38+AD39+AD48</f>
        <v>-1476.3698527403731</v>
      </c>
      <c r="AE4" s="301">
        <f t="shared" si="7"/>
        <v>-1514.8117297042361</v>
      </c>
      <c r="AF4" s="301">
        <f t="shared" si="7"/>
        <v>-1552.1649536307216</v>
      </c>
      <c r="AG4" s="301">
        <f t="shared" si="7"/>
        <v>-1589.2455412436254</v>
      </c>
      <c r="AH4" s="301">
        <f t="shared" si="7"/>
        <v>-1626.064753204776</v>
      </c>
      <c r="AI4" s="301">
        <f t="shared" si="7"/>
        <v>-1662.6329224444935</v>
      </c>
      <c r="AJ4" s="301">
        <f t="shared" si="7"/>
        <v>-1698.9595019060287</v>
      </c>
      <c r="AK4" s="301">
        <f t="shared" si="7"/>
        <v>-1735.0531112461458</v>
      </c>
      <c r="AL4" s="301">
        <f t="shared" si="7"/>
        <v>-1770.9215824838711</v>
      </c>
      <c r="AM4" s="301">
        <f t="shared" si="7"/>
        <v>-1806.5720045879305</v>
      </c>
      <c r="AN4" s="301">
        <f t="shared" si="7"/>
        <v>-1842.0107669922102</v>
      </c>
      <c r="AO4" s="301">
        <f t="shared" si="7"/>
        <v>-1853.038958607046</v>
      </c>
      <c r="AP4" s="389">
        <f>SUM(AD4:AO4)</f>
        <v>-20127.845678791462</v>
      </c>
      <c r="AQ4" s="301">
        <f t="shared" ref="AQ4:BB4" si="8">AQ5+AQ23+AQ24+AQ25+AQ37+AQ38+AQ39+AQ48</f>
        <v>-1982.0926959470603</v>
      </c>
      <c r="AR4" s="301">
        <f t="shared" si="8"/>
        <v>-2035.8345670696558</v>
      </c>
      <c r="AS4" s="301">
        <f t="shared" si="8"/>
        <v>-2087.9855442002672</v>
      </c>
      <c r="AT4" s="301">
        <f t="shared" si="8"/>
        <v>-2139.8121960426051</v>
      </c>
      <c r="AU4" s="301">
        <f t="shared" si="8"/>
        <v>-2191.3267960381941</v>
      </c>
      <c r="AV4" s="301">
        <f t="shared" si="8"/>
        <v>-2242.5405472202015</v>
      </c>
      <c r="AW4" s="301">
        <f t="shared" si="8"/>
        <v>-2293.4636439447759</v>
      </c>
      <c r="AX4" s="301">
        <f t="shared" si="8"/>
        <v>-2344.1053319593366</v>
      </c>
      <c r="AY4" s="301">
        <f t="shared" si="8"/>
        <v>-2394.4739667966928</v>
      </c>
      <c r="AZ4" s="301">
        <f t="shared" si="8"/>
        <v>-2444.5770704837905</v>
      </c>
      <c r="BA4" s="301">
        <f t="shared" si="8"/>
        <v>-2494.4213865541533</v>
      </c>
      <c r="BB4" s="301">
        <f t="shared" si="8"/>
        <v>-2507.0680149164436</v>
      </c>
      <c r="BC4" s="389">
        <f>SUM(AQ4:BB4)</f>
        <v>-27157.701761173175</v>
      </c>
      <c r="BD4" s="301">
        <f t="shared" ref="BD4:BO4" si="9">BD5+BD23+BD24+BD25+BD37+BD38+BD39+BD48</f>
        <v>-2500.511848563458</v>
      </c>
      <c r="BE4" s="301">
        <f t="shared" si="9"/>
        <v>-2574.5170528931039</v>
      </c>
      <c r="BF4" s="301">
        <f t="shared" si="9"/>
        <v>-2646.3631140014377</v>
      </c>
      <c r="BG4" s="301">
        <f t="shared" si="9"/>
        <v>-2717.8167202576319</v>
      </c>
      <c r="BH4" s="301">
        <f t="shared" si="9"/>
        <v>-2788.8915598954018</v>
      </c>
      <c r="BI4" s="301">
        <f t="shared" si="9"/>
        <v>-2859.6000864065463</v>
      </c>
      <c r="BJ4" s="301">
        <f t="shared" si="9"/>
        <v>-2929.9535974195337</v>
      </c>
      <c r="BK4" s="301">
        <f t="shared" si="9"/>
        <v>-2999.9623109975701</v>
      </c>
      <c r="BL4" s="301">
        <f t="shared" si="9"/>
        <v>-3069.6354393534057</v>
      </c>
      <c r="BM4" s="301">
        <f t="shared" si="9"/>
        <v>-3138.9812599799561</v>
      </c>
      <c r="BN4" s="301">
        <f t="shared" si="9"/>
        <v>-3208.0071841979834</v>
      </c>
      <c r="BO4" s="301">
        <f t="shared" si="9"/>
        <v>-3222.3381608276977</v>
      </c>
      <c r="BP4" s="389">
        <f>SUM(BD4:BO4)</f>
        <v>-34656.578334793725</v>
      </c>
      <c r="BR4" s="60">
        <f>(D4+E4+F4)/500*1000</f>
        <v>-3718.9702027789281</v>
      </c>
      <c r="BS4" s="60">
        <f>(G4+H4+I4)/500*1000</f>
        <v>-4060.2539150004777</v>
      </c>
      <c r="BT4" s="60">
        <f>(J4+K4+L4)/500*1000</f>
        <v>-4395.5745117161723</v>
      </c>
      <c r="BU4" s="60">
        <f>(M4+N4+O4)/500*1000</f>
        <v>-4704.2497847393006</v>
      </c>
      <c r="BV4" s="60">
        <f>SUM(Q4:V4)/500*1000</f>
        <v>-11524.345742279645</v>
      </c>
      <c r="BW4" s="60">
        <f>SUM(W4:AB4)/500*1000</f>
        <v>-13394.223392784788</v>
      </c>
      <c r="BX4" s="60">
        <f>SUM(AD4:AI4)/500*1000</f>
        <v>-18842.579505936454</v>
      </c>
      <c r="BY4" s="60">
        <f>SUM(AJ4:AO4)/500*1000</f>
        <v>-21413.111851646463</v>
      </c>
      <c r="BZ4" s="60">
        <f>SUM(AQ4:AV4)/500*1000</f>
        <v>-25359.184693035968</v>
      </c>
      <c r="CA4" s="60">
        <f>SUM(AW4:BB4)/500*1000</f>
        <v>-28956.218829310386</v>
      </c>
      <c r="CB4" s="60">
        <f>SUM(BD4:BI4)/500*1000</f>
        <v>-32175.400764035159</v>
      </c>
      <c r="CC4" s="60">
        <f>SUM(BJ4:BO4)/500*1000</f>
        <v>-37137.755905552294</v>
      </c>
      <c r="CE4" s="301" t="s">
        <v>1238</v>
      </c>
      <c r="CF4" s="12" t="s">
        <v>965</v>
      </c>
    </row>
    <row r="5" spans="1:84" s="3" customFormat="1" collapsed="1">
      <c r="A5" s="3" t="s">
        <v>819</v>
      </c>
      <c r="B5" s="12" t="s">
        <v>502</v>
      </c>
      <c r="D5" s="3">
        <f>SUM(D6:D22)</f>
        <v>-255.83906249999998</v>
      </c>
      <c r="E5" s="3">
        <f t="shared" ref="E5:O5" si="10">SUM(E6:E22)</f>
        <v>-255.83906249999998</v>
      </c>
      <c r="F5" s="3">
        <f t="shared" si="10"/>
        <v>-255.83906249999998</v>
      </c>
      <c r="G5" s="3">
        <f t="shared" si="10"/>
        <v>-255.83906249999998</v>
      </c>
      <c r="H5" s="3">
        <f t="shared" si="10"/>
        <v>-255.83906249999998</v>
      </c>
      <c r="I5" s="3">
        <f t="shared" si="10"/>
        <v>-255.83906249999998</v>
      </c>
      <c r="J5" s="3">
        <f t="shared" si="10"/>
        <v>-255.83906249999998</v>
      </c>
      <c r="K5" s="3">
        <f t="shared" si="10"/>
        <v>-255.83906249999998</v>
      </c>
      <c r="L5" s="3">
        <f t="shared" si="10"/>
        <v>-255.83906249999998</v>
      </c>
      <c r="M5" s="3">
        <f t="shared" si="10"/>
        <v>-255.83906249999998</v>
      </c>
      <c r="N5" s="3">
        <f t="shared" si="10"/>
        <v>-255.83906249999998</v>
      </c>
      <c r="O5" s="3">
        <f t="shared" si="10"/>
        <v>-255.83906249999998</v>
      </c>
      <c r="P5" s="397">
        <f>SUM(D5:O5)</f>
        <v>-3070.0687500000004</v>
      </c>
      <c r="Q5" s="3">
        <f>SUM(Q6:Q22)</f>
        <v>-376.19662500000004</v>
      </c>
      <c r="R5" s="3">
        <f t="shared" ref="R5:AB5" si="11">SUM(R6:R22)</f>
        <v>-376.19662500000004</v>
      </c>
      <c r="S5" s="3">
        <f t="shared" si="11"/>
        <v>-376.19662500000004</v>
      </c>
      <c r="T5" s="3">
        <f t="shared" si="11"/>
        <v>-376.19662500000004</v>
      </c>
      <c r="U5" s="3">
        <f t="shared" si="11"/>
        <v>-376.19662500000004</v>
      </c>
      <c r="V5" s="3">
        <f t="shared" si="11"/>
        <v>-376.19662500000004</v>
      </c>
      <c r="W5" s="3">
        <f t="shared" si="11"/>
        <v>-376.19662500000004</v>
      </c>
      <c r="X5" s="3">
        <f t="shared" si="11"/>
        <v>-376.19662500000004</v>
      </c>
      <c r="Y5" s="3">
        <f t="shared" si="11"/>
        <v>-376.19662500000004</v>
      </c>
      <c r="Z5" s="3">
        <f t="shared" si="11"/>
        <v>-376.19662500000004</v>
      </c>
      <c r="AA5" s="3">
        <f t="shared" si="11"/>
        <v>-376.19662500000004</v>
      </c>
      <c r="AB5" s="3">
        <f t="shared" si="11"/>
        <v>-376.19662500000004</v>
      </c>
      <c r="AC5" s="397">
        <f>SUM(Q5:AB5)</f>
        <v>-4514.3595000000005</v>
      </c>
      <c r="AD5" s="3">
        <f>SUM(AD6:AD22)</f>
        <v>-746.16637500000002</v>
      </c>
      <c r="AE5" s="3">
        <f t="shared" ref="AE5:AO5" si="12">SUM(AE6:AE22)</f>
        <v>-746.16637500000002</v>
      </c>
      <c r="AF5" s="3">
        <f t="shared" si="12"/>
        <v>-746.16637500000002</v>
      </c>
      <c r="AG5" s="3">
        <f t="shared" si="12"/>
        <v>-746.16637500000002</v>
      </c>
      <c r="AH5" s="3">
        <f t="shared" si="12"/>
        <v>-746.16637500000002</v>
      </c>
      <c r="AI5" s="3">
        <f t="shared" si="12"/>
        <v>-746.16637500000002</v>
      </c>
      <c r="AJ5" s="3">
        <f t="shared" si="12"/>
        <v>-746.16637500000002</v>
      </c>
      <c r="AK5" s="3">
        <f t="shared" si="12"/>
        <v>-746.16637500000002</v>
      </c>
      <c r="AL5" s="3">
        <f t="shared" si="12"/>
        <v>-746.16637500000002</v>
      </c>
      <c r="AM5" s="3">
        <f t="shared" si="12"/>
        <v>-746.16637500000002</v>
      </c>
      <c r="AN5" s="3">
        <f t="shared" si="12"/>
        <v>-746.16637500000002</v>
      </c>
      <c r="AO5" s="3">
        <f t="shared" si="12"/>
        <v>-746.16637500000002</v>
      </c>
      <c r="AP5" s="397">
        <f>SUM(AD5:AO5)</f>
        <v>-8953.9964999999993</v>
      </c>
      <c r="AQ5" s="3">
        <f>SUM(AQ6:AQ22)</f>
        <v>-982.66800000000001</v>
      </c>
      <c r="AR5" s="3">
        <f t="shared" ref="AR5:BB5" si="13">SUM(AR6:AR22)</f>
        <v>-982.66800000000001</v>
      </c>
      <c r="AS5" s="3">
        <f t="shared" si="13"/>
        <v>-982.66800000000001</v>
      </c>
      <c r="AT5" s="3">
        <f t="shared" si="13"/>
        <v>-982.66800000000001</v>
      </c>
      <c r="AU5" s="3">
        <f t="shared" si="13"/>
        <v>-982.66800000000001</v>
      </c>
      <c r="AV5" s="3">
        <f t="shared" si="13"/>
        <v>-982.66800000000001</v>
      </c>
      <c r="AW5" s="3">
        <f t="shared" si="13"/>
        <v>-982.66800000000001</v>
      </c>
      <c r="AX5" s="3">
        <f t="shared" si="13"/>
        <v>-982.66800000000001</v>
      </c>
      <c r="AY5" s="3">
        <f t="shared" si="13"/>
        <v>-982.66800000000001</v>
      </c>
      <c r="AZ5" s="3">
        <f t="shared" si="13"/>
        <v>-982.66800000000001</v>
      </c>
      <c r="BA5" s="3">
        <f t="shared" si="13"/>
        <v>-982.66800000000001</v>
      </c>
      <c r="BB5" s="3">
        <f t="shared" si="13"/>
        <v>-982.66800000000001</v>
      </c>
      <c r="BC5" s="397">
        <f>SUM(AQ5:BB5)</f>
        <v>-11792.015999999998</v>
      </c>
      <c r="BD5" s="3">
        <f>SUM(BD6:BD22)</f>
        <v>-1156.3256249999999</v>
      </c>
      <c r="BE5" s="3">
        <f t="shared" ref="BE5:BO5" si="14">SUM(BE6:BE22)</f>
        <v>-1156.3256249999999</v>
      </c>
      <c r="BF5" s="3">
        <f t="shared" si="14"/>
        <v>-1156.3256249999999</v>
      </c>
      <c r="BG5" s="3">
        <f t="shared" si="14"/>
        <v>-1156.3256249999999</v>
      </c>
      <c r="BH5" s="3">
        <f t="shared" si="14"/>
        <v>-1156.3256249999999</v>
      </c>
      <c r="BI5" s="3">
        <f t="shared" si="14"/>
        <v>-1156.3256249999999</v>
      </c>
      <c r="BJ5" s="3">
        <f t="shared" si="14"/>
        <v>-1156.3256249999999</v>
      </c>
      <c r="BK5" s="3">
        <f t="shared" si="14"/>
        <v>-1156.3256249999999</v>
      </c>
      <c r="BL5" s="3">
        <f t="shared" si="14"/>
        <v>-1156.3256249999999</v>
      </c>
      <c r="BM5" s="3">
        <f t="shared" si="14"/>
        <v>-1156.3256249999999</v>
      </c>
      <c r="BN5" s="3">
        <f t="shared" si="14"/>
        <v>-1156.3256249999999</v>
      </c>
      <c r="BO5" s="3">
        <f t="shared" si="14"/>
        <v>-1156.3256249999999</v>
      </c>
      <c r="BP5" s="397">
        <f>SUM(BD5:BO5)</f>
        <v>-13875.907499999996</v>
      </c>
      <c r="BU5" s="3">
        <f>SUM(BR4:BU4)</f>
        <v>-16879.04841423488</v>
      </c>
      <c r="BW5" s="3">
        <f>BV4+BW4</f>
        <v>-24918.569135064434</v>
      </c>
      <c r="BY5" s="3">
        <f>BX4+BY4</f>
        <v>-40255.691357582917</v>
      </c>
      <c r="CA5" s="3">
        <f>BZ4+CA4</f>
        <v>-54315.403522346358</v>
      </c>
      <c r="CC5" s="3">
        <f>CB4+CC4</f>
        <v>-69313.15666958745</v>
      </c>
      <c r="CE5" s="3" t="s">
        <v>1228</v>
      </c>
      <c r="CF5" s="12" t="s">
        <v>965</v>
      </c>
    </row>
    <row r="6" spans="1:84" s="5" customFormat="1" hidden="1" outlineLevel="1">
      <c r="A6" s="605" t="s">
        <v>820</v>
      </c>
      <c r="B6" s="12" t="s">
        <v>502</v>
      </c>
      <c r="D6" s="5">
        <f t="shared" ref="D6:O21" si="15">$P6/12</f>
        <v>-31.787499999999998</v>
      </c>
      <c r="E6" s="5">
        <f t="shared" si="15"/>
        <v>-31.787499999999998</v>
      </c>
      <c r="F6" s="5">
        <f t="shared" si="15"/>
        <v>-31.787499999999998</v>
      </c>
      <c r="G6" s="5">
        <f t="shared" si="15"/>
        <v>-31.787499999999998</v>
      </c>
      <c r="H6" s="5">
        <f t="shared" si="15"/>
        <v>-31.787499999999998</v>
      </c>
      <c r="I6" s="5">
        <f t="shared" si="15"/>
        <v>-31.787499999999998</v>
      </c>
      <c r="J6" s="5">
        <f t="shared" si="15"/>
        <v>-31.787499999999998</v>
      </c>
      <c r="K6" s="5">
        <f t="shared" si="15"/>
        <v>-31.787499999999998</v>
      </c>
      <c r="L6" s="5">
        <f t="shared" si="15"/>
        <v>-31.787499999999998</v>
      </c>
      <c r="M6" s="5">
        <f t="shared" si="15"/>
        <v>-31.787499999999998</v>
      </c>
      <c r="N6" s="5">
        <f t="shared" si="15"/>
        <v>-31.787499999999998</v>
      </c>
      <c r="O6" s="5">
        <f t="shared" si="15"/>
        <v>-31.787499999999998</v>
      </c>
      <c r="P6" s="383">
        <f>'[12]Org.Structure (IT)'!$Z$10*P1/-1000000</f>
        <v>-381.45</v>
      </c>
      <c r="Q6" s="5">
        <f t="shared" ref="Q6:AB21" si="16">$AC6/12</f>
        <v>-39.804375</v>
      </c>
      <c r="R6" s="5">
        <f t="shared" si="16"/>
        <v>-39.804375</v>
      </c>
      <c r="S6" s="5">
        <f t="shared" si="16"/>
        <v>-39.804375</v>
      </c>
      <c r="T6" s="5">
        <f t="shared" si="16"/>
        <v>-39.804375</v>
      </c>
      <c r="U6" s="5">
        <f t="shared" si="16"/>
        <v>-39.804375</v>
      </c>
      <c r="V6" s="5">
        <f t="shared" si="16"/>
        <v>-39.804375</v>
      </c>
      <c r="W6" s="5">
        <f t="shared" si="16"/>
        <v>-39.804375</v>
      </c>
      <c r="X6" s="5">
        <f t="shared" si="16"/>
        <v>-39.804375</v>
      </c>
      <c r="Y6" s="5">
        <f t="shared" si="16"/>
        <v>-39.804375</v>
      </c>
      <c r="Z6" s="5">
        <f t="shared" si="16"/>
        <v>-39.804375</v>
      </c>
      <c r="AA6" s="5">
        <f t="shared" si="16"/>
        <v>-39.804375</v>
      </c>
      <c r="AB6" s="5">
        <f t="shared" si="16"/>
        <v>-39.804375</v>
      </c>
      <c r="AC6" s="383">
        <f>'[12]Org.Structure (IT)'!$AM$10*AC1/-1000000</f>
        <v>-477.65249999999997</v>
      </c>
      <c r="AD6" s="5">
        <f t="shared" ref="AD6:AO21" si="17">$AP6/12</f>
        <v>-94.467499999999987</v>
      </c>
      <c r="AE6" s="5">
        <f t="shared" si="17"/>
        <v>-94.467499999999987</v>
      </c>
      <c r="AF6" s="5">
        <f t="shared" si="17"/>
        <v>-94.467499999999987</v>
      </c>
      <c r="AG6" s="5">
        <f t="shared" si="17"/>
        <v>-94.467499999999987</v>
      </c>
      <c r="AH6" s="5">
        <f t="shared" si="17"/>
        <v>-94.467499999999987</v>
      </c>
      <c r="AI6" s="5">
        <f t="shared" si="17"/>
        <v>-94.467499999999987</v>
      </c>
      <c r="AJ6" s="5">
        <f t="shared" si="17"/>
        <v>-94.467499999999987</v>
      </c>
      <c r="AK6" s="5">
        <f t="shared" si="17"/>
        <v>-94.467499999999987</v>
      </c>
      <c r="AL6" s="5">
        <f t="shared" si="17"/>
        <v>-94.467499999999987</v>
      </c>
      <c r="AM6" s="5">
        <f t="shared" si="17"/>
        <v>-94.467499999999987</v>
      </c>
      <c r="AN6" s="5">
        <f t="shared" si="17"/>
        <v>-94.467499999999987</v>
      </c>
      <c r="AO6" s="5">
        <f t="shared" si="17"/>
        <v>-94.467499999999987</v>
      </c>
      <c r="AP6" s="383">
        <f>'[12]Org.Structure (IT)'!$AN$10*AP1/-1000000</f>
        <v>-1133.6099999999999</v>
      </c>
      <c r="AQ6" s="5">
        <f t="shared" ref="AQ6:BB21" si="18">$BC6/12</f>
        <v>-120.25999999999999</v>
      </c>
      <c r="AR6" s="5">
        <f t="shared" si="18"/>
        <v>-120.25999999999999</v>
      </c>
      <c r="AS6" s="5">
        <f t="shared" si="18"/>
        <v>-120.25999999999999</v>
      </c>
      <c r="AT6" s="5">
        <f t="shared" si="18"/>
        <v>-120.25999999999999</v>
      </c>
      <c r="AU6" s="5">
        <f t="shared" si="18"/>
        <v>-120.25999999999999</v>
      </c>
      <c r="AV6" s="5">
        <f t="shared" si="18"/>
        <v>-120.25999999999999</v>
      </c>
      <c r="AW6" s="5">
        <f t="shared" si="18"/>
        <v>-120.25999999999999</v>
      </c>
      <c r="AX6" s="5">
        <f t="shared" si="18"/>
        <v>-120.25999999999999</v>
      </c>
      <c r="AY6" s="5">
        <f t="shared" si="18"/>
        <v>-120.25999999999999</v>
      </c>
      <c r="AZ6" s="5">
        <f t="shared" si="18"/>
        <v>-120.25999999999999</v>
      </c>
      <c r="BA6" s="5">
        <f t="shared" si="18"/>
        <v>-120.25999999999999</v>
      </c>
      <c r="BB6" s="5">
        <f t="shared" si="18"/>
        <v>-120.25999999999999</v>
      </c>
      <c r="BC6" s="383">
        <f>'[12]Org.Structure (IT)'!$AO$10*BC1/-1000000</f>
        <v>-1443.12</v>
      </c>
      <c r="BD6" s="5">
        <f t="shared" ref="BD6:BO21" si="19">$BP6/12</f>
        <v>-146.80312499999999</v>
      </c>
      <c r="BE6" s="5">
        <f t="shared" si="19"/>
        <v>-146.80312499999999</v>
      </c>
      <c r="BF6" s="5">
        <f t="shared" si="19"/>
        <v>-146.80312499999999</v>
      </c>
      <c r="BG6" s="5">
        <f t="shared" si="19"/>
        <v>-146.80312499999999</v>
      </c>
      <c r="BH6" s="5">
        <f t="shared" si="19"/>
        <v>-146.80312499999999</v>
      </c>
      <c r="BI6" s="5">
        <f t="shared" si="19"/>
        <v>-146.80312499999999</v>
      </c>
      <c r="BJ6" s="5">
        <f t="shared" si="19"/>
        <v>-146.80312499999999</v>
      </c>
      <c r="BK6" s="5">
        <f t="shared" si="19"/>
        <v>-146.80312499999999</v>
      </c>
      <c r="BL6" s="5">
        <f t="shared" si="19"/>
        <v>-146.80312499999999</v>
      </c>
      <c r="BM6" s="5">
        <f t="shared" si="19"/>
        <v>-146.80312499999999</v>
      </c>
      <c r="BN6" s="5">
        <f t="shared" si="19"/>
        <v>-146.80312499999999</v>
      </c>
      <c r="BO6" s="5">
        <f t="shared" si="19"/>
        <v>-146.80312499999999</v>
      </c>
      <c r="BP6" s="383">
        <f>'[12]Org.Structure (IT)'!$AP$10*BP1/-1000000</f>
        <v>-1761.6375</v>
      </c>
      <c r="CE6" s="605" t="s">
        <v>820</v>
      </c>
      <c r="CF6" s="12" t="s">
        <v>965</v>
      </c>
    </row>
    <row r="7" spans="1:84" s="5" customFormat="1" hidden="1" outlineLevel="1">
      <c r="A7" s="605" t="s">
        <v>821</v>
      </c>
      <c r="B7" s="12" t="s">
        <v>502</v>
      </c>
      <c r="D7" s="5">
        <f t="shared" si="15"/>
        <v>0</v>
      </c>
      <c r="E7" s="5">
        <f t="shared" si="15"/>
        <v>0</v>
      </c>
      <c r="F7" s="5">
        <f t="shared" si="15"/>
        <v>0</v>
      </c>
      <c r="G7" s="5">
        <f t="shared" si="15"/>
        <v>0</v>
      </c>
      <c r="H7" s="5">
        <f t="shared" si="15"/>
        <v>0</v>
      </c>
      <c r="I7" s="5">
        <f t="shared" si="15"/>
        <v>0</v>
      </c>
      <c r="J7" s="5">
        <f t="shared" si="15"/>
        <v>0</v>
      </c>
      <c r="K7" s="5">
        <f t="shared" si="15"/>
        <v>0</v>
      </c>
      <c r="L7" s="5">
        <f t="shared" si="15"/>
        <v>0</v>
      </c>
      <c r="M7" s="5">
        <f t="shared" si="15"/>
        <v>0</v>
      </c>
      <c r="N7" s="5">
        <f t="shared" si="15"/>
        <v>0</v>
      </c>
      <c r="O7" s="5">
        <f t="shared" si="15"/>
        <v>0</v>
      </c>
      <c r="P7" s="383">
        <f>'[12]Org.Structure (IT)'!$Z$23*P1/-1000000</f>
        <v>0</v>
      </c>
      <c r="Q7" s="5">
        <f t="shared" si="16"/>
        <v>-22.245312500000001</v>
      </c>
      <c r="R7" s="5">
        <f t="shared" si="16"/>
        <v>-22.245312500000001</v>
      </c>
      <c r="S7" s="5">
        <f t="shared" si="16"/>
        <v>-22.245312500000001</v>
      </c>
      <c r="T7" s="5">
        <f t="shared" si="16"/>
        <v>-22.245312500000001</v>
      </c>
      <c r="U7" s="5">
        <f t="shared" si="16"/>
        <v>-22.245312500000001</v>
      </c>
      <c r="V7" s="5">
        <f t="shared" si="16"/>
        <v>-22.245312500000001</v>
      </c>
      <c r="W7" s="5">
        <f t="shared" si="16"/>
        <v>-22.245312500000001</v>
      </c>
      <c r="X7" s="5">
        <f t="shared" si="16"/>
        <v>-22.245312500000001</v>
      </c>
      <c r="Y7" s="5">
        <f t="shared" si="16"/>
        <v>-22.245312500000001</v>
      </c>
      <c r="Z7" s="5">
        <f t="shared" si="16"/>
        <v>-22.245312500000001</v>
      </c>
      <c r="AA7" s="5">
        <f t="shared" si="16"/>
        <v>-22.245312500000001</v>
      </c>
      <c r="AB7" s="5">
        <f t="shared" si="16"/>
        <v>-22.245312500000001</v>
      </c>
      <c r="AC7" s="383">
        <f>'[12]Org.Structure (IT)'!$AM$23*AC1/-1000000</f>
        <v>-266.94375000000002</v>
      </c>
      <c r="AD7" s="5">
        <f t="shared" si="17"/>
        <v>-28.048437500000002</v>
      </c>
      <c r="AE7" s="5">
        <f t="shared" si="17"/>
        <v>-28.048437500000002</v>
      </c>
      <c r="AF7" s="5">
        <f t="shared" si="17"/>
        <v>-28.048437500000002</v>
      </c>
      <c r="AG7" s="5">
        <f t="shared" si="17"/>
        <v>-28.048437500000002</v>
      </c>
      <c r="AH7" s="5">
        <f t="shared" si="17"/>
        <v>-28.048437500000002</v>
      </c>
      <c r="AI7" s="5">
        <f t="shared" si="17"/>
        <v>-28.048437500000002</v>
      </c>
      <c r="AJ7" s="5">
        <f t="shared" si="17"/>
        <v>-28.048437500000002</v>
      </c>
      <c r="AK7" s="5">
        <f t="shared" si="17"/>
        <v>-28.048437500000002</v>
      </c>
      <c r="AL7" s="5">
        <f t="shared" si="17"/>
        <v>-28.048437500000002</v>
      </c>
      <c r="AM7" s="5">
        <f t="shared" si="17"/>
        <v>-28.048437500000002</v>
      </c>
      <c r="AN7" s="5">
        <f t="shared" si="17"/>
        <v>-28.048437500000002</v>
      </c>
      <c r="AO7" s="5">
        <f t="shared" si="17"/>
        <v>-28.048437500000002</v>
      </c>
      <c r="AP7" s="383">
        <f>'[12]Org.Structure (IT)'!$AN$23*AP1/-1000000</f>
        <v>-336.58125000000001</v>
      </c>
      <c r="AQ7" s="5">
        <f t="shared" si="18"/>
        <v>-74.260000000000005</v>
      </c>
      <c r="AR7" s="5">
        <f t="shared" si="18"/>
        <v>-74.260000000000005</v>
      </c>
      <c r="AS7" s="5">
        <f t="shared" si="18"/>
        <v>-74.260000000000005</v>
      </c>
      <c r="AT7" s="5">
        <f t="shared" si="18"/>
        <v>-74.260000000000005</v>
      </c>
      <c r="AU7" s="5">
        <f t="shared" si="18"/>
        <v>-74.260000000000005</v>
      </c>
      <c r="AV7" s="5">
        <f t="shared" si="18"/>
        <v>-74.260000000000005</v>
      </c>
      <c r="AW7" s="5">
        <f t="shared" si="18"/>
        <v>-74.260000000000005</v>
      </c>
      <c r="AX7" s="5">
        <f t="shared" si="18"/>
        <v>-74.260000000000005</v>
      </c>
      <c r="AY7" s="5">
        <f t="shared" si="18"/>
        <v>-74.260000000000005</v>
      </c>
      <c r="AZ7" s="5">
        <f t="shared" si="18"/>
        <v>-74.260000000000005</v>
      </c>
      <c r="BA7" s="5">
        <f t="shared" si="18"/>
        <v>-74.260000000000005</v>
      </c>
      <c r="BB7" s="5">
        <f t="shared" si="18"/>
        <v>-74.260000000000005</v>
      </c>
      <c r="BC7" s="383">
        <f>'[12]Org.Structure (IT)'!$AO$23*BC1/-1000000</f>
        <v>-891.12</v>
      </c>
      <c r="BD7" s="5">
        <f t="shared" si="19"/>
        <v>-81.221874999999997</v>
      </c>
      <c r="BE7" s="5">
        <f t="shared" si="19"/>
        <v>-81.221874999999997</v>
      </c>
      <c r="BF7" s="5">
        <f t="shared" si="19"/>
        <v>-81.221874999999997</v>
      </c>
      <c r="BG7" s="5">
        <f t="shared" si="19"/>
        <v>-81.221874999999997</v>
      </c>
      <c r="BH7" s="5">
        <f t="shared" si="19"/>
        <v>-81.221874999999997</v>
      </c>
      <c r="BI7" s="5">
        <f t="shared" si="19"/>
        <v>-81.221874999999997</v>
      </c>
      <c r="BJ7" s="5">
        <f t="shared" si="19"/>
        <v>-81.221874999999997</v>
      </c>
      <c r="BK7" s="5">
        <f t="shared" si="19"/>
        <v>-81.221874999999997</v>
      </c>
      <c r="BL7" s="5">
        <f t="shared" si="19"/>
        <v>-81.221874999999997</v>
      </c>
      <c r="BM7" s="5">
        <f t="shared" si="19"/>
        <v>-81.221874999999997</v>
      </c>
      <c r="BN7" s="5">
        <f t="shared" si="19"/>
        <v>-81.221874999999997</v>
      </c>
      <c r="BO7" s="5">
        <f t="shared" si="19"/>
        <v>-81.221874999999997</v>
      </c>
      <c r="BP7" s="383">
        <f>'[12]Org.Structure (IT)'!$AP$23*BP1/-1000000</f>
        <v>-974.66250000000002</v>
      </c>
      <c r="CE7" s="605" t="s">
        <v>821</v>
      </c>
      <c r="CF7" s="12" t="s">
        <v>965</v>
      </c>
    </row>
    <row r="8" spans="1:84" s="5" customFormat="1" hidden="1" outlineLevel="1">
      <c r="A8" s="605" t="s">
        <v>822</v>
      </c>
      <c r="B8" s="12" t="s">
        <v>502</v>
      </c>
      <c r="D8" s="5">
        <f t="shared" si="15"/>
        <v>-32.300000000000004</v>
      </c>
      <c r="E8" s="5">
        <f t="shared" si="15"/>
        <v>-32.300000000000004</v>
      </c>
      <c r="F8" s="5">
        <f t="shared" si="15"/>
        <v>-32.300000000000004</v>
      </c>
      <c r="G8" s="5">
        <f t="shared" si="15"/>
        <v>-32.300000000000004</v>
      </c>
      <c r="H8" s="5">
        <f t="shared" si="15"/>
        <v>-32.300000000000004</v>
      </c>
      <c r="I8" s="5">
        <f t="shared" si="15"/>
        <v>-32.300000000000004</v>
      </c>
      <c r="J8" s="5">
        <f t="shared" si="15"/>
        <v>-32.300000000000004</v>
      </c>
      <c r="K8" s="5">
        <f t="shared" si="15"/>
        <v>-32.300000000000004</v>
      </c>
      <c r="L8" s="5">
        <f t="shared" si="15"/>
        <v>-32.300000000000004</v>
      </c>
      <c r="M8" s="5">
        <f t="shared" si="15"/>
        <v>-32.300000000000004</v>
      </c>
      <c r="N8" s="5">
        <f t="shared" si="15"/>
        <v>-32.300000000000004</v>
      </c>
      <c r="O8" s="5">
        <f t="shared" si="15"/>
        <v>-32.300000000000004</v>
      </c>
      <c r="P8" s="383">
        <f>'[12]Org.Structure (IT)'!$Z$35*P1/-1000000</f>
        <v>-387.6</v>
      </c>
      <c r="Q8" s="5">
        <f t="shared" si="16"/>
        <v>-43.311874999999993</v>
      </c>
      <c r="R8" s="5">
        <f t="shared" si="16"/>
        <v>-43.311874999999993</v>
      </c>
      <c r="S8" s="5">
        <f t="shared" si="16"/>
        <v>-43.311874999999993</v>
      </c>
      <c r="T8" s="5">
        <f t="shared" si="16"/>
        <v>-43.311874999999993</v>
      </c>
      <c r="U8" s="5">
        <f t="shared" si="16"/>
        <v>-43.311874999999993</v>
      </c>
      <c r="V8" s="5">
        <f t="shared" si="16"/>
        <v>-43.311874999999993</v>
      </c>
      <c r="W8" s="5">
        <f t="shared" si="16"/>
        <v>-43.311874999999993</v>
      </c>
      <c r="X8" s="5">
        <f t="shared" si="16"/>
        <v>-43.311874999999993</v>
      </c>
      <c r="Y8" s="5">
        <f t="shared" si="16"/>
        <v>-43.311874999999993</v>
      </c>
      <c r="Z8" s="5">
        <f t="shared" si="16"/>
        <v>-43.311874999999993</v>
      </c>
      <c r="AA8" s="5">
        <f t="shared" si="16"/>
        <v>-43.311874999999993</v>
      </c>
      <c r="AB8" s="5">
        <f t="shared" si="16"/>
        <v>-43.311874999999993</v>
      </c>
      <c r="AC8" s="383">
        <f>'[12]Org.Structure (IT)'!$AM$35*AC1/-1000000</f>
        <v>-519.74249999999995</v>
      </c>
      <c r="AD8" s="5">
        <f t="shared" si="17"/>
        <v>-93.307500000000005</v>
      </c>
      <c r="AE8" s="5">
        <f t="shared" si="17"/>
        <v>-93.307500000000005</v>
      </c>
      <c r="AF8" s="5">
        <f t="shared" si="17"/>
        <v>-93.307500000000005</v>
      </c>
      <c r="AG8" s="5">
        <f t="shared" si="17"/>
        <v>-93.307500000000005</v>
      </c>
      <c r="AH8" s="5">
        <f t="shared" si="17"/>
        <v>-93.307500000000005</v>
      </c>
      <c r="AI8" s="5">
        <f t="shared" si="17"/>
        <v>-93.307500000000005</v>
      </c>
      <c r="AJ8" s="5">
        <f t="shared" si="17"/>
        <v>-93.307500000000005</v>
      </c>
      <c r="AK8" s="5">
        <f t="shared" si="17"/>
        <v>-93.307500000000005</v>
      </c>
      <c r="AL8" s="5">
        <f t="shared" si="17"/>
        <v>-93.307500000000005</v>
      </c>
      <c r="AM8" s="5">
        <f t="shared" si="17"/>
        <v>-93.307500000000005</v>
      </c>
      <c r="AN8" s="5">
        <f t="shared" si="17"/>
        <v>-93.307500000000005</v>
      </c>
      <c r="AO8" s="5">
        <f t="shared" si="17"/>
        <v>-93.307500000000005</v>
      </c>
      <c r="AP8" s="383">
        <f>'[12]Org.Structure (IT)'!$AN$35*AP1/-1000000</f>
        <v>-1119.69</v>
      </c>
      <c r="AQ8" s="5">
        <f t="shared" si="18"/>
        <v>-109.94</v>
      </c>
      <c r="AR8" s="5">
        <f t="shared" si="18"/>
        <v>-109.94</v>
      </c>
      <c r="AS8" s="5">
        <f t="shared" si="18"/>
        <v>-109.94</v>
      </c>
      <c r="AT8" s="5">
        <f t="shared" si="18"/>
        <v>-109.94</v>
      </c>
      <c r="AU8" s="5">
        <f t="shared" si="18"/>
        <v>-109.94</v>
      </c>
      <c r="AV8" s="5">
        <f t="shared" si="18"/>
        <v>-109.94</v>
      </c>
      <c r="AW8" s="5">
        <f t="shared" si="18"/>
        <v>-109.94</v>
      </c>
      <c r="AX8" s="5">
        <f t="shared" si="18"/>
        <v>-109.94</v>
      </c>
      <c r="AY8" s="5">
        <f t="shared" si="18"/>
        <v>-109.94</v>
      </c>
      <c r="AZ8" s="5">
        <f t="shared" si="18"/>
        <v>-109.94</v>
      </c>
      <c r="BA8" s="5">
        <f t="shared" si="18"/>
        <v>-109.94</v>
      </c>
      <c r="BB8" s="5">
        <f t="shared" si="18"/>
        <v>-109.94</v>
      </c>
      <c r="BC8" s="383">
        <f>'[12]Org.Structure (IT)'!$AO$35*BC1/-1000000</f>
        <v>-1319.28</v>
      </c>
      <c r="BD8" s="5">
        <f t="shared" si="19"/>
        <v>-120.246875</v>
      </c>
      <c r="BE8" s="5">
        <f t="shared" si="19"/>
        <v>-120.246875</v>
      </c>
      <c r="BF8" s="5">
        <f t="shared" si="19"/>
        <v>-120.246875</v>
      </c>
      <c r="BG8" s="5">
        <f t="shared" si="19"/>
        <v>-120.246875</v>
      </c>
      <c r="BH8" s="5">
        <f t="shared" si="19"/>
        <v>-120.246875</v>
      </c>
      <c r="BI8" s="5">
        <f t="shared" si="19"/>
        <v>-120.246875</v>
      </c>
      <c r="BJ8" s="5">
        <f t="shared" si="19"/>
        <v>-120.246875</v>
      </c>
      <c r="BK8" s="5">
        <f t="shared" si="19"/>
        <v>-120.246875</v>
      </c>
      <c r="BL8" s="5">
        <f t="shared" si="19"/>
        <v>-120.246875</v>
      </c>
      <c r="BM8" s="5">
        <f t="shared" si="19"/>
        <v>-120.246875</v>
      </c>
      <c r="BN8" s="5">
        <f t="shared" si="19"/>
        <v>-120.246875</v>
      </c>
      <c r="BO8" s="5">
        <f t="shared" si="19"/>
        <v>-120.246875</v>
      </c>
      <c r="BP8" s="383">
        <f>'[12]Org.Structure (IT)'!$AP$35*BP1/-1000000</f>
        <v>-1442.9625000000001</v>
      </c>
      <c r="CE8" s="605" t="s">
        <v>822</v>
      </c>
      <c r="CF8" s="12" t="s">
        <v>965</v>
      </c>
    </row>
    <row r="9" spans="1:84" s="5" customFormat="1" hidden="1" outlineLevel="1">
      <c r="A9" s="605" t="s">
        <v>823</v>
      </c>
      <c r="B9" s="12" t="s">
        <v>502</v>
      </c>
      <c r="D9" s="5">
        <f t="shared" si="15"/>
        <v>-16.393750000000001</v>
      </c>
      <c r="E9" s="5">
        <f t="shared" si="15"/>
        <v>-16.393750000000001</v>
      </c>
      <c r="F9" s="5">
        <f t="shared" si="15"/>
        <v>-16.393750000000001</v>
      </c>
      <c r="G9" s="5">
        <f t="shared" si="15"/>
        <v>-16.393750000000001</v>
      </c>
      <c r="H9" s="5">
        <f t="shared" si="15"/>
        <v>-16.393750000000001</v>
      </c>
      <c r="I9" s="5">
        <f t="shared" si="15"/>
        <v>-16.393750000000001</v>
      </c>
      <c r="J9" s="5">
        <f t="shared" si="15"/>
        <v>-16.393750000000001</v>
      </c>
      <c r="K9" s="5">
        <f t="shared" si="15"/>
        <v>-16.393750000000001</v>
      </c>
      <c r="L9" s="5">
        <f t="shared" si="15"/>
        <v>-16.393750000000001</v>
      </c>
      <c r="M9" s="5">
        <f t="shared" si="15"/>
        <v>-16.393750000000001</v>
      </c>
      <c r="N9" s="5">
        <f t="shared" si="15"/>
        <v>-16.393750000000001</v>
      </c>
      <c r="O9" s="5">
        <f t="shared" si="15"/>
        <v>-16.393750000000001</v>
      </c>
      <c r="P9" s="383">
        <f>'[12]Org.Structure (IT)'!$Z$53*P1/-1000000</f>
        <v>-196.72499999999999</v>
      </c>
      <c r="Q9" s="5">
        <f t="shared" si="16"/>
        <v>-18.852812499999999</v>
      </c>
      <c r="R9" s="5">
        <f t="shared" si="16"/>
        <v>-18.852812499999999</v>
      </c>
      <c r="S9" s="5">
        <f t="shared" si="16"/>
        <v>-18.852812499999999</v>
      </c>
      <c r="T9" s="5">
        <f t="shared" si="16"/>
        <v>-18.852812499999999</v>
      </c>
      <c r="U9" s="5">
        <f t="shared" si="16"/>
        <v>-18.852812499999999</v>
      </c>
      <c r="V9" s="5">
        <f t="shared" si="16"/>
        <v>-18.852812499999999</v>
      </c>
      <c r="W9" s="5">
        <f t="shared" si="16"/>
        <v>-18.852812499999999</v>
      </c>
      <c r="X9" s="5">
        <f t="shared" si="16"/>
        <v>-18.852812499999999</v>
      </c>
      <c r="Y9" s="5">
        <f t="shared" si="16"/>
        <v>-18.852812499999999</v>
      </c>
      <c r="Z9" s="5">
        <f t="shared" si="16"/>
        <v>-18.852812499999999</v>
      </c>
      <c r="AA9" s="5">
        <f t="shared" si="16"/>
        <v>-18.852812499999999</v>
      </c>
      <c r="AB9" s="5">
        <f t="shared" si="16"/>
        <v>-18.852812499999999</v>
      </c>
      <c r="AC9" s="383">
        <f>'[12]Org.Structure (IT)'!$AM$53*AC1/-1000000</f>
        <v>-226.23374999999999</v>
      </c>
      <c r="AD9" s="5">
        <f t="shared" si="17"/>
        <v>-34.22</v>
      </c>
      <c r="AE9" s="5">
        <f t="shared" si="17"/>
        <v>-34.22</v>
      </c>
      <c r="AF9" s="5">
        <f t="shared" si="17"/>
        <v>-34.22</v>
      </c>
      <c r="AG9" s="5">
        <f t="shared" si="17"/>
        <v>-34.22</v>
      </c>
      <c r="AH9" s="5">
        <f t="shared" si="17"/>
        <v>-34.22</v>
      </c>
      <c r="AI9" s="5">
        <f t="shared" si="17"/>
        <v>-34.22</v>
      </c>
      <c r="AJ9" s="5">
        <f t="shared" si="17"/>
        <v>-34.22</v>
      </c>
      <c r="AK9" s="5">
        <f t="shared" si="17"/>
        <v>-34.22</v>
      </c>
      <c r="AL9" s="5">
        <f t="shared" si="17"/>
        <v>-34.22</v>
      </c>
      <c r="AM9" s="5">
        <f t="shared" si="17"/>
        <v>-34.22</v>
      </c>
      <c r="AN9" s="5">
        <f t="shared" si="17"/>
        <v>-34.22</v>
      </c>
      <c r="AO9" s="5">
        <f t="shared" si="17"/>
        <v>-34.22</v>
      </c>
      <c r="AP9" s="383">
        <f>'[12]Org.Structure (IT)'!$AN$53*AP1/-1000000</f>
        <v>-410.64</v>
      </c>
      <c r="AQ9" s="5">
        <f t="shared" si="18"/>
        <v>-37.76</v>
      </c>
      <c r="AR9" s="5">
        <f t="shared" si="18"/>
        <v>-37.76</v>
      </c>
      <c r="AS9" s="5">
        <f t="shared" si="18"/>
        <v>-37.76</v>
      </c>
      <c r="AT9" s="5">
        <f t="shared" si="18"/>
        <v>-37.76</v>
      </c>
      <c r="AU9" s="5">
        <f t="shared" si="18"/>
        <v>-37.76</v>
      </c>
      <c r="AV9" s="5">
        <f t="shared" si="18"/>
        <v>-37.76</v>
      </c>
      <c r="AW9" s="5">
        <f t="shared" si="18"/>
        <v>-37.76</v>
      </c>
      <c r="AX9" s="5">
        <f t="shared" si="18"/>
        <v>-37.76</v>
      </c>
      <c r="AY9" s="5">
        <f t="shared" si="18"/>
        <v>-37.76</v>
      </c>
      <c r="AZ9" s="5">
        <f t="shared" si="18"/>
        <v>-37.76</v>
      </c>
      <c r="BA9" s="5">
        <f t="shared" si="18"/>
        <v>-37.76</v>
      </c>
      <c r="BB9" s="5">
        <f t="shared" si="18"/>
        <v>-37.76</v>
      </c>
      <c r="BC9" s="383">
        <f>'[12]Org.Structure (IT)'!$AO$53*BC1/-1000000</f>
        <v>-453.12</v>
      </c>
      <c r="BD9" s="5">
        <f t="shared" si="19"/>
        <v>-41.300000000000004</v>
      </c>
      <c r="BE9" s="5">
        <f t="shared" si="19"/>
        <v>-41.300000000000004</v>
      </c>
      <c r="BF9" s="5">
        <f t="shared" si="19"/>
        <v>-41.300000000000004</v>
      </c>
      <c r="BG9" s="5">
        <f t="shared" si="19"/>
        <v>-41.300000000000004</v>
      </c>
      <c r="BH9" s="5">
        <f t="shared" si="19"/>
        <v>-41.300000000000004</v>
      </c>
      <c r="BI9" s="5">
        <f t="shared" si="19"/>
        <v>-41.300000000000004</v>
      </c>
      <c r="BJ9" s="5">
        <f t="shared" si="19"/>
        <v>-41.300000000000004</v>
      </c>
      <c r="BK9" s="5">
        <f t="shared" si="19"/>
        <v>-41.300000000000004</v>
      </c>
      <c r="BL9" s="5">
        <f t="shared" si="19"/>
        <v>-41.300000000000004</v>
      </c>
      <c r="BM9" s="5">
        <f t="shared" si="19"/>
        <v>-41.300000000000004</v>
      </c>
      <c r="BN9" s="5">
        <f t="shared" si="19"/>
        <v>-41.300000000000004</v>
      </c>
      <c r="BO9" s="5">
        <f t="shared" si="19"/>
        <v>-41.300000000000004</v>
      </c>
      <c r="BP9" s="383">
        <f>'[12]Org.Structure (IT)'!$AP$53*BP1/-1000000</f>
        <v>-495.6</v>
      </c>
      <c r="CE9" s="605" t="s">
        <v>823</v>
      </c>
      <c r="CF9" s="12" t="s">
        <v>965</v>
      </c>
    </row>
    <row r="10" spans="1:84" s="5" customFormat="1" hidden="1" outlineLevel="1">
      <c r="A10" s="605" t="s">
        <v>824</v>
      </c>
      <c r="B10" s="12" t="s">
        <v>502</v>
      </c>
      <c r="D10" s="5">
        <f t="shared" si="15"/>
        <v>-16.556250000000002</v>
      </c>
      <c r="E10" s="5">
        <f t="shared" si="15"/>
        <v>-16.556250000000002</v>
      </c>
      <c r="F10" s="5">
        <f t="shared" si="15"/>
        <v>-16.556250000000002</v>
      </c>
      <c r="G10" s="5">
        <f t="shared" si="15"/>
        <v>-16.556250000000002</v>
      </c>
      <c r="H10" s="5">
        <f t="shared" si="15"/>
        <v>-16.556250000000002</v>
      </c>
      <c r="I10" s="5">
        <f t="shared" si="15"/>
        <v>-16.556250000000002</v>
      </c>
      <c r="J10" s="5">
        <f t="shared" si="15"/>
        <v>-16.556250000000002</v>
      </c>
      <c r="K10" s="5">
        <f t="shared" si="15"/>
        <v>-16.556250000000002</v>
      </c>
      <c r="L10" s="5">
        <f t="shared" si="15"/>
        <v>-16.556250000000002</v>
      </c>
      <c r="M10" s="5">
        <f t="shared" si="15"/>
        <v>-16.556250000000002</v>
      </c>
      <c r="N10" s="5">
        <f t="shared" si="15"/>
        <v>-16.556250000000002</v>
      </c>
      <c r="O10" s="5">
        <f t="shared" si="15"/>
        <v>-16.556250000000002</v>
      </c>
      <c r="P10" s="383">
        <f>'[12]Org.Structure (IT)'!$Z$64*P1/-1000000</f>
        <v>-198.67500000000001</v>
      </c>
      <c r="Q10" s="5">
        <f t="shared" si="16"/>
        <v>-20.232812499999998</v>
      </c>
      <c r="R10" s="5">
        <f t="shared" si="16"/>
        <v>-20.232812499999998</v>
      </c>
      <c r="S10" s="5">
        <f t="shared" si="16"/>
        <v>-20.232812499999998</v>
      </c>
      <c r="T10" s="5">
        <f t="shared" si="16"/>
        <v>-20.232812499999998</v>
      </c>
      <c r="U10" s="5">
        <f t="shared" si="16"/>
        <v>-20.232812499999998</v>
      </c>
      <c r="V10" s="5">
        <f t="shared" si="16"/>
        <v>-20.232812499999998</v>
      </c>
      <c r="W10" s="5">
        <f t="shared" si="16"/>
        <v>-20.232812499999998</v>
      </c>
      <c r="X10" s="5">
        <f t="shared" si="16"/>
        <v>-20.232812499999998</v>
      </c>
      <c r="Y10" s="5">
        <f t="shared" si="16"/>
        <v>-20.232812499999998</v>
      </c>
      <c r="Z10" s="5">
        <f t="shared" si="16"/>
        <v>-20.232812499999998</v>
      </c>
      <c r="AA10" s="5">
        <f t="shared" si="16"/>
        <v>-20.232812499999998</v>
      </c>
      <c r="AB10" s="5">
        <f t="shared" si="16"/>
        <v>-20.232812499999998</v>
      </c>
      <c r="AC10" s="383">
        <f>'[12]Org.Structure (IT)'!$AM$64*AC1/-1000000</f>
        <v>-242.79374999999999</v>
      </c>
      <c r="AD10" s="5">
        <f t="shared" si="17"/>
        <v>-29.4259375</v>
      </c>
      <c r="AE10" s="5">
        <f t="shared" si="17"/>
        <v>-29.4259375</v>
      </c>
      <c r="AF10" s="5">
        <f t="shared" si="17"/>
        <v>-29.4259375</v>
      </c>
      <c r="AG10" s="5">
        <f t="shared" si="17"/>
        <v>-29.4259375</v>
      </c>
      <c r="AH10" s="5">
        <f t="shared" si="17"/>
        <v>-29.4259375</v>
      </c>
      <c r="AI10" s="5">
        <f t="shared" si="17"/>
        <v>-29.4259375</v>
      </c>
      <c r="AJ10" s="5">
        <f t="shared" si="17"/>
        <v>-29.4259375</v>
      </c>
      <c r="AK10" s="5">
        <f t="shared" si="17"/>
        <v>-29.4259375</v>
      </c>
      <c r="AL10" s="5">
        <f t="shared" si="17"/>
        <v>-29.4259375</v>
      </c>
      <c r="AM10" s="5">
        <f t="shared" si="17"/>
        <v>-29.4259375</v>
      </c>
      <c r="AN10" s="5">
        <f t="shared" si="17"/>
        <v>-29.4259375</v>
      </c>
      <c r="AO10" s="5">
        <f t="shared" si="17"/>
        <v>-29.4259375</v>
      </c>
      <c r="AP10" s="383">
        <f>'[12]Org.Structure (IT)'!$AN$64*AP1/-1000000</f>
        <v>-353.11124999999998</v>
      </c>
      <c r="AQ10" s="5">
        <f t="shared" si="18"/>
        <v>-34.53</v>
      </c>
      <c r="AR10" s="5">
        <f t="shared" si="18"/>
        <v>-34.53</v>
      </c>
      <c r="AS10" s="5">
        <f t="shared" si="18"/>
        <v>-34.53</v>
      </c>
      <c r="AT10" s="5">
        <f t="shared" si="18"/>
        <v>-34.53</v>
      </c>
      <c r="AU10" s="5">
        <f t="shared" si="18"/>
        <v>-34.53</v>
      </c>
      <c r="AV10" s="5">
        <f t="shared" si="18"/>
        <v>-34.53</v>
      </c>
      <c r="AW10" s="5">
        <f t="shared" si="18"/>
        <v>-34.53</v>
      </c>
      <c r="AX10" s="5">
        <f t="shared" si="18"/>
        <v>-34.53</v>
      </c>
      <c r="AY10" s="5">
        <f t="shared" si="18"/>
        <v>-34.53</v>
      </c>
      <c r="AZ10" s="5">
        <f t="shared" si="18"/>
        <v>-34.53</v>
      </c>
      <c r="BA10" s="5">
        <f t="shared" si="18"/>
        <v>-34.53</v>
      </c>
      <c r="BB10" s="5">
        <f t="shared" si="18"/>
        <v>-34.53</v>
      </c>
      <c r="BC10" s="383">
        <f>'[12]Org.Structure (IT)'!$AO$64*BC1/-1000000</f>
        <v>-414.36</v>
      </c>
      <c r="BD10" s="5">
        <f t="shared" si="19"/>
        <v>-39.582812499999996</v>
      </c>
      <c r="BE10" s="5">
        <f t="shared" si="19"/>
        <v>-39.582812499999996</v>
      </c>
      <c r="BF10" s="5">
        <f t="shared" si="19"/>
        <v>-39.582812499999996</v>
      </c>
      <c r="BG10" s="5">
        <f t="shared" si="19"/>
        <v>-39.582812499999996</v>
      </c>
      <c r="BH10" s="5">
        <f t="shared" si="19"/>
        <v>-39.582812499999996</v>
      </c>
      <c r="BI10" s="5">
        <f t="shared" si="19"/>
        <v>-39.582812499999996</v>
      </c>
      <c r="BJ10" s="5">
        <f t="shared" si="19"/>
        <v>-39.582812499999996</v>
      </c>
      <c r="BK10" s="5">
        <f t="shared" si="19"/>
        <v>-39.582812499999996</v>
      </c>
      <c r="BL10" s="5">
        <f t="shared" si="19"/>
        <v>-39.582812499999996</v>
      </c>
      <c r="BM10" s="5">
        <f t="shared" si="19"/>
        <v>-39.582812499999996</v>
      </c>
      <c r="BN10" s="5">
        <f t="shared" si="19"/>
        <v>-39.582812499999996</v>
      </c>
      <c r="BO10" s="5">
        <f t="shared" si="19"/>
        <v>-39.582812499999996</v>
      </c>
      <c r="BP10" s="383">
        <f>'[12]Org.Structure (IT)'!$AP$64*BP1/-1000000</f>
        <v>-474.99374999999998</v>
      </c>
      <c r="CE10" s="605" t="s">
        <v>824</v>
      </c>
      <c r="CF10" s="12" t="s">
        <v>965</v>
      </c>
    </row>
    <row r="11" spans="1:84" s="5" customFormat="1" hidden="1" outlineLevel="1">
      <c r="A11" s="605" t="s">
        <v>825</v>
      </c>
      <c r="B11" s="12" t="s">
        <v>502</v>
      </c>
      <c r="D11" s="5">
        <f t="shared" si="15"/>
        <v>-3.0375000000000001</v>
      </c>
      <c r="E11" s="5">
        <f t="shared" si="15"/>
        <v>-3.0375000000000001</v>
      </c>
      <c r="F11" s="5">
        <f t="shared" si="15"/>
        <v>-3.0375000000000001</v>
      </c>
      <c r="G11" s="5">
        <f t="shared" si="15"/>
        <v>-3.0375000000000001</v>
      </c>
      <c r="H11" s="5">
        <f t="shared" si="15"/>
        <v>-3.0375000000000001</v>
      </c>
      <c r="I11" s="5">
        <f t="shared" si="15"/>
        <v>-3.0375000000000001</v>
      </c>
      <c r="J11" s="5">
        <f t="shared" si="15"/>
        <v>-3.0375000000000001</v>
      </c>
      <c r="K11" s="5">
        <f t="shared" si="15"/>
        <v>-3.0375000000000001</v>
      </c>
      <c r="L11" s="5">
        <f t="shared" si="15"/>
        <v>-3.0375000000000001</v>
      </c>
      <c r="M11" s="5">
        <f t="shared" si="15"/>
        <v>-3.0375000000000001</v>
      </c>
      <c r="N11" s="5">
        <f t="shared" si="15"/>
        <v>-3.0375000000000001</v>
      </c>
      <c r="O11" s="5">
        <f t="shared" si="15"/>
        <v>-3.0375000000000001</v>
      </c>
      <c r="P11" s="383">
        <f>'[12]Org.Structure (IT)'!$Z$77*P1/-1000000</f>
        <v>-36.450000000000003</v>
      </c>
      <c r="Q11" s="5">
        <f t="shared" si="16"/>
        <v>-9.5593749999999993</v>
      </c>
      <c r="R11" s="5">
        <f t="shared" si="16"/>
        <v>-9.5593749999999993</v>
      </c>
      <c r="S11" s="5">
        <f t="shared" si="16"/>
        <v>-9.5593749999999993</v>
      </c>
      <c r="T11" s="5">
        <f t="shared" si="16"/>
        <v>-9.5593749999999993</v>
      </c>
      <c r="U11" s="5">
        <f t="shared" si="16"/>
        <v>-9.5593749999999993</v>
      </c>
      <c r="V11" s="5">
        <f t="shared" si="16"/>
        <v>-9.5593749999999993</v>
      </c>
      <c r="W11" s="5">
        <f t="shared" si="16"/>
        <v>-9.5593749999999993</v>
      </c>
      <c r="X11" s="5">
        <f t="shared" si="16"/>
        <v>-9.5593749999999993</v>
      </c>
      <c r="Y11" s="5">
        <f t="shared" si="16"/>
        <v>-9.5593749999999993</v>
      </c>
      <c r="Z11" s="5">
        <f t="shared" si="16"/>
        <v>-9.5593749999999993</v>
      </c>
      <c r="AA11" s="5">
        <f t="shared" si="16"/>
        <v>-9.5593749999999993</v>
      </c>
      <c r="AB11" s="5">
        <f t="shared" si="16"/>
        <v>-9.5593749999999993</v>
      </c>
      <c r="AC11" s="383">
        <f>'[12]Org.Structure (IT)'!$AM$77*AC1/-1000000</f>
        <v>-114.71249999999999</v>
      </c>
      <c r="AD11" s="5">
        <f t="shared" si="17"/>
        <v>-12.053125</v>
      </c>
      <c r="AE11" s="5">
        <f t="shared" si="17"/>
        <v>-12.053125</v>
      </c>
      <c r="AF11" s="5">
        <f t="shared" si="17"/>
        <v>-12.053125</v>
      </c>
      <c r="AG11" s="5">
        <f t="shared" si="17"/>
        <v>-12.053125</v>
      </c>
      <c r="AH11" s="5">
        <f t="shared" si="17"/>
        <v>-12.053125</v>
      </c>
      <c r="AI11" s="5">
        <f t="shared" si="17"/>
        <v>-12.053125</v>
      </c>
      <c r="AJ11" s="5">
        <f t="shared" si="17"/>
        <v>-12.053125</v>
      </c>
      <c r="AK11" s="5">
        <f t="shared" si="17"/>
        <v>-12.053125</v>
      </c>
      <c r="AL11" s="5">
        <f t="shared" si="17"/>
        <v>-12.053125</v>
      </c>
      <c r="AM11" s="5">
        <f t="shared" si="17"/>
        <v>-12.053125</v>
      </c>
      <c r="AN11" s="5">
        <f t="shared" si="17"/>
        <v>-12.053125</v>
      </c>
      <c r="AO11" s="5">
        <f t="shared" si="17"/>
        <v>-12.053125</v>
      </c>
      <c r="AP11" s="383">
        <f>'[12]Org.Structure (IT)'!$AN$77*AP1/-1000000</f>
        <v>-144.63749999999999</v>
      </c>
      <c r="AQ11" s="5">
        <f t="shared" si="18"/>
        <v>-14.33</v>
      </c>
      <c r="AR11" s="5">
        <f t="shared" si="18"/>
        <v>-14.33</v>
      </c>
      <c r="AS11" s="5">
        <f t="shared" si="18"/>
        <v>-14.33</v>
      </c>
      <c r="AT11" s="5">
        <f t="shared" si="18"/>
        <v>-14.33</v>
      </c>
      <c r="AU11" s="5">
        <f t="shared" si="18"/>
        <v>-14.33</v>
      </c>
      <c r="AV11" s="5">
        <f t="shared" si="18"/>
        <v>-14.33</v>
      </c>
      <c r="AW11" s="5">
        <f t="shared" si="18"/>
        <v>-14.33</v>
      </c>
      <c r="AX11" s="5">
        <f t="shared" si="18"/>
        <v>-14.33</v>
      </c>
      <c r="AY11" s="5">
        <f t="shared" si="18"/>
        <v>-14.33</v>
      </c>
      <c r="AZ11" s="5">
        <f t="shared" si="18"/>
        <v>-14.33</v>
      </c>
      <c r="BA11" s="5">
        <f t="shared" si="18"/>
        <v>-14.33</v>
      </c>
      <c r="BB11" s="5">
        <f t="shared" si="18"/>
        <v>-14.33</v>
      </c>
      <c r="BC11" s="383">
        <f>'[12]Org.Structure (IT)'!$AO$77*BC1/-1000000</f>
        <v>-171.96</v>
      </c>
      <c r="BD11" s="5">
        <f t="shared" si="19"/>
        <v>-15.6734375</v>
      </c>
      <c r="BE11" s="5">
        <f t="shared" si="19"/>
        <v>-15.6734375</v>
      </c>
      <c r="BF11" s="5">
        <f t="shared" si="19"/>
        <v>-15.6734375</v>
      </c>
      <c r="BG11" s="5">
        <f t="shared" si="19"/>
        <v>-15.6734375</v>
      </c>
      <c r="BH11" s="5">
        <f t="shared" si="19"/>
        <v>-15.6734375</v>
      </c>
      <c r="BI11" s="5">
        <f t="shared" si="19"/>
        <v>-15.6734375</v>
      </c>
      <c r="BJ11" s="5">
        <f t="shared" si="19"/>
        <v>-15.6734375</v>
      </c>
      <c r="BK11" s="5">
        <f t="shared" si="19"/>
        <v>-15.6734375</v>
      </c>
      <c r="BL11" s="5">
        <f t="shared" si="19"/>
        <v>-15.6734375</v>
      </c>
      <c r="BM11" s="5">
        <f t="shared" si="19"/>
        <v>-15.6734375</v>
      </c>
      <c r="BN11" s="5">
        <f t="shared" si="19"/>
        <v>-15.6734375</v>
      </c>
      <c r="BO11" s="5">
        <f t="shared" si="19"/>
        <v>-15.6734375</v>
      </c>
      <c r="BP11" s="383">
        <f>'[12]Org.Structure (IT)'!$AP$77*BP1/-1000000</f>
        <v>-188.08125000000001</v>
      </c>
      <c r="CE11" s="605" t="s">
        <v>825</v>
      </c>
      <c r="CF11" s="12" t="s">
        <v>965</v>
      </c>
    </row>
    <row r="12" spans="1:84" s="5" customFormat="1" hidden="1" outlineLevel="1">
      <c r="A12" s="605" t="s">
        <v>826</v>
      </c>
      <c r="B12" s="12" t="s">
        <v>502</v>
      </c>
      <c r="D12" s="5">
        <f t="shared" si="15"/>
        <v>-8.9375</v>
      </c>
      <c r="E12" s="5">
        <f t="shared" si="15"/>
        <v>-8.9375</v>
      </c>
      <c r="F12" s="5">
        <f t="shared" si="15"/>
        <v>-8.9375</v>
      </c>
      <c r="G12" s="5">
        <f t="shared" si="15"/>
        <v>-8.9375</v>
      </c>
      <c r="H12" s="5">
        <f t="shared" si="15"/>
        <v>-8.9375</v>
      </c>
      <c r="I12" s="5">
        <f t="shared" si="15"/>
        <v>-8.9375</v>
      </c>
      <c r="J12" s="5">
        <f t="shared" si="15"/>
        <v>-8.9375</v>
      </c>
      <c r="K12" s="5">
        <f t="shared" si="15"/>
        <v>-8.9375</v>
      </c>
      <c r="L12" s="5">
        <f t="shared" si="15"/>
        <v>-8.9375</v>
      </c>
      <c r="M12" s="5">
        <f t="shared" si="15"/>
        <v>-8.9375</v>
      </c>
      <c r="N12" s="5">
        <f t="shared" si="15"/>
        <v>-8.9375</v>
      </c>
      <c r="O12" s="5">
        <f t="shared" si="15"/>
        <v>-8.9375</v>
      </c>
      <c r="P12" s="383">
        <f>'[12]Org.Structure (IT)'!$Z$86*P1/-1000000</f>
        <v>-107.25</v>
      </c>
      <c r="Q12" s="5">
        <f t="shared" si="16"/>
        <v>-10.278125000000001</v>
      </c>
      <c r="R12" s="5">
        <f t="shared" si="16"/>
        <v>-10.278125000000001</v>
      </c>
      <c r="S12" s="5">
        <f t="shared" si="16"/>
        <v>-10.278125000000001</v>
      </c>
      <c r="T12" s="5">
        <f t="shared" si="16"/>
        <v>-10.278125000000001</v>
      </c>
      <c r="U12" s="5">
        <f t="shared" si="16"/>
        <v>-10.278125000000001</v>
      </c>
      <c r="V12" s="5">
        <f t="shared" si="16"/>
        <v>-10.278125000000001</v>
      </c>
      <c r="W12" s="5">
        <f t="shared" si="16"/>
        <v>-10.278125000000001</v>
      </c>
      <c r="X12" s="5">
        <f t="shared" si="16"/>
        <v>-10.278125000000001</v>
      </c>
      <c r="Y12" s="5">
        <f t="shared" si="16"/>
        <v>-10.278125000000001</v>
      </c>
      <c r="Z12" s="5">
        <f t="shared" si="16"/>
        <v>-10.278125000000001</v>
      </c>
      <c r="AA12" s="5">
        <f t="shared" si="16"/>
        <v>-10.278125000000001</v>
      </c>
      <c r="AB12" s="5">
        <f t="shared" si="16"/>
        <v>-10.278125000000001</v>
      </c>
      <c r="AC12" s="383">
        <f>'[12]Org.Structure (IT)'!$AM$86*AC1/-1000000</f>
        <v>-123.33750000000001</v>
      </c>
      <c r="AD12" s="5">
        <f t="shared" si="17"/>
        <v>-17.418125</v>
      </c>
      <c r="AE12" s="5">
        <f t="shared" si="17"/>
        <v>-17.418125</v>
      </c>
      <c r="AF12" s="5">
        <f t="shared" si="17"/>
        <v>-17.418125</v>
      </c>
      <c r="AG12" s="5">
        <f t="shared" si="17"/>
        <v>-17.418125</v>
      </c>
      <c r="AH12" s="5">
        <f t="shared" si="17"/>
        <v>-17.418125</v>
      </c>
      <c r="AI12" s="5">
        <f t="shared" si="17"/>
        <v>-17.418125</v>
      </c>
      <c r="AJ12" s="5">
        <f t="shared" si="17"/>
        <v>-17.418125</v>
      </c>
      <c r="AK12" s="5">
        <f t="shared" si="17"/>
        <v>-17.418125</v>
      </c>
      <c r="AL12" s="5">
        <f t="shared" si="17"/>
        <v>-17.418125</v>
      </c>
      <c r="AM12" s="5">
        <f t="shared" si="17"/>
        <v>-17.418125</v>
      </c>
      <c r="AN12" s="5">
        <f t="shared" si="17"/>
        <v>-17.418125</v>
      </c>
      <c r="AO12" s="5">
        <f t="shared" si="17"/>
        <v>-17.418125</v>
      </c>
      <c r="AP12" s="383">
        <f>'[12]Org.Structure (IT)'!$AN$86*AP1/-1000000</f>
        <v>-209.01750000000001</v>
      </c>
      <c r="AQ12" s="5">
        <f t="shared" si="18"/>
        <v>-21.680000000000003</v>
      </c>
      <c r="AR12" s="5">
        <f t="shared" si="18"/>
        <v>-21.680000000000003</v>
      </c>
      <c r="AS12" s="5">
        <f t="shared" si="18"/>
        <v>-21.680000000000003</v>
      </c>
      <c r="AT12" s="5">
        <f t="shared" si="18"/>
        <v>-21.680000000000003</v>
      </c>
      <c r="AU12" s="5">
        <f t="shared" si="18"/>
        <v>-21.680000000000003</v>
      </c>
      <c r="AV12" s="5">
        <f t="shared" si="18"/>
        <v>-21.680000000000003</v>
      </c>
      <c r="AW12" s="5">
        <f t="shared" si="18"/>
        <v>-21.680000000000003</v>
      </c>
      <c r="AX12" s="5">
        <f t="shared" si="18"/>
        <v>-21.680000000000003</v>
      </c>
      <c r="AY12" s="5">
        <f t="shared" si="18"/>
        <v>-21.680000000000003</v>
      </c>
      <c r="AZ12" s="5">
        <f t="shared" si="18"/>
        <v>-21.680000000000003</v>
      </c>
      <c r="BA12" s="5">
        <f t="shared" si="18"/>
        <v>-21.680000000000003</v>
      </c>
      <c r="BB12" s="5">
        <f t="shared" si="18"/>
        <v>-21.680000000000003</v>
      </c>
      <c r="BC12" s="383">
        <f>'[12]Org.Structure (IT)'!$AO$86*BC1/-1000000</f>
        <v>-260.16000000000003</v>
      </c>
      <c r="BD12" s="5">
        <f t="shared" si="19"/>
        <v>-23.712500000000002</v>
      </c>
      <c r="BE12" s="5">
        <f t="shared" si="19"/>
        <v>-23.712500000000002</v>
      </c>
      <c r="BF12" s="5">
        <f t="shared" si="19"/>
        <v>-23.712500000000002</v>
      </c>
      <c r="BG12" s="5">
        <f t="shared" si="19"/>
        <v>-23.712500000000002</v>
      </c>
      <c r="BH12" s="5">
        <f t="shared" si="19"/>
        <v>-23.712500000000002</v>
      </c>
      <c r="BI12" s="5">
        <f t="shared" si="19"/>
        <v>-23.712500000000002</v>
      </c>
      <c r="BJ12" s="5">
        <f t="shared" si="19"/>
        <v>-23.712500000000002</v>
      </c>
      <c r="BK12" s="5">
        <f t="shared" si="19"/>
        <v>-23.712500000000002</v>
      </c>
      <c r="BL12" s="5">
        <f t="shared" si="19"/>
        <v>-23.712500000000002</v>
      </c>
      <c r="BM12" s="5">
        <f t="shared" si="19"/>
        <v>-23.712500000000002</v>
      </c>
      <c r="BN12" s="5">
        <f t="shared" si="19"/>
        <v>-23.712500000000002</v>
      </c>
      <c r="BO12" s="5">
        <f t="shared" si="19"/>
        <v>-23.712500000000002</v>
      </c>
      <c r="BP12" s="383">
        <f>'[12]Org.Structure (IT)'!$AP$86*BP1/-1000000</f>
        <v>-284.55</v>
      </c>
      <c r="CE12" s="605" t="s">
        <v>826</v>
      </c>
      <c r="CF12" s="12" t="s">
        <v>965</v>
      </c>
    </row>
    <row r="13" spans="1:84" s="5" customFormat="1" hidden="1" outlineLevel="1">
      <c r="A13" s="605" t="s">
        <v>827</v>
      </c>
      <c r="B13" s="12" t="s">
        <v>502</v>
      </c>
      <c r="D13" s="5">
        <f t="shared" si="15"/>
        <v>-31.037499999999998</v>
      </c>
      <c r="E13" s="5">
        <f t="shared" si="15"/>
        <v>-31.037499999999998</v>
      </c>
      <c r="F13" s="5">
        <f t="shared" si="15"/>
        <v>-31.037499999999998</v>
      </c>
      <c r="G13" s="5">
        <f t="shared" si="15"/>
        <v>-31.037499999999998</v>
      </c>
      <c r="H13" s="5">
        <f t="shared" si="15"/>
        <v>-31.037499999999998</v>
      </c>
      <c r="I13" s="5">
        <f t="shared" si="15"/>
        <v>-31.037499999999998</v>
      </c>
      <c r="J13" s="5">
        <f t="shared" si="15"/>
        <v>-31.037499999999998</v>
      </c>
      <c r="K13" s="5">
        <f t="shared" si="15"/>
        <v>-31.037499999999998</v>
      </c>
      <c r="L13" s="5">
        <f t="shared" si="15"/>
        <v>-31.037499999999998</v>
      </c>
      <c r="M13" s="5">
        <f t="shared" si="15"/>
        <v>-31.037499999999998</v>
      </c>
      <c r="N13" s="5">
        <f t="shared" si="15"/>
        <v>-31.037499999999998</v>
      </c>
      <c r="O13" s="5">
        <f t="shared" si="15"/>
        <v>-31.037499999999998</v>
      </c>
      <c r="P13" s="383">
        <f>'[12]Org.Structure (IT)'!$Z$95*P1/-1000000</f>
        <v>-372.45</v>
      </c>
      <c r="Q13" s="5">
        <f t="shared" si="16"/>
        <v>-41.040624999999999</v>
      </c>
      <c r="R13" s="5">
        <f t="shared" si="16"/>
        <v>-41.040624999999999</v>
      </c>
      <c r="S13" s="5">
        <f t="shared" si="16"/>
        <v>-41.040624999999999</v>
      </c>
      <c r="T13" s="5">
        <f t="shared" si="16"/>
        <v>-41.040624999999999</v>
      </c>
      <c r="U13" s="5">
        <f t="shared" si="16"/>
        <v>-41.040624999999999</v>
      </c>
      <c r="V13" s="5">
        <f t="shared" si="16"/>
        <v>-41.040624999999999</v>
      </c>
      <c r="W13" s="5">
        <f t="shared" si="16"/>
        <v>-41.040624999999999</v>
      </c>
      <c r="X13" s="5">
        <f t="shared" si="16"/>
        <v>-41.040624999999999</v>
      </c>
      <c r="Y13" s="5">
        <f t="shared" si="16"/>
        <v>-41.040624999999999</v>
      </c>
      <c r="Z13" s="5">
        <f t="shared" si="16"/>
        <v>-41.040624999999999</v>
      </c>
      <c r="AA13" s="5">
        <f t="shared" si="16"/>
        <v>-41.040624999999999</v>
      </c>
      <c r="AB13" s="5">
        <f t="shared" si="16"/>
        <v>-41.040624999999999</v>
      </c>
      <c r="AC13" s="383">
        <f>'[12]Org.Structure (IT)'!$AM$95*AC1/-1000000</f>
        <v>-492.48750000000001</v>
      </c>
      <c r="AD13" s="5">
        <f t="shared" si="17"/>
        <v>-57.347499999999997</v>
      </c>
      <c r="AE13" s="5">
        <f t="shared" si="17"/>
        <v>-57.347499999999997</v>
      </c>
      <c r="AF13" s="5">
        <f t="shared" si="17"/>
        <v>-57.347499999999997</v>
      </c>
      <c r="AG13" s="5">
        <f t="shared" si="17"/>
        <v>-57.347499999999997</v>
      </c>
      <c r="AH13" s="5">
        <f t="shared" si="17"/>
        <v>-57.347499999999997</v>
      </c>
      <c r="AI13" s="5">
        <f t="shared" si="17"/>
        <v>-57.347499999999997</v>
      </c>
      <c r="AJ13" s="5">
        <f t="shared" si="17"/>
        <v>-57.347499999999997</v>
      </c>
      <c r="AK13" s="5">
        <f t="shared" si="17"/>
        <v>-57.347499999999997</v>
      </c>
      <c r="AL13" s="5">
        <f t="shared" si="17"/>
        <v>-57.347499999999997</v>
      </c>
      <c r="AM13" s="5">
        <f t="shared" si="17"/>
        <v>-57.347499999999997</v>
      </c>
      <c r="AN13" s="5">
        <f t="shared" si="17"/>
        <v>-57.347499999999997</v>
      </c>
      <c r="AO13" s="5">
        <f t="shared" si="17"/>
        <v>-57.347499999999997</v>
      </c>
      <c r="AP13" s="383">
        <f>'[12]Org.Structure (IT)'!$AN$95*AP1/-1000000</f>
        <v>-688.17</v>
      </c>
      <c r="AQ13" s="5">
        <f t="shared" si="18"/>
        <v>-70.72</v>
      </c>
      <c r="AR13" s="5">
        <f t="shared" si="18"/>
        <v>-70.72</v>
      </c>
      <c r="AS13" s="5">
        <f t="shared" si="18"/>
        <v>-70.72</v>
      </c>
      <c r="AT13" s="5">
        <f t="shared" si="18"/>
        <v>-70.72</v>
      </c>
      <c r="AU13" s="5">
        <f t="shared" si="18"/>
        <v>-70.72</v>
      </c>
      <c r="AV13" s="5">
        <f t="shared" si="18"/>
        <v>-70.72</v>
      </c>
      <c r="AW13" s="5">
        <f t="shared" si="18"/>
        <v>-70.72</v>
      </c>
      <c r="AX13" s="5">
        <f t="shared" si="18"/>
        <v>-70.72</v>
      </c>
      <c r="AY13" s="5">
        <f t="shared" si="18"/>
        <v>-70.72</v>
      </c>
      <c r="AZ13" s="5">
        <f t="shared" si="18"/>
        <v>-70.72</v>
      </c>
      <c r="BA13" s="5">
        <f t="shared" si="18"/>
        <v>-70.72</v>
      </c>
      <c r="BB13" s="5">
        <f t="shared" si="18"/>
        <v>-70.72</v>
      </c>
      <c r="BC13" s="383">
        <f>'[12]Org.Structure (IT)'!$AO$95*BC1/-1000000</f>
        <v>-848.64</v>
      </c>
      <c r="BD13" s="5">
        <f t="shared" si="19"/>
        <v>-92.115625000000009</v>
      </c>
      <c r="BE13" s="5">
        <f t="shared" si="19"/>
        <v>-92.115625000000009</v>
      </c>
      <c r="BF13" s="5">
        <f t="shared" si="19"/>
        <v>-92.115625000000009</v>
      </c>
      <c r="BG13" s="5">
        <f t="shared" si="19"/>
        <v>-92.115625000000009</v>
      </c>
      <c r="BH13" s="5">
        <f t="shared" si="19"/>
        <v>-92.115625000000009</v>
      </c>
      <c r="BI13" s="5">
        <f t="shared" si="19"/>
        <v>-92.115625000000009</v>
      </c>
      <c r="BJ13" s="5">
        <f t="shared" si="19"/>
        <v>-92.115625000000009</v>
      </c>
      <c r="BK13" s="5">
        <f t="shared" si="19"/>
        <v>-92.115625000000009</v>
      </c>
      <c r="BL13" s="5">
        <f t="shared" si="19"/>
        <v>-92.115625000000009</v>
      </c>
      <c r="BM13" s="5">
        <f t="shared" si="19"/>
        <v>-92.115625000000009</v>
      </c>
      <c r="BN13" s="5">
        <f t="shared" si="19"/>
        <v>-92.115625000000009</v>
      </c>
      <c r="BO13" s="5">
        <f t="shared" si="19"/>
        <v>-92.115625000000009</v>
      </c>
      <c r="BP13" s="383">
        <f>'[12]Org.Structure (IT)'!$AP$95*BP1/-1000000</f>
        <v>-1105.3875</v>
      </c>
      <c r="CE13" s="605" t="s">
        <v>827</v>
      </c>
      <c r="CF13" s="12" t="s">
        <v>965</v>
      </c>
    </row>
    <row r="14" spans="1:84" s="5" customFormat="1" hidden="1" outlineLevel="1">
      <c r="A14" s="605" t="s">
        <v>828</v>
      </c>
      <c r="B14" s="12" t="s">
        <v>502</v>
      </c>
      <c r="D14" s="5">
        <f t="shared" si="15"/>
        <v>-15.375</v>
      </c>
      <c r="E14" s="5">
        <f t="shared" si="15"/>
        <v>-15.375</v>
      </c>
      <c r="F14" s="5">
        <f t="shared" si="15"/>
        <v>-15.375</v>
      </c>
      <c r="G14" s="5">
        <f t="shared" si="15"/>
        <v>-15.375</v>
      </c>
      <c r="H14" s="5">
        <f t="shared" si="15"/>
        <v>-15.375</v>
      </c>
      <c r="I14" s="5">
        <f t="shared" si="15"/>
        <v>-15.375</v>
      </c>
      <c r="J14" s="5">
        <f t="shared" si="15"/>
        <v>-15.375</v>
      </c>
      <c r="K14" s="5">
        <f t="shared" si="15"/>
        <v>-15.375</v>
      </c>
      <c r="L14" s="5">
        <f t="shared" si="15"/>
        <v>-15.375</v>
      </c>
      <c r="M14" s="5">
        <f t="shared" si="15"/>
        <v>-15.375</v>
      </c>
      <c r="N14" s="5">
        <f t="shared" si="15"/>
        <v>-15.375</v>
      </c>
      <c r="O14" s="5">
        <f t="shared" si="15"/>
        <v>-15.375</v>
      </c>
      <c r="P14" s="383">
        <f>'[12]Org.Structure (IT)'!$Z$105*P1/-1000000</f>
        <v>-184.5</v>
      </c>
      <c r="Q14" s="5">
        <f t="shared" si="16"/>
        <v>-18.586874999999999</v>
      </c>
      <c r="R14" s="5">
        <f t="shared" si="16"/>
        <v>-18.586874999999999</v>
      </c>
      <c r="S14" s="5">
        <f t="shared" si="16"/>
        <v>-18.586874999999999</v>
      </c>
      <c r="T14" s="5">
        <f t="shared" si="16"/>
        <v>-18.586874999999999</v>
      </c>
      <c r="U14" s="5">
        <f t="shared" si="16"/>
        <v>-18.586874999999999</v>
      </c>
      <c r="V14" s="5">
        <f t="shared" si="16"/>
        <v>-18.586874999999999</v>
      </c>
      <c r="W14" s="5">
        <f t="shared" si="16"/>
        <v>-18.586874999999999</v>
      </c>
      <c r="X14" s="5">
        <f t="shared" si="16"/>
        <v>-18.586874999999999</v>
      </c>
      <c r="Y14" s="5">
        <f t="shared" si="16"/>
        <v>-18.586874999999999</v>
      </c>
      <c r="Z14" s="5">
        <f t="shared" si="16"/>
        <v>-18.586874999999999</v>
      </c>
      <c r="AA14" s="5">
        <f t="shared" si="16"/>
        <v>-18.586874999999999</v>
      </c>
      <c r="AB14" s="5">
        <f t="shared" si="16"/>
        <v>-18.586874999999999</v>
      </c>
      <c r="AC14" s="383">
        <f>'[12]Org.Structure (IT)'!$AM$105*AC1/-1000000</f>
        <v>-223.04249999999999</v>
      </c>
      <c r="AD14" s="5">
        <f t="shared" si="17"/>
        <v>-29.453125</v>
      </c>
      <c r="AE14" s="5">
        <f t="shared" si="17"/>
        <v>-29.453125</v>
      </c>
      <c r="AF14" s="5">
        <f t="shared" si="17"/>
        <v>-29.453125</v>
      </c>
      <c r="AG14" s="5">
        <f t="shared" si="17"/>
        <v>-29.453125</v>
      </c>
      <c r="AH14" s="5">
        <f t="shared" si="17"/>
        <v>-29.453125</v>
      </c>
      <c r="AI14" s="5">
        <f t="shared" si="17"/>
        <v>-29.453125</v>
      </c>
      <c r="AJ14" s="5">
        <f t="shared" si="17"/>
        <v>-29.453125</v>
      </c>
      <c r="AK14" s="5">
        <f t="shared" si="17"/>
        <v>-29.453125</v>
      </c>
      <c r="AL14" s="5">
        <f t="shared" si="17"/>
        <v>-29.453125</v>
      </c>
      <c r="AM14" s="5">
        <f t="shared" si="17"/>
        <v>-29.453125</v>
      </c>
      <c r="AN14" s="5">
        <f t="shared" si="17"/>
        <v>-29.453125</v>
      </c>
      <c r="AO14" s="5">
        <f t="shared" si="17"/>
        <v>-29.453125</v>
      </c>
      <c r="AP14" s="383">
        <f>'[12]Org.Structure (IT)'!$AN$105*AP1/-1000000</f>
        <v>-353.4375</v>
      </c>
      <c r="AQ14" s="5">
        <f t="shared" si="18"/>
        <v>-32.5</v>
      </c>
      <c r="AR14" s="5">
        <f t="shared" si="18"/>
        <v>-32.5</v>
      </c>
      <c r="AS14" s="5">
        <f t="shared" si="18"/>
        <v>-32.5</v>
      </c>
      <c r="AT14" s="5">
        <f t="shared" si="18"/>
        <v>-32.5</v>
      </c>
      <c r="AU14" s="5">
        <f t="shared" si="18"/>
        <v>-32.5</v>
      </c>
      <c r="AV14" s="5">
        <f t="shared" si="18"/>
        <v>-32.5</v>
      </c>
      <c r="AW14" s="5">
        <f t="shared" si="18"/>
        <v>-32.5</v>
      </c>
      <c r="AX14" s="5">
        <f t="shared" si="18"/>
        <v>-32.5</v>
      </c>
      <c r="AY14" s="5">
        <f t="shared" si="18"/>
        <v>-32.5</v>
      </c>
      <c r="AZ14" s="5">
        <f t="shared" si="18"/>
        <v>-32.5</v>
      </c>
      <c r="BA14" s="5">
        <f t="shared" si="18"/>
        <v>-32.5</v>
      </c>
      <c r="BB14" s="5">
        <f t="shared" si="18"/>
        <v>-32.5</v>
      </c>
      <c r="BC14" s="383">
        <f>'[12]Org.Structure (IT)'!$AO$105*BC1/-1000000</f>
        <v>-390</v>
      </c>
      <c r="BD14" s="5">
        <f t="shared" si="19"/>
        <v>-35.546875</v>
      </c>
      <c r="BE14" s="5">
        <f t="shared" si="19"/>
        <v>-35.546875</v>
      </c>
      <c r="BF14" s="5">
        <f t="shared" si="19"/>
        <v>-35.546875</v>
      </c>
      <c r="BG14" s="5">
        <f t="shared" si="19"/>
        <v>-35.546875</v>
      </c>
      <c r="BH14" s="5">
        <f t="shared" si="19"/>
        <v>-35.546875</v>
      </c>
      <c r="BI14" s="5">
        <f t="shared" si="19"/>
        <v>-35.546875</v>
      </c>
      <c r="BJ14" s="5">
        <f t="shared" si="19"/>
        <v>-35.546875</v>
      </c>
      <c r="BK14" s="5">
        <f t="shared" si="19"/>
        <v>-35.546875</v>
      </c>
      <c r="BL14" s="5">
        <f t="shared" si="19"/>
        <v>-35.546875</v>
      </c>
      <c r="BM14" s="5">
        <f t="shared" si="19"/>
        <v>-35.546875</v>
      </c>
      <c r="BN14" s="5">
        <f t="shared" si="19"/>
        <v>-35.546875</v>
      </c>
      <c r="BO14" s="5">
        <f t="shared" si="19"/>
        <v>-35.546875</v>
      </c>
      <c r="BP14" s="383">
        <f>'[12]Org.Structure (IT)'!$AP$105*BP1/-1000000</f>
        <v>-426.5625</v>
      </c>
      <c r="CE14" s="605" t="s">
        <v>828</v>
      </c>
      <c r="CF14" s="12" t="s">
        <v>965</v>
      </c>
    </row>
    <row r="15" spans="1:84" s="5" customFormat="1" hidden="1" outlineLevel="1">
      <c r="A15" s="605" t="s">
        <v>829</v>
      </c>
      <c r="B15" s="12" t="s">
        <v>502</v>
      </c>
      <c r="D15" s="5">
        <f t="shared" si="15"/>
        <v>-12.512500000000001</v>
      </c>
      <c r="E15" s="5">
        <f t="shared" si="15"/>
        <v>-12.512500000000001</v>
      </c>
      <c r="F15" s="5">
        <f t="shared" si="15"/>
        <v>-12.512500000000001</v>
      </c>
      <c r="G15" s="5">
        <f t="shared" si="15"/>
        <v>-12.512500000000001</v>
      </c>
      <c r="H15" s="5">
        <f t="shared" si="15"/>
        <v>-12.512500000000001</v>
      </c>
      <c r="I15" s="5">
        <f t="shared" si="15"/>
        <v>-12.512500000000001</v>
      </c>
      <c r="J15" s="5">
        <f t="shared" si="15"/>
        <v>-12.512500000000001</v>
      </c>
      <c r="K15" s="5">
        <f t="shared" si="15"/>
        <v>-12.512500000000001</v>
      </c>
      <c r="L15" s="5">
        <f t="shared" si="15"/>
        <v>-12.512500000000001</v>
      </c>
      <c r="M15" s="5">
        <f t="shared" si="15"/>
        <v>-12.512500000000001</v>
      </c>
      <c r="N15" s="5">
        <f t="shared" si="15"/>
        <v>-12.512500000000001</v>
      </c>
      <c r="O15" s="5">
        <f t="shared" si="15"/>
        <v>-12.512500000000001</v>
      </c>
      <c r="P15" s="383">
        <f>'[12]Org.Structure (IT)'!$Z$116*P1/-1000000</f>
        <v>-150.15</v>
      </c>
      <c r="Q15" s="5">
        <f t="shared" si="16"/>
        <v>-16.732499999999998</v>
      </c>
      <c r="R15" s="5">
        <f t="shared" si="16"/>
        <v>-16.732499999999998</v>
      </c>
      <c r="S15" s="5">
        <f t="shared" si="16"/>
        <v>-16.732499999999998</v>
      </c>
      <c r="T15" s="5">
        <f t="shared" si="16"/>
        <v>-16.732499999999998</v>
      </c>
      <c r="U15" s="5">
        <f t="shared" si="16"/>
        <v>-16.732499999999998</v>
      </c>
      <c r="V15" s="5">
        <f t="shared" si="16"/>
        <v>-16.732499999999998</v>
      </c>
      <c r="W15" s="5">
        <f t="shared" si="16"/>
        <v>-16.732499999999998</v>
      </c>
      <c r="X15" s="5">
        <f t="shared" si="16"/>
        <v>-16.732499999999998</v>
      </c>
      <c r="Y15" s="5">
        <f t="shared" si="16"/>
        <v>-16.732499999999998</v>
      </c>
      <c r="Z15" s="5">
        <f t="shared" si="16"/>
        <v>-16.732499999999998</v>
      </c>
      <c r="AA15" s="5">
        <f t="shared" si="16"/>
        <v>-16.732499999999998</v>
      </c>
      <c r="AB15" s="5">
        <f t="shared" si="16"/>
        <v>-16.732499999999998</v>
      </c>
      <c r="AC15" s="383">
        <f>'[12]Org.Structure (IT)'!$AM$116*AC1/-1000000</f>
        <v>-200.79</v>
      </c>
      <c r="AD15" s="5">
        <f t="shared" si="17"/>
        <v>-22.964375</v>
      </c>
      <c r="AE15" s="5">
        <f t="shared" si="17"/>
        <v>-22.964375</v>
      </c>
      <c r="AF15" s="5">
        <f t="shared" si="17"/>
        <v>-22.964375</v>
      </c>
      <c r="AG15" s="5">
        <f t="shared" si="17"/>
        <v>-22.964375</v>
      </c>
      <c r="AH15" s="5">
        <f t="shared" si="17"/>
        <v>-22.964375</v>
      </c>
      <c r="AI15" s="5">
        <f t="shared" si="17"/>
        <v>-22.964375</v>
      </c>
      <c r="AJ15" s="5">
        <f t="shared" si="17"/>
        <v>-22.964375</v>
      </c>
      <c r="AK15" s="5">
        <f t="shared" si="17"/>
        <v>-22.964375</v>
      </c>
      <c r="AL15" s="5">
        <f t="shared" si="17"/>
        <v>-22.964375</v>
      </c>
      <c r="AM15" s="5">
        <f t="shared" si="17"/>
        <v>-22.964375</v>
      </c>
      <c r="AN15" s="5">
        <f t="shared" si="17"/>
        <v>-22.964375</v>
      </c>
      <c r="AO15" s="5">
        <f t="shared" si="17"/>
        <v>-22.964375</v>
      </c>
      <c r="AP15" s="383">
        <f>'[12]Org.Structure (IT)'!$AN$116*AP1/-1000000</f>
        <v>-275.57249999999999</v>
      </c>
      <c r="AQ15" s="5">
        <f t="shared" si="18"/>
        <v>-27.400000000000002</v>
      </c>
      <c r="AR15" s="5">
        <f t="shared" si="18"/>
        <v>-27.400000000000002</v>
      </c>
      <c r="AS15" s="5">
        <f t="shared" si="18"/>
        <v>-27.400000000000002</v>
      </c>
      <c r="AT15" s="5">
        <f t="shared" si="18"/>
        <v>-27.400000000000002</v>
      </c>
      <c r="AU15" s="5">
        <f t="shared" si="18"/>
        <v>-27.400000000000002</v>
      </c>
      <c r="AV15" s="5">
        <f t="shared" si="18"/>
        <v>-27.400000000000002</v>
      </c>
      <c r="AW15" s="5">
        <f t="shared" si="18"/>
        <v>-27.400000000000002</v>
      </c>
      <c r="AX15" s="5">
        <f t="shared" si="18"/>
        <v>-27.400000000000002</v>
      </c>
      <c r="AY15" s="5">
        <f t="shared" si="18"/>
        <v>-27.400000000000002</v>
      </c>
      <c r="AZ15" s="5">
        <f t="shared" si="18"/>
        <v>-27.400000000000002</v>
      </c>
      <c r="BA15" s="5">
        <f t="shared" si="18"/>
        <v>-27.400000000000002</v>
      </c>
      <c r="BB15" s="5">
        <f t="shared" si="18"/>
        <v>-27.400000000000002</v>
      </c>
      <c r="BC15" s="383">
        <f>'[12]Org.Structure (IT)'!$AO$116*BC1/-1000000</f>
        <v>-328.8</v>
      </c>
      <c r="BD15" s="5">
        <f t="shared" si="19"/>
        <v>-29.96875</v>
      </c>
      <c r="BE15" s="5">
        <f t="shared" si="19"/>
        <v>-29.96875</v>
      </c>
      <c r="BF15" s="5">
        <f t="shared" si="19"/>
        <v>-29.96875</v>
      </c>
      <c r="BG15" s="5">
        <f t="shared" si="19"/>
        <v>-29.96875</v>
      </c>
      <c r="BH15" s="5">
        <f t="shared" si="19"/>
        <v>-29.96875</v>
      </c>
      <c r="BI15" s="5">
        <f t="shared" si="19"/>
        <v>-29.96875</v>
      </c>
      <c r="BJ15" s="5">
        <f t="shared" si="19"/>
        <v>-29.96875</v>
      </c>
      <c r="BK15" s="5">
        <f t="shared" si="19"/>
        <v>-29.96875</v>
      </c>
      <c r="BL15" s="5">
        <f t="shared" si="19"/>
        <v>-29.96875</v>
      </c>
      <c r="BM15" s="5">
        <f t="shared" si="19"/>
        <v>-29.96875</v>
      </c>
      <c r="BN15" s="5">
        <f t="shared" si="19"/>
        <v>-29.96875</v>
      </c>
      <c r="BO15" s="5">
        <f t="shared" si="19"/>
        <v>-29.96875</v>
      </c>
      <c r="BP15" s="383">
        <f>'[12]Org.Structure (IT)'!$AP$116*BP1/-1000000</f>
        <v>-359.625</v>
      </c>
      <c r="CE15" s="605" t="s">
        <v>829</v>
      </c>
      <c r="CF15" s="12" t="s">
        <v>965</v>
      </c>
    </row>
    <row r="16" spans="1:84" s="5" customFormat="1" hidden="1" outlineLevel="1">
      <c r="A16" s="605" t="s">
        <v>830</v>
      </c>
      <c r="B16" s="12" t="s">
        <v>502</v>
      </c>
      <c r="D16" s="5">
        <f t="shared" si="15"/>
        <v>-5.1124999999999998</v>
      </c>
      <c r="E16" s="5">
        <f t="shared" si="15"/>
        <v>-5.1124999999999998</v>
      </c>
      <c r="F16" s="5">
        <f t="shared" si="15"/>
        <v>-5.1124999999999998</v>
      </c>
      <c r="G16" s="5">
        <f t="shared" si="15"/>
        <v>-5.1124999999999998</v>
      </c>
      <c r="H16" s="5">
        <f t="shared" si="15"/>
        <v>-5.1124999999999998</v>
      </c>
      <c r="I16" s="5">
        <f t="shared" si="15"/>
        <v>-5.1124999999999998</v>
      </c>
      <c r="J16" s="5">
        <f t="shared" si="15"/>
        <v>-5.1124999999999998</v>
      </c>
      <c r="K16" s="5">
        <f t="shared" si="15"/>
        <v>-5.1124999999999998</v>
      </c>
      <c r="L16" s="5">
        <f t="shared" si="15"/>
        <v>-5.1124999999999998</v>
      </c>
      <c r="M16" s="5">
        <f t="shared" si="15"/>
        <v>-5.1124999999999998</v>
      </c>
      <c r="N16" s="5">
        <f t="shared" si="15"/>
        <v>-5.1124999999999998</v>
      </c>
      <c r="O16" s="5">
        <f t="shared" si="15"/>
        <v>-5.1124999999999998</v>
      </c>
      <c r="P16" s="383">
        <f>'[12]Org.Structure (IT)'!$Z$125*P1/-1000000</f>
        <v>-61.35</v>
      </c>
      <c r="Q16" s="5">
        <f t="shared" si="16"/>
        <v>-5.8793749999999996</v>
      </c>
      <c r="R16" s="5">
        <f t="shared" si="16"/>
        <v>-5.8793749999999996</v>
      </c>
      <c r="S16" s="5">
        <f t="shared" si="16"/>
        <v>-5.8793749999999996</v>
      </c>
      <c r="T16" s="5">
        <f t="shared" si="16"/>
        <v>-5.8793749999999996</v>
      </c>
      <c r="U16" s="5">
        <f t="shared" si="16"/>
        <v>-5.8793749999999996</v>
      </c>
      <c r="V16" s="5">
        <f t="shared" si="16"/>
        <v>-5.8793749999999996</v>
      </c>
      <c r="W16" s="5">
        <f t="shared" si="16"/>
        <v>-5.8793749999999996</v>
      </c>
      <c r="X16" s="5">
        <f t="shared" si="16"/>
        <v>-5.8793749999999996</v>
      </c>
      <c r="Y16" s="5">
        <f t="shared" si="16"/>
        <v>-5.8793749999999996</v>
      </c>
      <c r="Z16" s="5">
        <f t="shared" si="16"/>
        <v>-5.8793749999999996</v>
      </c>
      <c r="AA16" s="5">
        <f t="shared" si="16"/>
        <v>-5.8793749999999996</v>
      </c>
      <c r="AB16" s="5">
        <f t="shared" si="16"/>
        <v>-5.8793749999999996</v>
      </c>
      <c r="AC16" s="383">
        <f>'[12]Org.Structure (IT)'!$AM$125*AC1/-1000000</f>
        <v>-70.552499999999995</v>
      </c>
      <c r="AD16" s="5">
        <f t="shared" si="17"/>
        <v>-9.2799999999999994</v>
      </c>
      <c r="AE16" s="5">
        <f t="shared" si="17"/>
        <v>-9.2799999999999994</v>
      </c>
      <c r="AF16" s="5">
        <f t="shared" si="17"/>
        <v>-9.2799999999999994</v>
      </c>
      <c r="AG16" s="5">
        <f t="shared" si="17"/>
        <v>-9.2799999999999994</v>
      </c>
      <c r="AH16" s="5">
        <f t="shared" si="17"/>
        <v>-9.2799999999999994</v>
      </c>
      <c r="AI16" s="5">
        <f t="shared" si="17"/>
        <v>-9.2799999999999994</v>
      </c>
      <c r="AJ16" s="5">
        <f t="shared" si="17"/>
        <v>-9.2799999999999994</v>
      </c>
      <c r="AK16" s="5">
        <f t="shared" si="17"/>
        <v>-9.2799999999999994</v>
      </c>
      <c r="AL16" s="5">
        <f t="shared" si="17"/>
        <v>-9.2799999999999994</v>
      </c>
      <c r="AM16" s="5">
        <f t="shared" si="17"/>
        <v>-9.2799999999999994</v>
      </c>
      <c r="AN16" s="5">
        <f t="shared" si="17"/>
        <v>-9.2799999999999994</v>
      </c>
      <c r="AO16" s="5">
        <f t="shared" si="17"/>
        <v>-9.2799999999999994</v>
      </c>
      <c r="AP16" s="383">
        <f>'[12]Org.Structure (IT)'!$AN$125*AP1/-1000000</f>
        <v>-111.36</v>
      </c>
      <c r="AQ16" s="5">
        <f t="shared" si="18"/>
        <v>-10.24</v>
      </c>
      <c r="AR16" s="5">
        <f t="shared" si="18"/>
        <v>-10.24</v>
      </c>
      <c r="AS16" s="5">
        <f t="shared" si="18"/>
        <v>-10.24</v>
      </c>
      <c r="AT16" s="5">
        <f t="shared" si="18"/>
        <v>-10.24</v>
      </c>
      <c r="AU16" s="5">
        <f t="shared" si="18"/>
        <v>-10.24</v>
      </c>
      <c r="AV16" s="5">
        <f t="shared" si="18"/>
        <v>-10.24</v>
      </c>
      <c r="AW16" s="5">
        <f t="shared" si="18"/>
        <v>-10.24</v>
      </c>
      <c r="AX16" s="5">
        <f t="shared" si="18"/>
        <v>-10.24</v>
      </c>
      <c r="AY16" s="5">
        <f t="shared" si="18"/>
        <v>-10.24</v>
      </c>
      <c r="AZ16" s="5">
        <f t="shared" si="18"/>
        <v>-10.24</v>
      </c>
      <c r="BA16" s="5">
        <f t="shared" si="18"/>
        <v>-10.24</v>
      </c>
      <c r="BB16" s="5">
        <f t="shared" si="18"/>
        <v>-10.24</v>
      </c>
      <c r="BC16" s="383">
        <f>'[12]Org.Structure (IT)'!$AO$125*BC1/-1000000</f>
        <v>-122.88</v>
      </c>
      <c r="BD16" s="5">
        <f t="shared" si="19"/>
        <v>-11.200000000000001</v>
      </c>
      <c r="BE16" s="5">
        <f t="shared" si="19"/>
        <v>-11.200000000000001</v>
      </c>
      <c r="BF16" s="5">
        <f t="shared" si="19"/>
        <v>-11.200000000000001</v>
      </c>
      <c r="BG16" s="5">
        <f t="shared" si="19"/>
        <v>-11.200000000000001</v>
      </c>
      <c r="BH16" s="5">
        <f t="shared" si="19"/>
        <v>-11.200000000000001</v>
      </c>
      <c r="BI16" s="5">
        <f t="shared" si="19"/>
        <v>-11.200000000000001</v>
      </c>
      <c r="BJ16" s="5">
        <f t="shared" si="19"/>
        <v>-11.200000000000001</v>
      </c>
      <c r="BK16" s="5">
        <f t="shared" si="19"/>
        <v>-11.200000000000001</v>
      </c>
      <c r="BL16" s="5">
        <f t="shared" si="19"/>
        <v>-11.200000000000001</v>
      </c>
      <c r="BM16" s="5">
        <f t="shared" si="19"/>
        <v>-11.200000000000001</v>
      </c>
      <c r="BN16" s="5">
        <f t="shared" si="19"/>
        <v>-11.200000000000001</v>
      </c>
      <c r="BO16" s="5">
        <f t="shared" si="19"/>
        <v>-11.200000000000001</v>
      </c>
      <c r="BP16" s="383">
        <f>'[12]Org.Structure (IT)'!$AP$125*BP1/-1000000</f>
        <v>-134.4</v>
      </c>
      <c r="CE16" s="605" t="s">
        <v>830</v>
      </c>
      <c r="CF16" s="12" t="s">
        <v>965</v>
      </c>
    </row>
    <row r="17" spans="1:84" s="5" customFormat="1" hidden="1" outlineLevel="1">
      <c r="A17" s="605" t="s">
        <v>831</v>
      </c>
      <c r="B17" s="12" t="s">
        <v>502</v>
      </c>
      <c r="D17" s="5">
        <f t="shared" si="15"/>
        <v>-9.4187500000000011</v>
      </c>
      <c r="E17" s="5">
        <f t="shared" si="15"/>
        <v>-9.4187500000000011</v>
      </c>
      <c r="F17" s="5">
        <f t="shared" si="15"/>
        <v>-9.4187500000000011</v>
      </c>
      <c r="G17" s="5">
        <f t="shared" si="15"/>
        <v>-9.4187500000000011</v>
      </c>
      <c r="H17" s="5">
        <f t="shared" si="15"/>
        <v>-9.4187500000000011</v>
      </c>
      <c r="I17" s="5">
        <f t="shared" si="15"/>
        <v>-9.4187500000000011</v>
      </c>
      <c r="J17" s="5">
        <f t="shared" si="15"/>
        <v>-9.4187500000000011</v>
      </c>
      <c r="K17" s="5">
        <f t="shared" si="15"/>
        <v>-9.4187500000000011</v>
      </c>
      <c r="L17" s="5">
        <f t="shared" si="15"/>
        <v>-9.4187500000000011</v>
      </c>
      <c r="M17" s="5">
        <f t="shared" si="15"/>
        <v>-9.4187500000000011</v>
      </c>
      <c r="N17" s="5">
        <f t="shared" si="15"/>
        <v>-9.4187500000000011</v>
      </c>
      <c r="O17" s="5">
        <f t="shared" si="15"/>
        <v>-9.4187500000000011</v>
      </c>
      <c r="P17" s="383">
        <f>'[12]Org.Structure (IT)'!$Z$130*P1/-1000000</f>
        <v>-113.02500000000001</v>
      </c>
      <c r="Q17" s="5">
        <f t="shared" si="16"/>
        <v>-10.831562499999999</v>
      </c>
      <c r="R17" s="5">
        <f t="shared" si="16"/>
        <v>-10.831562499999999</v>
      </c>
      <c r="S17" s="5">
        <f t="shared" si="16"/>
        <v>-10.831562499999999</v>
      </c>
      <c r="T17" s="5">
        <f t="shared" si="16"/>
        <v>-10.831562499999999</v>
      </c>
      <c r="U17" s="5">
        <f t="shared" si="16"/>
        <v>-10.831562499999999</v>
      </c>
      <c r="V17" s="5">
        <f t="shared" si="16"/>
        <v>-10.831562499999999</v>
      </c>
      <c r="W17" s="5">
        <f t="shared" si="16"/>
        <v>-10.831562499999999</v>
      </c>
      <c r="X17" s="5">
        <f t="shared" si="16"/>
        <v>-10.831562499999999</v>
      </c>
      <c r="Y17" s="5">
        <f t="shared" si="16"/>
        <v>-10.831562499999999</v>
      </c>
      <c r="Z17" s="5">
        <f t="shared" si="16"/>
        <v>-10.831562499999999</v>
      </c>
      <c r="AA17" s="5">
        <f t="shared" si="16"/>
        <v>-10.831562499999999</v>
      </c>
      <c r="AB17" s="5">
        <f t="shared" si="16"/>
        <v>-10.831562499999999</v>
      </c>
      <c r="AC17" s="383">
        <f>'[12]Org.Structure (IT)'!$AM$130*AC1/-1000000</f>
        <v>-129.97874999999999</v>
      </c>
      <c r="AD17" s="5">
        <f t="shared" si="17"/>
        <v>-17.028437499999999</v>
      </c>
      <c r="AE17" s="5">
        <f t="shared" si="17"/>
        <v>-17.028437499999999</v>
      </c>
      <c r="AF17" s="5">
        <f t="shared" si="17"/>
        <v>-17.028437499999999</v>
      </c>
      <c r="AG17" s="5">
        <f t="shared" si="17"/>
        <v>-17.028437499999999</v>
      </c>
      <c r="AH17" s="5">
        <f t="shared" si="17"/>
        <v>-17.028437499999999</v>
      </c>
      <c r="AI17" s="5">
        <f t="shared" si="17"/>
        <v>-17.028437499999999</v>
      </c>
      <c r="AJ17" s="5">
        <f t="shared" si="17"/>
        <v>-17.028437499999999</v>
      </c>
      <c r="AK17" s="5">
        <f t="shared" si="17"/>
        <v>-17.028437499999999</v>
      </c>
      <c r="AL17" s="5">
        <f t="shared" si="17"/>
        <v>-17.028437499999999</v>
      </c>
      <c r="AM17" s="5">
        <f t="shared" si="17"/>
        <v>-17.028437499999999</v>
      </c>
      <c r="AN17" s="5">
        <f t="shared" si="17"/>
        <v>-17.028437499999999</v>
      </c>
      <c r="AO17" s="5">
        <f t="shared" si="17"/>
        <v>-17.028437499999999</v>
      </c>
      <c r="AP17" s="383">
        <f>'[12]Org.Structure (IT)'!$AN$130*AP1/-1000000</f>
        <v>-204.34125</v>
      </c>
      <c r="AQ17" s="5">
        <f t="shared" si="18"/>
        <v>-27.89</v>
      </c>
      <c r="AR17" s="5">
        <f t="shared" si="18"/>
        <v>-27.89</v>
      </c>
      <c r="AS17" s="5">
        <f t="shared" si="18"/>
        <v>-27.89</v>
      </c>
      <c r="AT17" s="5">
        <f t="shared" si="18"/>
        <v>-27.89</v>
      </c>
      <c r="AU17" s="5">
        <f t="shared" si="18"/>
        <v>-27.89</v>
      </c>
      <c r="AV17" s="5">
        <f t="shared" si="18"/>
        <v>-27.89</v>
      </c>
      <c r="AW17" s="5">
        <f t="shared" si="18"/>
        <v>-27.89</v>
      </c>
      <c r="AX17" s="5">
        <f t="shared" si="18"/>
        <v>-27.89</v>
      </c>
      <c r="AY17" s="5">
        <f t="shared" si="18"/>
        <v>-27.89</v>
      </c>
      <c r="AZ17" s="5">
        <f t="shared" si="18"/>
        <v>-27.89</v>
      </c>
      <c r="BA17" s="5">
        <f t="shared" si="18"/>
        <v>-27.89</v>
      </c>
      <c r="BB17" s="5">
        <f t="shared" si="18"/>
        <v>-27.89</v>
      </c>
      <c r="BC17" s="383">
        <f>'[12]Org.Structure (IT)'!$AO$130*BC1/-1000000</f>
        <v>-334.68</v>
      </c>
      <c r="BD17" s="5">
        <f t="shared" si="19"/>
        <v>-34.135937500000004</v>
      </c>
      <c r="BE17" s="5">
        <f t="shared" si="19"/>
        <v>-34.135937500000004</v>
      </c>
      <c r="BF17" s="5">
        <f t="shared" si="19"/>
        <v>-34.135937500000004</v>
      </c>
      <c r="BG17" s="5">
        <f t="shared" si="19"/>
        <v>-34.135937500000004</v>
      </c>
      <c r="BH17" s="5">
        <f t="shared" si="19"/>
        <v>-34.135937500000004</v>
      </c>
      <c r="BI17" s="5">
        <f t="shared" si="19"/>
        <v>-34.135937500000004</v>
      </c>
      <c r="BJ17" s="5">
        <f t="shared" si="19"/>
        <v>-34.135937500000004</v>
      </c>
      <c r="BK17" s="5">
        <f t="shared" si="19"/>
        <v>-34.135937500000004</v>
      </c>
      <c r="BL17" s="5">
        <f t="shared" si="19"/>
        <v>-34.135937500000004</v>
      </c>
      <c r="BM17" s="5">
        <f t="shared" si="19"/>
        <v>-34.135937500000004</v>
      </c>
      <c r="BN17" s="5">
        <f t="shared" si="19"/>
        <v>-34.135937500000004</v>
      </c>
      <c r="BO17" s="5">
        <f t="shared" si="19"/>
        <v>-34.135937500000004</v>
      </c>
      <c r="BP17" s="383">
        <f>'[12]Org.Structure (IT)'!$AP$130*BP1/-1000000</f>
        <v>-409.63125000000002</v>
      </c>
      <c r="CE17" s="605" t="s">
        <v>831</v>
      </c>
      <c r="CF17" s="12" t="s">
        <v>965</v>
      </c>
    </row>
    <row r="18" spans="1:84" s="5" customFormat="1" hidden="1" outlineLevel="1">
      <c r="A18" s="605" t="s">
        <v>832</v>
      </c>
      <c r="B18" s="12" t="s">
        <v>502</v>
      </c>
      <c r="D18" s="5">
        <f t="shared" si="15"/>
        <v>-12.15</v>
      </c>
      <c r="E18" s="5">
        <f t="shared" si="15"/>
        <v>-12.15</v>
      </c>
      <c r="F18" s="5">
        <f t="shared" si="15"/>
        <v>-12.15</v>
      </c>
      <c r="G18" s="5">
        <f t="shared" si="15"/>
        <v>-12.15</v>
      </c>
      <c r="H18" s="5">
        <f t="shared" si="15"/>
        <v>-12.15</v>
      </c>
      <c r="I18" s="5">
        <f t="shared" si="15"/>
        <v>-12.15</v>
      </c>
      <c r="J18" s="5">
        <f t="shared" si="15"/>
        <v>-12.15</v>
      </c>
      <c r="K18" s="5">
        <f t="shared" si="15"/>
        <v>-12.15</v>
      </c>
      <c r="L18" s="5">
        <f t="shared" si="15"/>
        <v>-12.15</v>
      </c>
      <c r="M18" s="5">
        <f t="shared" si="15"/>
        <v>-12.15</v>
      </c>
      <c r="N18" s="5">
        <f t="shared" si="15"/>
        <v>-12.15</v>
      </c>
      <c r="O18" s="5">
        <f t="shared" si="15"/>
        <v>-12.15</v>
      </c>
      <c r="P18" s="383">
        <f>'[12]Org.Structure (IT)'!$Z$137*P1/-1000000</f>
        <v>-145.80000000000001</v>
      </c>
      <c r="Q18" s="5">
        <f t="shared" si="16"/>
        <v>-13.972499999999998</v>
      </c>
      <c r="R18" s="5">
        <f t="shared" si="16"/>
        <v>-13.972499999999998</v>
      </c>
      <c r="S18" s="5">
        <f t="shared" si="16"/>
        <v>-13.972499999999998</v>
      </c>
      <c r="T18" s="5">
        <f t="shared" si="16"/>
        <v>-13.972499999999998</v>
      </c>
      <c r="U18" s="5">
        <f t="shared" si="16"/>
        <v>-13.972499999999998</v>
      </c>
      <c r="V18" s="5">
        <f t="shared" si="16"/>
        <v>-13.972499999999998</v>
      </c>
      <c r="W18" s="5">
        <f t="shared" si="16"/>
        <v>-13.972499999999998</v>
      </c>
      <c r="X18" s="5">
        <f t="shared" si="16"/>
        <v>-13.972499999999998</v>
      </c>
      <c r="Y18" s="5">
        <f t="shared" si="16"/>
        <v>-13.972499999999998</v>
      </c>
      <c r="Z18" s="5">
        <f t="shared" si="16"/>
        <v>-13.972499999999998</v>
      </c>
      <c r="AA18" s="5">
        <f t="shared" si="16"/>
        <v>-13.972499999999998</v>
      </c>
      <c r="AB18" s="5">
        <f t="shared" si="16"/>
        <v>-13.972499999999998</v>
      </c>
      <c r="AC18" s="383">
        <f>'[12]Org.Structure (IT)'!$AM$137*AC1/-1000000</f>
        <v>-167.67</v>
      </c>
      <c r="AD18" s="5">
        <f t="shared" si="17"/>
        <v>-26.535</v>
      </c>
      <c r="AE18" s="5">
        <f t="shared" si="17"/>
        <v>-26.535</v>
      </c>
      <c r="AF18" s="5">
        <f t="shared" si="17"/>
        <v>-26.535</v>
      </c>
      <c r="AG18" s="5">
        <f t="shared" si="17"/>
        <v>-26.535</v>
      </c>
      <c r="AH18" s="5">
        <f t="shared" si="17"/>
        <v>-26.535</v>
      </c>
      <c r="AI18" s="5">
        <f t="shared" si="17"/>
        <v>-26.535</v>
      </c>
      <c r="AJ18" s="5">
        <f t="shared" si="17"/>
        <v>-26.535</v>
      </c>
      <c r="AK18" s="5">
        <f t="shared" si="17"/>
        <v>-26.535</v>
      </c>
      <c r="AL18" s="5">
        <f t="shared" si="17"/>
        <v>-26.535</v>
      </c>
      <c r="AM18" s="5">
        <f t="shared" si="17"/>
        <v>-26.535</v>
      </c>
      <c r="AN18" s="5">
        <f t="shared" si="17"/>
        <v>-26.535</v>
      </c>
      <c r="AO18" s="5">
        <f t="shared" si="17"/>
        <v>-26.535</v>
      </c>
      <c r="AP18" s="383">
        <f>'[12]Org.Structure (IT)'!$AN$137*AP1/-1000000</f>
        <v>-318.42</v>
      </c>
      <c r="AQ18" s="5">
        <f t="shared" si="18"/>
        <v>-39.119999999999997</v>
      </c>
      <c r="AR18" s="5">
        <f t="shared" si="18"/>
        <v>-39.119999999999997</v>
      </c>
      <c r="AS18" s="5">
        <f t="shared" si="18"/>
        <v>-39.119999999999997</v>
      </c>
      <c r="AT18" s="5">
        <f t="shared" si="18"/>
        <v>-39.119999999999997</v>
      </c>
      <c r="AU18" s="5">
        <f t="shared" si="18"/>
        <v>-39.119999999999997</v>
      </c>
      <c r="AV18" s="5">
        <f t="shared" si="18"/>
        <v>-39.119999999999997</v>
      </c>
      <c r="AW18" s="5">
        <f t="shared" si="18"/>
        <v>-39.119999999999997</v>
      </c>
      <c r="AX18" s="5">
        <f t="shared" si="18"/>
        <v>-39.119999999999997</v>
      </c>
      <c r="AY18" s="5">
        <f t="shared" si="18"/>
        <v>-39.119999999999997</v>
      </c>
      <c r="AZ18" s="5">
        <f t="shared" si="18"/>
        <v>-39.119999999999997</v>
      </c>
      <c r="BA18" s="5">
        <f t="shared" si="18"/>
        <v>-39.119999999999997</v>
      </c>
      <c r="BB18" s="5">
        <f t="shared" si="18"/>
        <v>-39.119999999999997</v>
      </c>
      <c r="BC18" s="383">
        <f>'[12]Org.Structure (IT)'!$AO$137*BC1/-1000000</f>
        <v>-469.44</v>
      </c>
      <c r="BD18" s="5">
        <f t="shared" si="19"/>
        <v>-42.787500000000001</v>
      </c>
      <c r="BE18" s="5">
        <f t="shared" si="19"/>
        <v>-42.787500000000001</v>
      </c>
      <c r="BF18" s="5">
        <f t="shared" si="19"/>
        <v>-42.787500000000001</v>
      </c>
      <c r="BG18" s="5">
        <f t="shared" si="19"/>
        <v>-42.787500000000001</v>
      </c>
      <c r="BH18" s="5">
        <f t="shared" si="19"/>
        <v>-42.787500000000001</v>
      </c>
      <c r="BI18" s="5">
        <f t="shared" si="19"/>
        <v>-42.787500000000001</v>
      </c>
      <c r="BJ18" s="5">
        <f t="shared" si="19"/>
        <v>-42.787500000000001</v>
      </c>
      <c r="BK18" s="5">
        <f t="shared" si="19"/>
        <v>-42.787500000000001</v>
      </c>
      <c r="BL18" s="5">
        <f t="shared" si="19"/>
        <v>-42.787500000000001</v>
      </c>
      <c r="BM18" s="5">
        <f t="shared" si="19"/>
        <v>-42.787500000000001</v>
      </c>
      <c r="BN18" s="5">
        <f t="shared" si="19"/>
        <v>-42.787500000000001</v>
      </c>
      <c r="BO18" s="5">
        <f t="shared" si="19"/>
        <v>-42.787500000000001</v>
      </c>
      <c r="BP18" s="383">
        <f>'[12]Org.Structure (IT)'!$AP$137*BP1/-1000000</f>
        <v>-513.45000000000005</v>
      </c>
      <c r="CE18" s="605" t="s">
        <v>832</v>
      </c>
      <c r="CF18" s="12" t="s">
        <v>965</v>
      </c>
    </row>
    <row r="19" spans="1:84" s="5" customFormat="1" hidden="1" outlineLevel="1">
      <c r="A19" s="605" t="s">
        <v>833</v>
      </c>
      <c r="B19" s="12" t="s">
        <v>502</v>
      </c>
      <c r="D19" s="5">
        <f t="shared" si="15"/>
        <v>-27.887499999999999</v>
      </c>
      <c r="E19" s="5">
        <f t="shared" si="15"/>
        <v>-27.887499999999999</v>
      </c>
      <c r="F19" s="5">
        <f t="shared" si="15"/>
        <v>-27.887499999999999</v>
      </c>
      <c r="G19" s="5">
        <f t="shared" si="15"/>
        <v>-27.887499999999999</v>
      </c>
      <c r="H19" s="5">
        <f t="shared" si="15"/>
        <v>-27.887499999999999</v>
      </c>
      <c r="I19" s="5">
        <f t="shared" si="15"/>
        <v>-27.887499999999999</v>
      </c>
      <c r="J19" s="5">
        <f t="shared" si="15"/>
        <v>-27.887499999999999</v>
      </c>
      <c r="K19" s="5">
        <f t="shared" si="15"/>
        <v>-27.887499999999999</v>
      </c>
      <c r="L19" s="5">
        <f t="shared" si="15"/>
        <v>-27.887499999999999</v>
      </c>
      <c r="M19" s="5">
        <f t="shared" si="15"/>
        <v>-27.887499999999999</v>
      </c>
      <c r="N19" s="5">
        <f t="shared" si="15"/>
        <v>-27.887499999999999</v>
      </c>
      <c r="O19" s="5">
        <f t="shared" si="15"/>
        <v>-27.887499999999999</v>
      </c>
      <c r="P19" s="383">
        <f>'[12]Org.Structure (IT)'!$Z$144*P1/-1000000</f>
        <v>-334.65</v>
      </c>
      <c r="Q19" s="5">
        <f t="shared" si="16"/>
        <v>-61.395624999999995</v>
      </c>
      <c r="R19" s="5">
        <f t="shared" si="16"/>
        <v>-61.395624999999995</v>
      </c>
      <c r="S19" s="5">
        <f t="shared" si="16"/>
        <v>-61.395624999999995</v>
      </c>
      <c r="T19" s="5">
        <f t="shared" si="16"/>
        <v>-61.395624999999995</v>
      </c>
      <c r="U19" s="5">
        <f t="shared" si="16"/>
        <v>-61.395624999999995</v>
      </c>
      <c r="V19" s="5">
        <f t="shared" si="16"/>
        <v>-61.395624999999995</v>
      </c>
      <c r="W19" s="5">
        <f t="shared" si="16"/>
        <v>-61.395624999999995</v>
      </c>
      <c r="X19" s="5">
        <f t="shared" si="16"/>
        <v>-61.395624999999995</v>
      </c>
      <c r="Y19" s="5">
        <f t="shared" si="16"/>
        <v>-61.395624999999995</v>
      </c>
      <c r="Z19" s="5">
        <f t="shared" si="16"/>
        <v>-61.395624999999995</v>
      </c>
      <c r="AA19" s="5">
        <f t="shared" si="16"/>
        <v>-61.395624999999995</v>
      </c>
      <c r="AB19" s="5">
        <f t="shared" si="16"/>
        <v>-61.395624999999995</v>
      </c>
      <c r="AC19" s="383">
        <f>'[12]Org.Structure (IT)'!$AM$144*AC1/-1000000</f>
        <v>-736.74749999999995</v>
      </c>
      <c r="AD19" s="5">
        <f t="shared" si="17"/>
        <v>-116.47125</v>
      </c>
      <c r="AE19" s="5">
        <f t="shared" si="17"/>
        <v>-116.47125</v>
      </c>
      <c r="AF19" s="5">
        <f t="shared" si="17"/>
        <v>-116.47125</v>
      </c>
      <c r="AG19" s="5">
        <f t="shared" si="17"/>
        <v>-116.47125</v>
      </c>
      <c r="AH19" s="5">
        <f t="shared" si="17"/>
        <v>-116.47125</v>
      </c>
      <c r="AI19" s="5">
        <f t="shared" si="17"/>
        <v>-116.47125</v>
      </c>
      <c r="AJ19" s="5">
        <f t="shared" si="17"/>
        <v>-116.47125</v>
      </c>
      <c r="AK19" s="5">
        <f t="shared" si="17"/>
        <v>-116.47125</v>
      </c>
      <c r="AL19" s="5">
        <f t="shared" si="17"/>
        <v>-116.47125</v>
      </c>
      <c r="AM19" s="5">
        <f t="shared" si="17"/>
        <v>-116.47125</v>
      </c>
      <c r="AN19" s="5">
        <f t="shared" si="17"/>
        <v>-116.47125</v>
      </c>
      <c r="AO19" s="5">
        <f t="shared" si="17"/>
        <v>-116.47125</v>
      </c>
      <c r="AP19" s="383">
        <f>'[12]Org.Structure (IT)'!$AN$144*AP1/-1000000</f>
        <v>-1397.655</v>
      </c>
      <c r="AQ19" s="5">
        <f t="shared" si="18"/>
        <v>-159.26</v>
      </c>
      <c r="AR19" s="5">
        <f t="shared" si="18"/>
        <v>-159.26</v>
      </c>
      <c r="AS19" s="5">
        <f t="shared" si="18"/>
        <v>-159.26</v>
      </c>
      <c r="AT19" s="5">
        <f t="shared" si="18"/>
        <v>-159.26</v>
      </c>
      <c r="AU19" s="5">
        <f t="shared" si="18"/>
        <v>-159.26</v>
      </c>
      <c r="AV19" s="5">
        <f t="shared" si="18"/>
        <v>-159.26</v>
      </c>
      <c r="AW19" s="5">
        <f t="shared" si="18"/>
        <v>-159.26</v>
      </c>
      <c r="AX19" s="5">
        <f t="shared" si="18"/>
        <v>-159.26</v>
      </c>
      <c r="AY19" s="5">
        <f t="shared" si="18"/>
        <v>-159.26</v>
      </c>
      <c r="AZ19" s="5">
        <f t="shared" si="18"/>
        <v>-159.26</v>
      </c>
      <c r="BA19" s="5">
        <f t="shared" si="18"/>
        <v>-159.26</v>
      </c>
      <c r="BB19" s="5">
        <f t="shared" si="18"/>
        <v>-159.26</v>
      </c>
      <c r="BC19" s="383">
        <f>'[12]Org.Structure (IT)'!$AO$144*BC1/-1000000</f>
        <v>-1911.12</v>
      </c>
      <c r="BD19" s="5">
        <f t="shared" si="19"/>
        <v>-206.65312500000002</v>
      </c>
      <c r="BE19" s="5">
        <f t="shared" si="19"/>
        <v>-206.65312500000002</v>
      </c>
      <c r="BF19" s="5">
        <f t="shared" si="19"/>
        <v>-206.65312500000002</v>
      </c>
      <c r="BG19" s="5">
        <f t="shared" si="19"/>
        <v>-206.65312500000002</v>
      </c>
      <c r="BH19" s="5">
        <f t="shared" si="19"/>
        <v>-206.65312500000002</v>
      </c>
      <c r="BI19" s="5">
        <f t="shared" si="19"/>
        <v>-206.65312500000002</v>
      </c>
      <c r="BJ19" s="5">
        <f t="shared" si="19"/>
        <v>-206.65312500000002</v>
      </c>
      <c r="BK19" s="5">
        <f t="shared" si="19"/>
        <v>-206.65312500000002</v>
      </c>
      <c r="BL19" s="5">
        <f t="shared" si="19"/>
        <v>-206.65312500000002</v>
      </c>
      <c r="BM19" s="5">
        <f t="shared" si="19"/>
        <v>-206.65312500000002</v>
      </c>
      <c r="BN19" s="5">
        <f t="shared" si="19"/>
        <v>-206.65312500000002</v>
      </c>
      <c r="BO19" s="5">
        <f t="shared" si="19"/>
        <v>-206.65312500000002</v>
      </c>
      <c r="BP19" s="383">
        <f>'[12]Org.Structure (IT)'!$AP$144*BP1/-1000000</f>
        <v>-2479.8375000000001</v>
      </c>
      <c r="CE19" s="605" t="s">
        <v>833</v>
      </c>
      <c r="CF19" s="12" t="s">
        <v>965</v>
      </c>
    </row>
    <row r="20" spans="1:84" s="5" customFormat="1" hidden="1" outlineLevel="1">
      <c r="A20" s="605" t="s">
        <v>834</v>
      </c>
      <c r="B20" s="12" t="s">
        <v>502</v>
      </c>
      <c r="D20" s="5">
        <f t="shared" si="15"/>
        <v>-1.075</v>
      </c>
      <c r="E20" s="5">
        <f t="shared" si="15"/>
        <v>-1.075</v>
      </c>
      <c r="F20" s="5">
        <f t="shared" si="15"/>
        <v>-1.075</v>
      </c>
      <c r="G20" s="5">
        <f t="shared" si="15"/>
        <v>-1.075</v>
      </c>
      <c r="H20" s="5">
        <f t="shared" si="15"/>
        <v>-1.075</v>
      </c>
      <c r="I20" s="5">
        <f t="shared" si="15"/>
        <v>-1.075</v>
      </c>
      <c r="J20" s="5">
        <f t="shared" si="15"/>
        <v>-1.075</v>
      </c>
      <c r="K20" s="5">
        <f t="shared" si="15"/>
        <v>-1.075</v>
      </c>
      <c r="L20" s="5">
        <f t="shared" si="15"/>
        <v>-1.075</v>
      </c>
      <c r="M20" s="5">
        <f t="shared" si="15"/>
        <v>-1.075</v>
      </c>
      <c r="N20" s="5">
        <f t="shared" si="15"/>
        <v>-1.075</v>
      </c>
      <c r="O20" s="5">
        <f t="shared" si="15"/>
        <v>-1.075</v>
      </c>
      <c r="P20" s="383">
        <f>'[12]Org.Structure (IT)'!$Z$155*P1/-1000000</f>
        <v>-12.9</v>
      </c>
      <c r="Q20" s="5">
        <f t="shared" si="16"/>
        <v>-2.4725000000000001</v>
      </c>
      <c r="R20" s="5">
        <f t="shared" si="16"/>
        <v>-2.4725000000000001</v>
      </c>
      <c r="S20" s="5">
        <f t="shared" si="16"/>
        <v>-2.4725000000000001</v>
      </c>
      <c r="T20" s="5">
        <f t="shared" si="16"/>
        <v>-2.4725000000000001</v>
      </c>
      <c r="U20" s="5">
        <f t="shared" si="16"/>
        <v>-2.4725000000000001</v>
      </c>
      <c r="V20" s="5">
        <f t="shared" si="16"/>
        <v>-2.4725000000000001</v>
      </c>
      <c r="W20" s="5">
        <f t="shared" si="16"/>
        <v>-2.4725000000000001</v>
      </c>
      <c r="X20" s="5">
        <f t="shared" si="16"/>
        <v>-2.4725000000000001</v>
      </c>
      <c r="Y20" s="5">
        <f t="shared" si="16"/>
        <v>-2.4725000000000001</v>
      </c>
      <c r="Z20" s="5">
        <f t="shared" si="16"/>
        <v>-2.4725000000000001</v>
      </c>
      <c r="AA20" s="5">
        <f t="shared" si="16"/>
        <v>-2.4725000000000001</v>
      </c>
      <c r="AB20" s="5">
        <f t="shared" si="16"/>
        <v>-2.4725000000000001</v>
      </c>
      <c r="AC20" s="383">
        <f>'[12]Org.Structure (IT)'!$AM$155*AC1/-1000000</f>
        <v>-29.67</v>
      </c>
      <c r="AD20" s="5">
        <f t="shared" si="17"/>
        <v>-4.6762500000000005</v>
      </c>
      <c r="AE20" s="5">
        <f t="shared" si="17"/>
        <v>-4.6762500000000005</v>
      </c>
      <c r="AF20" s="5">
        <f t="shared" si="17"/>
        <v>-4.6762500000000005</v>
      </c>
      <c r="AG20" s="5">
        <f t="shared" si="17"/>
        <v>-4.6762500000000005</v>
      </c>
      <c r="AH20" s="5">
        <f t="shared" si="17"/>
        <v>-4.6762500000000005</v>
      </c>
      <c r="AI20" s="5">
        <f t="shared" si="17"/>
        <v>-4.6762500000000005</v>
      </c>
      <c r="AJ20" s="5">
        <f t="shared" si="17"/>
        <v>-4.6762500000000005</v>
      </c>
      <c r="AK20" s="5">
        <f t="shared" si="17"/>
        <v>-4.6762500000000005</v>
      </c>
      <c r="AL20" s="5">
        <f t="shared" si="17"/>
        <v>-4.6762500000000005</v>
      </c>
      <c r="AM20" s="5">
        <f t="shared" si="17"/>
        <v>-4.6762500000000005</v>
      </c>
      <c r="AN20" s="5">
        <f t="shared" si="17"/>
        <v>-4.6762500000000005</v>
      </c>
      <c r="AO20" s="5">
        <f t="shared" si="17"/>
        <v>-4.6762500000000005</v>
      </c>
      <c r="AP20" s="383">
        <f>'[12]Org.Structure (IT)'!$AN$155*AP1/-1000000</f>
        <v>-56.115000000000002</v>
      </c>
      <c r="AQ20" s="5">
        <f t="shared" si="18"/>
        <v>-6.88</v>
      </c>
      <c r="AR20" s="5">
        <f t="shared" si="18"/>
        <v>-6.88</v>
      </c>
      <c r="AS20" s="5">
        <f t="shared" si="18"/>
        <v>-6.88</v>
      </c>
      <c r="AT20" s="5">
        <f t="shared" si="18"/>
        <v>-6.88</v>
      </c>
      <c r="AU20" s="5">
        <f t="shared" si="18"/>
        <v>-6.88</v>
      </c>
      <c r="AV20" s="5">
        <f t="shared" si="18"/>
        <v>-6.88</v>
      </c>
      <c r="AW20" s="5">
        <f t="shared" si="18"/>
        <v>-6.88</v>
      </c>
      <c r="AX20" s="5">
        <f t="shared" si="18"/>
        <v>-6.88</v>
      </c>
      <c r="AY20" s="5">
        <f t="shared" si="18"/>
        <v>-6.88</v>
      </c>
      <c r="AZ20" s="5">
        <f t="shared" si="18"/>
        <v>-6.88</v>
      </c>
      <c r="BA20" s="5">
        <f t="shared" si="18"/>
        <v>-6.88</v>
      </c>
      <c r="BB20" s="5">
        <f t="shared" si="18"/>
        <v>-6.88</v>
      </c>
      <c r="BC20" s="383">
        <f>'[12]Org.Structure (IT)'!$AO$155*BC1/-1000000</f>
        <v>-82.56</v>
      </c>
      <c r="BD20" s="5">
        <f t="shared" si="19"/>
        <v>-7.5249999999999995</v>
      </c>
      <c r="BE20" s="5">
        <f t="shared" si="19"/>
        <v>-7.5249999999999995</v>
      </c>
      <c r="BF20" s="5">
        <f t="shared" si="19"/>
        <v>-7.5249999999999995</v>
      </c>
      <c r="BG20" s="5">
        <f t="shared" si="19"/>
        <v>-7.5249999999999995</v>
      </c>
      <c r="BH20" s="5">
        <f t="shared" si="19"/>
        <v>-7.5249999999999995</v>
      </c>
      <c r="BI20" s="5">
        <f t="shared" si="19"/>
        <v>-7.5249999999999995</v>
      </c>
      <c r="BJ20" s="5">
        <f t="shared" si="19"/>
        <v>-7.5249999999999995</v>
      </c>
      <c r="BK20" s="5">
        <f t="shared" si="19"/>
        <v>-7.5249999999999995</v>
      </c>
      <c r="BL20" s="5">
        <f t="shared" si="19"/>
        <v>-7.5249999999999995</v>
      </c>
      <c r="BM20" s="5">
        <f t="shared" si="19"/>
        <v>-7.5249999999999995</v>
      </c>
      <c r="BN20" s="5">
        <f t="shared" si="19"/>
        <v>-7.5249999999999995</v>
      </c>
      <c r="BO20" s="5">
        <f t="shared" si="19"/>
        <v>-7.5249999999999995</v>
      </c>
      <c r="BP20" s="383">
        <f>'[12]Org.Structure (IT)'!$AP$155*BP1/-1000000</f>
        <v>-90.3</v>
      </c>
      <c r="CE20" s="605" t="s">
        <v>834</v>
      </c>
      <c r="CF20" s="12" t="s">
        <v>965</v>
      </c>
    </row>
    <row r="21" spans="1:84" s="5" customFormat="1" hidden="1" outlineLevel="1">
      <c r="A21" s="605" t="s">
        <v>835</v>
      </c>
      <c r="B21" s="12" t="s">
        <v>502</v>
      </c>
      <c r="D21" s="5">
        <f t="shared" si="15"/>
        <v>-20.074999999999999</v>
      </c>
      <c r="E21" s="5">
        <f t="shared" si="15"/>
        <v>-20.074999999999999</v>
      </c>
      <c r="F21" s="5">
        <f t="shared" si="15"/>
        <v>-20.074999999999999</v>
      </c>
      <c r="G21" s="5">
        <f t="shared" si="15"/>
        <v>-20.074999999999999</v>
      </c>
      <c r="H21" s="5">
        <f t="shared" si="15"/>
        <v>-20.074999999999999</v>
      </c>
      <c r="I21" s="5">
        <f t="shared" si="15"/>
        <v>-20.074999999999999</v>
      </c>
      <c r="J21" s="5">
        <f t="shared" si="15"/>
        <v>-20.074999999999999</v>
      </c>
      <c r="K21" s="5">
        <f t="shared" si="15"/>
        <v>-20.074999999999999</v>
      </c>
      <c r="L21" s="5">
        <f t="shared" si="15"/>
        <v>-20.074999999999999</v>
      </c>
      <c r="M21" s="5">
        <f t="shared" si="15"/>
        <v>-20.074999999999999</v>
      </c>
      <c r="N21" s="5">
        <f t="shared" si="15"/>
        <v>-20.074999999999999</v>
      </c>
      <c r="O21" s="5">
        <f t="shared" si="15"/>
        <v>-20.074999999999999</v>
      </c>
      <c r="P21" s="383">
        <f>'[12]Org.Structure (IT)'!$Z$159*P1/-1000000</f>
        <v>-240.9</v>
      </c>
      <c r="Q21" s="5">
        <f t="shared" si="16"/>
        <v>-23.086250000000003</v>
      </c>
      <c r="R21" s="5">
        <f t="shared" si="16"/>
        <v>-23.086250000000003</v>
      </c>
      <c r="S21" s="5">
        <f t="shared" si="16"/>
        <v>-23.086250000000003</v>
      </c>
      <c r="T21" s="5">
        <f t="shared" si="16"/>
        <v>-23.086250000000003</v>
      </c>
      <c r="U21" s="5">
        <f t="shared" si="16"/>
        <v>-23.086250000000003</v>
      </c>
      <c r="V21" s="5">
        <f t="shared" si="16"/>
        <v>-23.086250000000003</v>
      </c>
      <c r="W21" s="5">
        <f t="shared" si="16"/>
        <v>-23.086250000000003</v>
      </c>
      <c r="X21" s="5">
        <f t="shared" si="16"/>
        <v>-23.086250000000003</v>
      </c>
      <c r="Y21" s="5">
        <f t="shared" si="16"/>
        <v>-23.086250000000003</v>
      </c>
      <c r="Z21" s="5">
        <f t="shared" si="16"/>
        <v>-23.086250000000003</v>
      </c>
      <c r="AA21" s="5">
        <f t="shared" si="16"/>
        <v>-23.086250000000003</v>
      </c>
      <c r="AB21" s="5">
        <f t="shared" si="16"/>
        <v>-23.086250000000003</v>
      </c>
      <c r="AC21" s="383">
        <f>'[12]Org.Structure (IT)'!$AM$159*AC1/-1000000</f>
        <v>-277.03500000000003</v>
      </c>
      <c r="AD21" s="5">
        <f t="shared" si="17"/>
        <v>-29.108750000000001</v>
      </c>
      <c r="AE21" s="5">
        <f t="shared" si="17"/>
        <v>-29.108750000000001</v>
      </c>
      <c r="AF21" s="5">
        <f t="shared" si="17"/>
        <v>-29.108750000000001</v>
      </c>
      <c r="AG21" s="5">
        <f t="shared" si="17"/>
        <v>-29.108750000000001</v>
      </c>
      <c r="AH21" s="5">
        <f t="shared" si="17"/>
        <v>-29.108750000000001</v>
      </c>
      <c r="AI21" s="5">
        <f t="shared" si="17"/>
        <v>-29.108750000000001</v>
      </c>
      <c r="AJ21" s="5">
        <f t="shared" si="17"/>
        <v>-29.108750000000001</v>
      </c>
      <c r="AK21" s="5">
        <f t="shared" si="17"/>
        <v>-29.108750000000001</v>
      </c>
      <c r="AL21" s="5">
        <f t="shared" si="17"/>
        <v>-29.108750000000001</v>
      </c>
      <c r="AM21" s="5">
        <f t="shared" si="17"/>
        <v>-29.108750000000001</v>
      </c>
      <c r="AN21" s="5">
        <f t="shared" si="17"/>
        <v>-29.108750000000001</v>
      </c>
      <c r="AO21" s="5">
        <f t="shared" si="17"/>
        <v>-29.108750000000001</v>
      </c>
      <c r="AP21" s="383">
        <f>'[12]Org.Structure (IT)'!$AN$159*AP1/-1000000</f>
        <v>-349.30500000000001</v>
      </c>
      <c r="AQ21" s="5">
        <f t="shared" si="18"/>
        <v>-32.119999999999997</v>
      </c>
      <c r="AR21" s="5">
        <f t="shared" si="18"/>
        <v>-32.119999999999997</v>
      </c>
      <c r="AS21" s="5">
        <f t="shared" si="18"/>
        <v>-32.119999999999997</v>
      </c>
      <c r="AT21" s="5">
        <f t="shared" si="18"/>
        <v>-32.119999999999997</v>
      </c>
      <c r="AU21" s="5">
        <f t="shared" si="18"/>
        <v>-32.119999999999997</v>
      </c>
      <c r="AV21" s="5">
        <f t="shared" si="18"/>
        <v>-32.119999999999997</v>
      </c>
      <c r="AW21" s="5">
        <f t="shared" si="18"/>
        <v>-32.119999999999997</v>
      </c>
      <c r="AX21" s="5">
        <f t="shared" si="18"/>
        <v>-32.119999999999997</v>
      </c>
      <c r="AY21" s="5">
        <f t="shared" si="18"/>
        <v>-32.119999999999997</v>
      </c>
      <c r="AZ21" s="5">
        <f t="shared" si="18"/>
        <v>-32.119999999999997</v>
      </c>
      <c r="BA21" s="5">
        <f t="shared" si="18"/>
        <v>-32.119999999999997</v>
      </c>
      <c r="BB21" s="5">
        <f t="shared" si="18"/>
        <v>-32.119999999999997</v>
      </c>
      <c r="BC21" s="383">
        <f>'[12]Org.Structure (IT)'!$AO$159*BC1/-1000000</f>
        <v>-385.44</v>
      </c>
      <c r="BD21" s="5">
        <f t="shared" si="19"/>
        <v>-35.131250000000001</v>
      </c>
      <c r="BE21" s="5">
        <f t="shared" si="19"/>
        <v>-35.131250000000001</v>
      </c>
      <c r="BF21" s="5">
        <f t="shared" si="19"/>
        <v>-35.131250000000001</v>
      </c>
      <c r="BG21" s="5">
        <f t="shared" si="19"/>
        <v>-35.131250000000001</v>
      </c>
      <c r="BH21" s="5">
        <f t="shared" si="19"/>
        <v>-35.131250000000001</v>
      </c>
      <c r="BI21" s="5">
        <f t="shared" si="19"/>
        <v>-35.131250000000001</v>
      </c>
      <c r="BJ21" s="5">
        <f t="shared" si="19"/>
        <v>-35.131250000000001</v>
      </c>
      <c r="BK21" s="5">
        <f t="shared" si="19"/>
        <v>-35.131250000000001</v>
      </c>
      <c r="BL21" s="5">
        <f t="shared" si="19"/>
        <v>-35.131250000000001</v>
      </c>
      <c r="BM21" s="5">
        <f t="shared" si="19"/>
        <v>-35.131250000000001</v>
      </c>
      <c r="BN21" s="5">
        <f t="shared" si="19"/>
        <v>-35.131250000000001</v>
      </c>
      <c r="BO21" s="5">
        <f t="shared" si="19"/>
        <v>-35.131250000000001</v>
      </c>
      <c r="BP21" s="383">
        <f>'[12]Org.Structure (IT)'!$AP$159*BP1/-1000000</f>
        <v>-421.57499999999999</v>
      </c>
      <c r="CE21" s="605" t="s">
        <v>835</v>
      </c>
      <c r="CF21" s="12" t="s">
        <v>965</v>
      </c>
    </row>
    <row r="22" spans="1:84" s="5" customFormat="1" hidden="1" outlineLevel="1">
      <c r="A22" s="605" t="s">
        <v>836</v>
      </c>
      <c r="B22" s="12" t="s">
        <v>502</v>
      </c>
      <c r="C22" s="609">
        <v>0.2</v>
      </c>
      <c r="D22" s="5">
        <f>SUM(D6:D21)*$C$22/4</f>
        <v>-12.182812499999999</v>
      </c>
      <c r="E22" s="5">
        <f t="shared" ref="E22:O22" si="20">SUM(E6:E21)*$C$22/4</f>
        <v>-12.182812499999999</v>
      </c>
      <c r="F22" s="5">
        <f t="shared" si="20"/>
        <v>-12.182812499999999</v>
      </c>
      <c r="G22" s="5">
        <f t="shared" si="20"/>
        <v>-12.182812499999999</v>
      </c>
      <c r="H22" s="5">
        <f t="shared" si="20"/>
        <v>-12.182812499999999</v>
      </c>
      <c r="I22" s="5">
        <f t="shared" si="20"/>
        <v>-12.182812499999999</v>
      </c>
      <c r="J22" s="5">
        <f t="shared" si="20"/>
        <v>-12.182812499999999</v>
      </c>
      <c r="K22" s="5">
        <f t="shared" si="20"/>
        <v>-12.182812499999999</v>
      </c>
      <c r="L22" s="5">
        <f t="shared" si="20"/>
        <v>-12.182812499999999</v>
      </c>
      <c r="M22" s="5">
        <f t="shared" si="20"/>
        <v>-12.182812499999999</v>
      </c>
      <c r="N22" s="5">
        <f t="shared" si="20"/>
        <v>-12.182812499999999</v>
      </c>
      <c r="O22" s="5">
        <f t="shared" si="20"/>
        <v>-12.182812499999999</v>
      </c>
      <c r="P22" s="383">
        <f>SUM(D22:O22)</f>
        <v>-146.19374999999999</v>
      </c>
      <c r="Q22" s="5">
        <f>SUM(Q6:Q21)*$C$22/4</f>
        <v>-17.914125000000002</v>
      </c>
      <c r="R22" s="5">
        <f t="shared" ref="R22:AB22" si="21">SUM(R6:R21)*$C$22/4</f>
        <v>-17.914125000000002</v>
      </c>
      <c r="S22" s="5">
        <f t="shared" si="21"/>
        <v>-17.914125000000002</v>
      </c>
      <c r="T22" s="5">
        <f t="shared" si="21"/>
        <v>-17.914125000000002</v>
      </c>
      <c r="U22" s="5">
        <f t="shared" si="21"/>
        <v>-17.914125000000002</v>
      </c>
      <c r="V22" s="5">
        <f t="shared" si="21"/>
        <v>-17.914125000000002</v>
      </c>
      <c r="W22" s="5">
        <f t="shared" si="21"/>
        <v>-17.914125000000002</v>
      </c>
      <c r="X22" s="5">
        <f t="shared" si="21"/>
        <v>-17.914125000000002</v>
      </c>
      <c r="Y22" s="5">
        <f t="shared" si="21"/>
        <v>-17.914125000000002</v>
      </c>
      <c r="Z22" s="5">
        <f t="shared" si="21"/>
        <v>-17.914125000000002</v>
      </c>
      <c r="AA22" s="5">
        <f t="shared" si="21"/>
        <v>-17.914125000000002</v>
      </c>
      <c r="AB22" s="5">
        <f t="shared" si="21"/>
        <v>-17.914125000000002</v>
      </c>
      <c r="AC22" s="383">
        <f>SUM(Q22:AB22)</f>
        <v>-214.96950000000007</v>
      </c>
      <c r="AD22" s="5">
        <f>SUM(AD6:AD21)*$C$22</f>
        <v>-124.3610625</v>
      </c>
      <c r="AE22" s="5">
        <f t="shared" ref="AE22:AO22" si="22">SUM(AE6:AE21)*$C$22</f>
        <v>-124.3610625</v>
      </c>
      <c r="AF22" s="5">
        <f t="shared" si="22"/>
        <v>-124.3610625</v>
      </c>
      <c r="AG22" s="5">
        <f t="shared" si="22"/>
        <v>-124.3610625</v>
      </c>
      <c r="AH22" s="5">
        <f t="shared" si="22"/>
        <v>-124.3610625</v>
      </c>
      <c r="AI22" s="5">
        <f t="shared" si="22"/>
        <v>-124.3610625</v>
      </c>
      <c r="AJ22" s="5">
        <f t="shared" si="22"/>
        <v>-124.3610625</v>
      </c>
      <c r="AK22" s="5">
        <f t="shared" si="22"/>
        <v>-124.3610625</v>
      </c>
      <c r="AL22" s="5">
        <f t="shared" si="22"/>
        <v>-124.3610625</v>
      </c>
      <c r="AM22" s="5">
        <f t="shared" si="22"/>
        <v>-124.3610625</v>
      </c>
      <c r="AN22" s="5">
        <f t="shared" si="22"/>
        <v>-124.3610625</v>
      </c>
      <c r="AO22" s="5">
        <f t="shared" si="22"/>
        <v>-124.3610625</v>
      </c>
      <c r="AP22" s="383">
        <f>SUM(AD22:AO22)</f>
        <v>-1492.3327500000005</v>
      </c>
      <c r="AQ22" s="5">
        <f>SUM(AQ6:AQ21)*$C$22</f>
        <v>-163.77800000000002</v>
      </c>
      <c r="AR22" s="5">
        <f t="shared" ref="AR22:BB22" si="23">SUM(AR6:AR21)*$C$22</f>
        <v>-163.77800000000002</v>
      </c>
      <c r="AS22" s="5">
        <f t="shared" si="23"/>
        <v>-163.77800000000002</v>
      </c>
      <c r="AT22" s="5">
        <f t="shared" si="23"/>
        <v>-163.77800000000002</v>
      </c>
      <c r="AU22" s="5">
        <f t="shared" si="23"/>
        <v>-163.77800000000002</v>
      </c>
      <c r="AV22" s="5">
        <f t="shared" si="23"/>
        <v>-163.77800000000002</v>
      </c>
      <c r="AW22" s="5">
        <f t="shared" si="23"/>
        <v>-163.77800000000002</v>
      </c>
      <c r="AX22" s="5">
        <f t="shared" si="23"/>
        <v>-163.77800000000002</v>
      </c>
      <c r="AY22" s="5">
        <f t="shared" si="23"/>
        <v>-163.77800000000002</v>
      </c>
      <c r="AZ22" s="5">
        <f t="shared" si="23"/>
        <v>-163.77800000000002</v>
      </c>
      <c r="BA22" s="5">
        <f t="shared" si="23"/>
        <v>-163.77800000000002</v>
      </c>
      <c r="BB22" s="5">
        <f t="shared" si="23"/>
        <v>-163.77800000000002</v>
      </c>
      <c r="BC22" s="383">
        <f>SUM(AQ22:BB22)</f>
        <v>-1965.3360000000002</v>
      </c>
      <c r="BD22" s="5">
        <f>SUM(BD6:BD21)*$C$22</f>
        <v>-192.72093749999999</v>
      </c>
      <c r="BE22" s="5">
        <f t="shared" ref="BE22:BO22" si="24">SUM(BE6:BE21)*$C$22</f>
        <v>-192.72093749999999</v>
      </c>
      <c r="BF22" s="5">
        <f t="shared" si="24"/>
        <v>-192.72093749999999</v>
      </c>
      <c r="BG22" s="5">
        <f t="shared" si="24"/>
        <v>-192.72093749999999</v>
      </c>
      <c r="BH22" s="5">
        <f t="shared" si="24"/>
        <v>-192.72093749999999</v>
      </c>
      <c r="BI22" s="5">
        <f t="shared" si="24"/>
        <v>-192.72093749999999</v>
      </c>
      <c r="BJ22" s="5">
        <f t="shared" si="24"/>
        <v>-192.72093749999999</v>
      </c>
      <c r="BK22" s="5">
        <f t="shared" si="24"/>
        <v>-192.72093749999999</v>
      </c>
      <c r="BL22" s="5">
        <f t="shared" si="24"/>
        <v>-192.72093749999999</v>
      </c>
      <c r="BM22" s="5">
        <f t="shared" si="24"/>
        <v>-192.72093749999999</v>
      </c>
      <c r="BN22" s="5">
        <f t="shared" si="24"/>
        <v>-192.72093749999999</v>
      </c>
      <c r="BO22" s="5">
        <f t="shared" si="24"/>
        <v>-192.72093749999999</v>
      </c>
      <c r="BP22" s="383">
        <f>SUM(BD22:BO22)</f>
        <v>-2312.6512499999999</v>
      </c>
      <c r="CE22" s="605" t="s">
        <v>1237</v>
      </c>
      <c r="CF22" s="12" t="s">
        <v>965</v>
      </c>
    </row>
    <row r="23" spans="1:84" s="3" customFormat="1">
      <c r="A23" s="3" t="s">
        <v>837</v>
      </c>
      <c r="B23" s="12" t="s">
        <v>502</v>
      </c>
      <c r="C23" s="338">
        <f>-50*P1</f>
        <v>-25000</v>
      </c>
      <c r="D23" s="3">
        <f t="shared" ref="D23:O23" si="25">D75*$C$23/1000000</f>
        <v>-4.0374999999999996</v>
      </c>
      <c r="E23" s="3">
        <f t="shared" si="25"/>
        <v>-4.0374999999999996</v>
      </c>
      <c r="F23" s="3">
        <f t="shared" si="25"/>
        <v>-4.0374999999999996</v>
      </c>
      <c r="G23" s="3">
        <f t="shared" si="25"/>
        <v>-4.0374999999999996</v>
      </c>
      <c r="H23" s="3">
        <f t="shared" si="25"/>
        <v>-4.0374999999999996</v>
      </c>
      <c r="I23" s="3">
        <f t="shared" si="25"/>
        <v>-4.0374999999999996</v>
      </c>
      <c r="J23" s="3">
        <f t="shared" si="25"/>
        <v>-4.0374999999999996</v>
      </c>
      <c r="K23" s="3">
        <f t="shared" si="25"/>
        <v>-4.0374999999999996</v>
      </c>
      <c r="L23" s="3">
        <f t="shared" si="25"/>
        <v>-4.0374999999999996</v>
      </c>
      <c r="M23" s="3">
        <f t="shared" si="25"/>
        <v>-4.0374999999999996</v>
      </c>
      <c r="N23" s="3">
        <f t="shared" si="25"/>
        <v>-4.0374999999999996</v>
      </c>
      <c r="O23" s="3">
        <f t="shared" si="25"/>
        <v>-4.0374999999999996</v>
      </c>
      <c r="P23" s="397">
        <f>SUM(D23:O23)</f>
        <v>-48.45000000000001</v>
      </c>
      <c r="Q23" s="3">
        <f t="shared" ref="Q23:AB23" si="26">Q75*$C$23/1000000</f>
        <v>-6.1</v>
      </c>
      <c r="R23" s="3">
        <f t="shared" si="26"/>
        <v>-6.1</v>
      </c>
      <c r="S23" s="3">
        <f t="shared" si="26"/>
        <v>-6.1</v>
      </c>
      <c r="T23" s="3">
        <f t="shared" si="26"/>
        <v>-6.1</v>
      </c>
      <c r="U23" s="3">
        <f t="shared" si="26"/>
        <v>-6.1</v>
      </c>
      <c r="V23" s="3">
        <f t="shared" si="26"/>
        <v>-6.1</v>
      </c>
      <c r="W23" s="3">
        <f t="shared" si="26"/>
        <v>-6.1</v>
      </c>
      <c r="X23" s="3">
        <f t="shared" si="26"/>
        <v>-6.1</v>
      </c>
      <c r="Y23" s="3">
        <f t="shared" si="26"/>
        <v>-6.1</v>
      </c>
      <c r="Z23" s="3">
        <f t="shared" si="26"/>
        <v>-6.1</v>
      </c>
      <c r="AA23" s="3">
        <f t="shared" si="26"/>
        <v>-6.1</v>
      </c>
      <c r="AB23" s="3">
        <f t="shared" si="26"/>
        <v>-6.1</v>
      </c>
      <c r="AC23" s="397">
        <f>SUM(Q23:AB23)</f>
        <v>-73.2</v>
      </c>
      <c r="AD23" s="3">
        <f t="shared" ref="AD23:AO23" si="27">AD75*$C$23/1000000</f>
        <v>-8.8874999999999993</v>
      </c>
      <c r="AE23" s="3">
        <f t="shared" si="27"/>
        <v>-8.8874999999999993</v>
      </c>
      <c r="AF23" s="3">
        <f t="shared" si="27"/>
        <v>-8.8874999999999993</v>
      </c>
      <c r="AG23" s="3">
        <f t="shared" si="27"/>
        <v>-8.8874999999999993</v>
      </c>
      <c r="AH23" s="3">
        <f t="shared" si="27"/>
        <v>-8.8874999999999993</v>
      </c>
      <c r="AI23" s="3">
        <f t="shared" si="27"/>
        <v>-8.8874999999999993</v>
      </c>
      <c r="AJ23" s="3">
        <f t="shared" si="27"/>
        <v>-8.8874999999999993</v>
      </c>
      <c r="AK23" s="3">
        <f t="shared" si="27"/>
        <v>-8.8874999999999993</v>
      </c>
      <c r="AL23" s="3">
        <f t="shared" si="27"/>
        <v>-8.8874999999999993</v>
      </c>
      <c r="AM23" s="3">
        <f t="shared" si="27"/>
        <v>-8.8874999999999993</v>
      </c>
      <c r="AN23" s="3">
        <f t="shared" si="27"/>
        <v>-8.8874999999999993</v>
      </c>
      <c r="AO23" s="3">
        <f t="shared" si="27"/>
        <v>-8.8874999999999993</v>
      </c>
      <c r="AP23" s="397">
        <f>SUM(AD23:AO23)</f>
        <v>-106.65000000000002</v>
      </c>
      <c r="AQ23" s="3">
        <f t="shared" ref="AQ23:BB23" si="28">AQ75*$C$23/1000000</f>
        <v>-11.137499999999999</v>
      </c>
      <c r="AR23" s="3">
        <f t="shared" si="28"/>
        <v>-11.137499999999999</v>
      </c>
      <c r="AS23" s="3">
        <f t="shared" si="28"/>
        <v>-11.137499999999999</v>
      </c>
      <c r="AT23" s="3">
        <f t="shared" si="28"/>
        <v>-11.137499999999999</v>
      </c>
      <c r="AU23" s="3">
        <f t="shared" si="28"/>
        <v>-11.137499999999999</v>
      </c>
      <c r="AV23" s="3">
        <f t="shared" si="28"/>
        <v>-11.137499999999999</v>
      </c>
      <c r="AW23" s="3">
        <f t="shared" si="28"/>
        <v>-11.137499999999999</v>
      </c>
      <c r="AX23" s="3">
        <f t="shared" si="28"/>
        <v>-11.137499999999999</v>
      </c>
      <c r="AY23" s="3">
        <f t="shared" si="28"/>
        <v>-11.137499999999999</v>
      </c>
      <c r="AZ23" s="3">
        <f t="shared" si="28"/>
        <v>-11.137499999999999</v>
      </c>
      <c r="BA23" s="3">
        <f t="shared" si="28"/>
        <v>-11.137499999999999</v>
      </c>
      <c r="BB23" s="3">
        <f t="shared" si="28"/>
        <v>-11.137499999999999</v>
      </c>
      <c r="BC23" s="397">
        <f>SUM(AQ23:BB23)</f>
        <v>-133.65</v>
      </c>
      <c r="BD23" s="3">
        <f t="shared" ref="BD23:BO23" si="29">BD75*$C$23/1000000</f>
        <v>-12.487500000000001</v>
      </c>
      <c r="BE23" s="3">
        <f t="shared" si="29"/>
        <v>-12.487500000000001</v>
      </c>
      <c r="BF23" s="3">
        <f t="shared" si="29"/>
        <v>-12.487500000000001</v>
      </c>
      <c r="BG23" s="3">
        <f t="shared" si="29"/>
        <v>-12.487500000000001</v>
      </c>
      <c r="BH23" s="3">
        <f t="shared" si="29"/>
        <v>-12.487500000000001</v>
      </c>
      <c r="BI23" s="3">
        <f t="shared" si="29"/>
        <v>-12.487500000000001</v>
      </c>
      <c r="BJ23" s="3">
        <f t="shared" si="29"/>
        <v>-12.487500000000001</v>
      </c>
      <c r="BK23" s="3">
        <f t="shared" si="29"/>
        <v>-12.487500000000001</v>
      </c>
      <c r="BL23" s="3">
        <f t="shared" si="29"/>
        <v>-12.487500000000001</v>
      </c>
      <c r="BM23" s="3">
        <f t="shared" si="29"/>
        <v>-12.487500000000001</v>
      </c>
      <c r="BN23" s="3">
        <f t="shared" si="29"/>
        <v>-12.487500000000001</v>
      </c>
      <c r="BO23" s="3">
        <f t="shared" si="29"/>
        <v>-12.487500000000001</v>
      </c>
      <c r="BP23" s="397">
        <f>SUM(BD23:BO23)</f>
        <v>-149.85</v>
      </c>
      <c r="CE23" s="3" t="s">
        <v>1229</v>
      </c>
      <c r="CF23" s="12" t="s">
        <v>965</v>
      </c>
    </row>
    <row r="24" spans="1:84" s="3" customFormat="1">
      <c r="A24" s="3" t="s">
        <v>838</v>
      </c>
      <c r="B24" s="12" t="s">
        <v>502</v>
      </c>
      <c r="C24" s="338">
        <f>-35*P1</f>
        <v>-17500</v>
      </c>
      <c r="D24" s="3">
        <f t="shared" ref="D24:O24" si="30">D75*D92*$C$93*$C$24/1000000</f>
        <v>-11.305</v>
      </c>
      <c r="E24" s="3">
        <f t="shared" si="30"/>
        <v>-11.305</v>
      </c>
      <c r="F24" s="3">
        <f t="shared" si="30"/>
        <v>-11.305</v>
      </c>
      <c r="G24" s="3">
        <f t="shared" si="30"/>
        <v>-11.305</v>
      </c>
      <c r="H24" s="3">
        <f t="shared" si="30"/>
        <v>-11.305</v>
      </c>
      <c r="I24" s="3">
        <f t="shared" si="30"/>
        <v>-11.305</v>
      </c>
      <c r="J24" s="3">
        <f t="shared" si="30"/>
        <v>-11.305</v>
      </c>
      <c r="K24" s="3">
        <f t="shared" si="30"/>
        <v>-11.305</v>
      </c>
      <c r="L24" s="3">
        <f t="shared" si="30"/>
        <v>-11.305</v>
      </c>
      <c r="M24" s="3">
        <f t="shared" si="30"/>
        <v>-11.305</v>
      </c>
      <c r="N24" s="3">
        <f t="shared" si="30"/>
        <v>-11.305</v>
      </c>
      <c r="O24" s="3">
        <f t="shared" si="30"/>
        <v>-11.305</v>
      </c>
      <c r="P24" s="397">
        <f>SUM(D24:O24)</f>
        <v>-135.66000000000003</v>
      </c>
      <c r="Q24" s="3">
        <f t="shared" ref="Q24:AB24" si="31">Q75*Q92*$C$93*$C$24/1000000</f>
        <v>-13.664000000000001</v>
      </c>
      <c r="R24" s="3">
        <f t="shared" si="31"/>
        <v>-13.664000000000001</v>
      </c>
      <c r="S24" s="3">
        <f t="shared" si="31"/>
        <v>-13.664000000000001</v>
      </c>
      <c r="T24" s="3">
        <f t="shared" si="31"/>
        <v>-13.664000000000001</v>
      </c>
      <c r="U24" s="3">
        <f t="shared" si="31"/>
        <v>-13.664000000000001</v>
      </c>
      <c r="V24" s="3">
        <f t="shared" si="31"/>
        <v>-13.664000000000001</v>
      </c>
      <c r="W24" s="3">
        <f t="shared" si="31"/>
        <v>-13.664000000000001</v>
      </c>
      <c r="X24" s="3">
        <f t="shared" si="31"/>
        <v>-13.664000000000001</v>
      </c>
      <c r="Y24" s="3">
        <f t="shared" si="31"/>
        <v>-13.664000000000001</v>
      </c>
      <c r="Z24" s="3">
        <f t="shared" si="31"/>
        <v>-13.664000000000001</v>
      </c>
      <c r="AA24" s="3">
        <f t="shared" si="31"/>
        <v>-13.664000000000001</v>
      </c>
      <c r="AB24" s="3">
        <f t="shared" si="31"/>
        <v>-13.664000000000001</v>
      </c>
      <c r="AC24" s="397">
        <f>SUM(Q24:AB24)</f>
        <v>-163.96800000000002</v>
      </c>
      <c r="AD24" s="3">
        <f t="shared" ref="AD24:AO24" si="32">AD75*AD92*$C$93*$C$24/1000000</f>
        <v>-17.419499999999999</v>
      </c>
      <c r="AE24" s="3">
        <f t="shared" si="32"/>
        <v>-17.419499999999999</v>
      </c>
      <c r="AF24" s="3">
        <f t="shared" si="32"/>
        <v>-17.419499999999999</v>
      </c>
      <c r="AG24" s="3">
        <f t="shared" si="32"/>
        <v>-17.419499999999999</v>
      </c>
      <c r="AH24" s="3">
        <f t="shared" si="32"/>
        <v>-17.419499999999999</v>
      </c>
      <c r="AI24" s="3">
        <f t="shared" si="32"/>
        <v>-17.419499999999999</v>
      </c>
      <c r="AJ24" s="3">
        <f t="shared" si="32"/>
        <v>-17.419499999999999</v>
      </c>
      <c r="AK24" s="3">
        <f t="shared" si="32"/>
        <v>-17.419499999999999</v>
      </c>
      <c r="AL24" s="3">
        <f t="shared" si="32"/>
        <v>-17.419499999999999</v>
      </c>
      <c r="AM24" s="3">
        <f t="shared" si="32"/>
        <v>-17.419499999999999</v>
      </c>
      <c r="AN24" s="3">
        <f t="shared" si="32"/>
        <v>-17.419499999999999</v>
      </c>
      <c r="AO24" s="3">
        <f t="shared" si="32"/>
        <v>-17.419499999999999</v>
      </c>
      <c r="AP24" s="397">
        <f>SUM(AD24:AO24)</f>
        <v>-209.03399999999999</v>
      </c>
      <c r="AQ24" s="3">
        <f t="shared" ref="AQ24:BB24" si="33">AQ75*AQ92*$C$93*$C$24/1000000</f>
        <v>-18.710999999999999</v>
      </c>
      <c r="AR24" s="3">
        <f t="shared" si="33"/>
        <v>-18.710999999999999</v>
      </c>
      <c r="AS24" s="3">
        <f t="shared" si="33"/>
        <v>-18.710999999999999</v>
      </c>
      <c r="AT24" s="3">
        <f t="shared" si="33"/>
        <v>-18.710999999999999</v>
      </c>
      <c r="AU24" s="3">
        <f t="shared" si="33"/>
        <v>-18.710999999999999</v>
      </c>
      <c r="AV24" s="3">
        <f t="shared" si="33"/>
        <v>-18.710999999999999</v>
      </c>
      <c r="AW24" s="3">
        <f t="shared" si="33"/>
        <v>-18.710999999999999</v>
      </c>
      <c r="AX24" s="3">
        <f t="shared" si="33"/>
        <v>-18.710999999999999</v>
      </c>
      <c r="AY24" s="3">
        <f t="shared" si="33"/>
        <v>-18.710999999999999</v>
      </c>
      <c r="AZ24" s="3">
        <f t="shared" si="33"/>
        <v>-18.710999999999999</v>
      </c>
      <c r="BA24" s="3">
        <f t="shared" si="33"/>
        <v>-18.710999999999999</v>
      </c>
      <c r="BB24" s="3">
        <f t="shared" si="33"/>
        <v>-18.710999999999999</v>
      </c>
      <c r="BC24" s="397">
        <f>SUM(AQ24:BB24)</f>
        <v>-224.53200000000004</v>
      </c>
      <c r="BD24" s="3">
        <f t="shared" ref="BD24:BO24" si="34">BD75*BD92*$C$93*$C$24/1000000</f>
        <v>-17.482500000000005</v>
      </c>
      <c r="BE24" s="3">
        <f t="shared" si="34"/>
        <v>-17.482500000000005</v>
      </c>
      <c r="BF24" s="3">
        <f t="shared" si="34"/>
        <v>-17.482500000000005</v>
      </c>
      <c r="BG24" s="3">
        <f t="shared" si="34"/>
        <v>-17.482500000000005</v>
      </c>
      <c r="BH24" s="3">
        <f t="shared" si="34"/>
        <v>-17.482500000000005</v>
      </c>
      <c r="BI24" s="3">
        <f t="shared" si="34"/>
        <v>-17.482500000000005</v>
      </c>
      <c r="BJ24" s="3">
        <f t="shared" si="34"/>
        <v>-17.482500000000005</v>
      </c>
      <c r="BK24" s="3">
        <f t="shared" si="34"/>
        <v>-17.482500000000005</v>
      </c>
      <c r="BL24" s="3">
        <f t="shared" si="34"/>
        <v>-17.482500000000005</v>
      </c>
      <c r="BM24" s="3">
        <f t="shared" si="34"/>
        <v>-17.482500000000005</v>
      </c>
      <c r="BN24" s="3">
        <f t="shared" si="34"/>
        <v>-17.482500000000005</v>
      </c>
      <c r="BO24" s="3">
        <f t="shared" si="34"/>
        <v>-17.482500000000005</v>
      </c>
      <c r="BP24" s="397">
        <f>SUM(BD24:BO24)</f>
        <v>-209.79000000000011</v>
      </c>
      <c r="CE24" s="3" t="s">
        <v>1230</v>
      </c>
      <c r="CF24" s="12" t="s">
        <v>965</v>
      </c>
    </row>
    <row r="25" spans="1:84" s="3" customFormat="1" collapsed="1">
      <c r="A25" s="3" t="s">
        <v>839</v>
      </c>
      <c r="B25" s="12" t="s">
        <v>502</v>
      </c>
      <c r="D25" s="3">
        <f t="shared" ref="D25:BP25" si="35">SUM(D26:D36)</f>
        <v>-82.333333333333329</v>
      </c>
      <c r="E25" s="3">
        <f t="shared" si="35"/>
        <v>-82.333333333333329</v>
      </c>
      <c r="F25" s="3">
        <f t="shared" si="35"/>
        <v>-82.333333333333329</v>
      </c>
      <c r="G25" s="3">
        <f t="shared" si="35"/>
        <v>-82.333333333333329</v>
      </c>
      <c r="H25" s="3">
        <f t="shared" si="35"/>
        <v>-82.333333333333329</v>
      </c>
      <c r="I25" s="3">
        <f t="shared" si="35"/>
        <v>-82.333333333333329</v>
      </c>
      <c r="J25" s="3">
        <f t="shared" si="35"/>
        <v>-82.333333333333329</v>
      </c>
      <c r="K25" s="3">
        <f t="shared" si="35"/>
        <v>-82.333333333333329</v>
      </c>
      <c r="L25" s="3">
        <f t="shared" si="35"/>
        <v>-82.333333333333329</v>
      </c>
      <c r="M25" s="3">
        <f t="shared" si="35"/>
        <v>-82.333333333333329</v>
      </c>
      <c r="N25" s="3">
        <f t="shared" si="35"/>
        <v>-82.333333333333329</v>
      </c>
      <c r="O25" s="3">
        <f t="shared" si="35"/>
        <v>-82.333333333333329</v>
      </c>
      <c r="P25" s="397">
        <f t="shared" si="35"/>
        <v>-988</v>
      </c>
      <c r="Q25" s="3">
        <f t="shared" si="35"/>
        <v>-113.93333333333334</v>
      </c>
      <c r="R25" s="3">
        <f t="shared" si="35"/>
        <v>-113.93333333333334</v>
      </c>
      <c r="S25" s="3">
        <f t="shared" si="35"/>
        <v>-113.93333333333334</v>
      </c>
      <c r="T25" s="3">
        <f t="shared" si="35"/>
        <v>-113.93333333333334</v>
      </c>
      <c r="U25" s="3">
        <f t="shared" si="35"/>
        <v>-113.93333333333334</v>
      </c>
      <c r="V25" s="3">
        <f t="shared" si="35"/>
        <v>-113.93333333333334</v>
      </c>
      <c r="W25" s="3">
        <f t="shared" si="35"/>
        <v>-113.93333333333334</v>
      </c>
      <c r="X25" s="3">
        <f t="shared" si="35"/>
        <v>-113.93333333333334</v>
      </c>
      <c r="Y25" s="3">
        <f t="shared" si="35"/>
        <v>-113.93333333333334</v>
      </c>
      <c r="Z25" s="3">
        <f t="shared" si="35"/>
        <v>-113.93333333333334</v>
      </c>
      <c r="AA25" s="3">
        <f t="shared" si="35"/>
        <v>-113.93333333333334</v>
      </c>
      <c r="AB25" s="3">
        <f t="shared" si="35"/>
        <v>-113.93333333333334</v>
      </c>
      <c r="AC25" s="397">
        <f t="shared" si="35"/>
        <v>-1367.2</v>
      </c>
      <c r="AD25" s="3">
        <f t="shared" si="35"/>
        <v>-151.17083333333332</v>
      </c>
      <c r="AE25" s="3">
        <f t="shared" si="35"/>
        <v>-151.17083333333332</v>
      </c>
      <c r="AF25" s="3">
        <f t="shared" si="35"/>
        <v>-151.17083333333332</v>
      </c>
      <c r="AG25" s="3">
        <f t="shared" si="35"/>
        <v>-151.17083333333332</v>
      </c>
      <c r="AH25" s="3">
        <f t="shared" si="35"/>
        <v>-151.17083333333332</v>
      </c>
      <c r="AI25" s="3">
        <f t="shared" si="35"/>
        <v>-151.17083333333332</v>
      </c>
      <c r="AJ25" s="3">
        <f t="shared" si="35"/>
        <v>-151.17083333333332</v>
      </c>
      <c r="AK25" s="3">
        <f t="shared" si="35"/>
        <v>-151.17083333333332</v>
      </c>
      <c r="AL25" s="3">
        <f t="shared" si="35"/>
        <v>-151.17083333333332</v>
      </c>
      <c r="AM25" s="3">
        <f t="shared" si="35"/>
        <v>-151.17083333333332</v>
      </c>
      <c r="AN25" s="3">
        <f t="shared" si="35"/>
        <v>-151.17083333333332</v>
      </c>
      <c r="AO25" s="3">
        <f t="shared" si="35"/>
        <v>-151.17083333333332</v>
      </c>
      <c r="AP25" s="397">
        <f t="shared" si="35"/>
        <v>-1814.05</v>
      </c>
      <c r="AQ25" s="3">
        <f t="shared" si="35"/>
        <v>-170.20833333333331</v>
      </c>
      <c r="AR25" s="3">
        <f t="shared" si="35"/>
        <v>-170.20833333333331</v>
      </c>
      <c r="AS25" s="3">
        <f t="shared" si="35"/>
        <v>-170.20833333333331</v>
      </c>
      <c r="AT25" s="3">
        <f t="shared" si="35"/>
        <v>-170.20833333333331</v>
      </c>
      <c r="AU25" s="3">
        <f t="shared" si="35"/>
        <v>-170.20833333333331</v>
      </c>
      <c r="AV25" s="3">
        <f t="shared" si="35"/>
        <v>-170.20833333333331</v>
      </c>
      <c r="AW25" s="3">
        <f t="shared" si="35"/>
        <v>-170.20833333333331</v>
      </c>
      <c r="AX25" s="3">
        <f t="shared" si="35"/>
        <v>-170.20833333333331</v>
      </c>
      <c r="AY25" s="3">
        <f t="shared" si="35"/>
        <v>-170.20833333333331</v>
      </c>
      <c r="AZ25" s="3">
        <f t="shared" si="35"/>
        <v>-170.20833333333331</v>
      </c>
      <c r="BA25" s="3">
        <f t="shared" si="35"/>
        <v>-170.20833333333331</v>
      </c>
      <c r="BB25" s="3">
        <f t="shared" si="35"/>
        <v>-170.20833333333331</v>
      </c>
      <c r="BC25" s="397">
        <f t="shared" si="35"/>
        <v>-2042.5</v>
      </c>
      <c r="BD25" s="3">
        <f t="shared" si="35"/>
        <v>-188.82083333333333</v>
      </c>
      <c r="BE25" s="3">
        <f t="shared" si="35"/>
        <v>-188.82083333333333</v>
      </c>
      <c r="BF25" s="3">
        <f t="shared" si="35"/>
        <v>-188.82083333333333</v>
      </c>
      <c r="BG25" s="3">
        <f t="shared" si="35"/>
        <v>-188.82083333333333</v>
      </c>
      <c r="BH25" s="3">
        <f t="shared" si="35"/>
        <v>-188.82083333333333</v>
      </c>
      <c r="BI25" s="3">
        <f t="shared" si="35"/>
        <v>-188.82083333333333</v>
      </c>
      <c r="BJ25" s="3">
        <f t="shared" si="35"/>
        <v>-188.82083333333333</v>
      </c>
      <c r="BK25" s="3">
        <f t="shared" si="35"/>
        <v>-188.82083333333333</v>
      </c>
      <c r="BL25" s="3">
        <f t="shared" si="35"/>
        <v>-188.82083333333333</v>
      </c>
      <c r="BM25" s="3">
        <f t="shared" si="35"/>
        <v>-188.82083333333333</v>
      </c>
      <c r="BN25" s="3">
        <f t="shared" si="35"/>
        <v>-188.82083333333333</v>
      </c>
      <c r="BO25" s="3">
        <f t="shared" si="35"/>
        <v>-188.82083333333333</v>
      </c>
      <c r="BP25" s="397">
        <f t="shared" si="35"/>
        <v>-2265.85</v>
      </c>
      <c r="CE25" s="3" t="s">
        <v>1239</v>
      </c>
      <c r="CF25" s="12" t="s">
        <v>965</v>
      </c>
    </row>
    <row r="26" spans="1:84" s="5" customFormat="1" hidden="1" outlineLevel="1">
      <c r="A26" s="605" t="s">
        <v>820</v>
      </c>
      <c r="B26" s="12" t="s">
        <v>502</v>
      </c>
      <c r="D26" s="5">
        <f t="shared" ref="D26:O37" si="36">$P26/12</f>
        <v>-15.5</v>
      </c>
      <c r="E26" s="5">
        <f t="shared" si="36"/>
        <v>-15.5</v>
      </c>
      <c r="F26" s="5">
        <f t="shared" si="36"/>
        <v>-15.5</v>
      </c>
      <c r="G26" s="5">
        <f t="shared" si="36"/>
        <v>-15.5</v>
      </c>
      <c r="H26" s="5">
        <f t="shared" si="36"/>
        <v>-15.5</v>
      </c>
      <c r="I26" s="5">
        <f t="shared" si="36"/>
        <v>-15.5</v>
      </c>
      <c r="J26" s="5">
        <f t="shared" si="36"/>
        <v>-15.5</v>
      </c>
      <c r="K26" s="5">
        <f t="shared" si="36"/>
        <v>-15.5</v>
      </c>
      <c r="L26" s="5">
        <f t="shared" si="36"/>
        <v>-15.5</v>
      </c>
      <c r="M26" s="5">
        <f t="shared" si="36"/>
        <v>-15.5</v>
      </c>
      <c r="N26" s="5">
        <f t="shared" si="36"/>
        <v>-15.5</v>
      </c>
      <c r="O26" s="5">
        <f t="shared" si="36"/>
        <v>-15.5</v>
      </c>
      <c r="P26" s="383">
        <f>'[12]Architecture Breakdown_opex'!$S$10*P1/-1000000</f>
        <v>-186</v>
      </c>
      <c r="Q26" s="5">
        <f t="shared" ref="Q26:AB37" si="37">$AC26/12</f>
        <v>-19.324999999999999</v>
      </c>
      <c r="R26" s="5">
        <f t="shared" si="37"/>
        <v>-19.324999999999999</v>
      </c>
      <c r="S26" s="5">
        <f t="shared" si="37"/>
        <v>-19.324999999999999</v>
      </c>
      <c r="T26" s="5">
        <f t="shared" si="37"/>
        <v>-19.324999999999999</v>
      </c>
      <c r="U26" s="5">
        <f t="shared" si="37"/>
        <v>-19.324999999999999</v>
      </c>
      <c r="V26" s="5">
        <f t="shared" si="37"/>
        <v>-19.324999999999999</v>
      </c>
      <c r="W26" s="5">
        <f t="shared" si="37"/>
        <v>-19.324999999999999</v>
      </c>
      <c r="X26" s="5">
        <f t="shared" si="37"/>
        <v>-19.324999999999999</v>
      </c>
      <c r="Y26" s="5">
        <f t="shared" si="37"/>
        <v>-19.324999999999999</v>
      </c>
      <c r="Z26" s="5">
        <f t="shared" si="37"/>
        <v>-19.324999999999999</v>
      </c>
      <c r="AA26" s="5">
        <f t="shared" si="37"/>
        <v>-19.324999999999999</v>
      </c>
      <c r="AB26" s="5">
        <f t="shared" si="37"/>
        <v>-19.324999999999999</v>
      </c>
      <c r="AC26" s="383">
        <f>'[12]Architecture Breakdown_opex'!$T$10*AC1/-1000000</f>
        <v>-231.89999999999998</v>
      </c>
      <c r="AD26" s="5">
        <f t="shared" ref="AD26:AO37" si="38">$AP26/12</f>
        <v>-23.875</v>
      </c>
      <c r="AE26" s="5">
        <f t="shared" si="38"/>
        <v>-23.875</v>
      </c>
      <c r="AF26" s="5">
        <f t="shared" si="38"/>
        <v>-23.875</v>
      </c>
      <c r="AG26" s="5">
        <f t="shared" si="38"/>
        <v>-23.875</v>
      </c>
      <c r="AH26" s="5">
        <f t="shared" si="38"/>
        <v>-23.875</v>
      </c>
      <c r="AI26" s="5">
        <f t="shared" si="38"/>
        <v>-23.875</v>
      </c>
      <c r="AJ26" s="5">
        <f t="shared" si="38"/>
        <v>-23.875</v>
      </c>
      <c r="AK26" s="5">
        <f t="shared" si="38"/>
        <v>-23.875</v>
      </c>
      <c r="AL26" s="5">
        <f t="shared" si="38"/>
        <v>-23.875</v>
      </c>
      <c r="AM26" s="5">
        <f t="shared" si="38"/>
        <v>-23.875</v>
      </c>
      <c r="AN26" s="5">
        <f t="shared" si="38"/>
        <v>-23.875</v>
      </c>
      <c r="AO26" s="5">
        <f t="shared" si="38"/>
        <v>-23.875</v>
      </c>
      <c r="AP26" s="383">
        <f>'[12]Architecture Breakdown_opex'!$U$10*AP1/-1000000</f>
        <v>-286.5</v>
      </c>
      <c r="AQ26" s="5">
        <f t="shared" ref="AQ26:BB37" si="39">$BC26/12</f>
        <v>-26.724999999999998</v>
      </c>
      <c r="AR26" s="5">
        <f t="shared" si="39"/>
        <v>-26.724999999999998</v>
      </c>
      <c r="AS26" s="5">
        <f t="shared" si="39"/>
        <v>-26.724999999999998</v>
      </c>
      <c r="AT26" s="5">
        <f t="shared" si="39"/>
        <v>-26.724999999999998</v>
      </c>
      <c r="AU26" s="5">
        <f t="shared" si="39"/>
        <v>-26.724999999999998</v>
      </c>
      <c r="AV26" s="5">
        <f t="shared" si="39"/>
        <v>-26.724999999999998</v>
      </c>
      <c r="AW26" s="5">
        <f t="shared" si="39"/>
        <v>-26.724999999999998</v>
      </c>
      <c r="AX26" s="5">
        <f t="shared" si="39"/>
        <v>-26.724999999999998</v>
      </c>
      <c r="AY26" s="5">
        <f t="shared" si="39"/>
        <v>-26.724999999999998</v>
      </c>
      <c r="AZ26" s="5">
        <f t="shared" si="39"/>
        <v>-26.724999999999998</v>
      </c>
      <c r="BA26" s="5">
        <f t="shared" si="39"/>
        <v>-26.724999999999998</v>
      </c>
      <c r="BB26" s="5">
        <f t="shared" si="39"/>
        <v>-26.724999999999998</v>
      </c>
      <c r="BC26" s="383">
        <f>'[12]Architecture Breakdown_opex'!$V$10*BC1/-1000000</f>
        <v>-320.7</v>
      </c>
      <c r="BD26" s="5">
        <f t="shared" ref="BD26:BO37" si="40">$BP26/12</f>
        <v>-29.574999999999999</v>
      </c>
      <c r="BE26" s="5">
        <f t="shared" si="40"/>
        <v>-29.574999999999999</v>
      </c>
      <c r="BF26" s="5">
        <f t="shared" si="40"/>
        <v>-29.574999999999999</v>
      </c>
      <c r="BG26" s="5">
        <f t="shared" si="40"/>
        <v>-29.574999999999999</v>
      </c>
      <c r="BH26" s="5">
        <f t="shared" si="40"/>
        <v>-29.574999999999999</v>
      </c>
      <c r="BI26" s="5">
        <f t="shared" si="40"/>
        <v>-29.574999999999999</v>
      </c>
      <c r="BJ26" s="5">
        <f t="shared" si="40"/>
        <v>-29.574999999999999</v>
      </c>
      <c r="BK26" s="5">
        <f t="shared" si="40"/>
        <v>-29.574999999999999</v>
      </c>
      <c r="BL26" s="5">
        <f t="shared" si="40"/>
        <v>-29.574999999999999</v>
      </c>
      <c r="BM26" s="5">
        <f t="shared" si="40"/>
        <v>-29.574999999999999</v>
      </c>
      <c r="BN26" s="5">
        <f t="shared" si="40"/>
        <v>-29.574999999999999</v>
      </c>
      <c r="BO26" s="5">
        <f t="shared" si="40"/>
        <v>-29.574999999999999</v>
      </c>
      <c r="BP26" s="383">
        <f>'[12]Architecture Breakdown_opex'!$W$10*BP1/-1000000</f>
        <v>-354.9</v>
      </c>
      <c r="CE26" s="605" t="s">
        <v>820</v>
      </c>
      <c r="CF26" s="12" t="s">
        <v>965</v>
      </c>
    </row>
    <row r="27" spans="1:84" s="5" customFormat="1" hidden="1" outlineLevel="1">
      <c r="A27" s="605" t="s">
        <v>821</v>
      </c>
      <c r="B27" s="12" t="s">
        <v>502</v>
      </c>
      <c r="D27" s="5">
        <f t="shared" si="36"/>
        <v>-5</v>
      </c>
      <c r="E27" s="5">
        <f t="shared" si="36"/>
        <v>-5</v>
      </c>
      <c r="F27" s="5">
        <f t="shared" si="36"/>
        <v>-5</v>
      </c>
      <c r="G27" s="5">
        <f t="shared" si="36"/>
        <v>-5</v>
      </c>
      <c r="H27" s="5">
        <f t="shared" si="36"/>
        <v>-5</v>
      </c>
      <c r="I27" s="5">
        <f t="shared" si="36"/>
        <v>-5</v>
      </c>
      <c r="J27" s="5">
        <f t="shared" si="36"/>
        <v>-5</v>
      </c>
      <c r="K27" s="5">
        <f t="shared" si="36"/>
        <v>-5</v>
      </c>
      <c r="L27" s="5">
        <f t="shared" si="36"/>
        <v>-5</v>
      </c>
      <c r="M27" s="5">
        <f t="shared" si="36"/>
        <v>-5</v>
      </c>
      <c r="N27" s="5">
        <f t="shared" si="36"/>
        <v>-5</v>
      </c>
      <c r="O27" s="5">
        <f t="shared" si="36"/>
        <v>-5</v>
      </c>
      <c r="P27" s="383">
        <f>'[12]Architecture Breakdown_opex'!$S$22*P1/-1000000</f>
        <v>-60</v>
      </c>
      <c r="Q27" s="5">
        <f t="shared" si="37"/>
        <v>-7</v>
      </c>
      <c r="R27" s="5">
        <f t="shared" si="37"/>
        <v>-7</v>
      </c>
      <c r="S27" s="5">
        <f t="shared" si="37"/>
        <v>-7</v>
      </c>
      <c r="T27" s="5">
        <f t="shared" si="37"/>
        <v>-7</v>
      </c>
      <c r="U27" s="5">
        <f t="shared" si="37"/>
        <v>-7</v>
      </c>
      <c r="V27" s="5">
        <f t="shared" si="37"/>
        <v>-7</v>
      </c>
      <c r="W27" s="5">
        <f t="shared" si="37"/>
        <v>-7</v>
      </c>
      <c r="X27" s="5">
        <f t="shared" si="37"/>
        <v>-7</v>
      </c>
      <c r="Y27" s="5">
        <f t="shared" si="37"/>
        <v>-7</v>
      </c>
      <c r="Z27" s="5">
        <f t="shared" si="37"/>
        <v>-7</v>
      </c>
      <c r="AA27" s="5">
        <f t="shared" si="37"/>
        <v>-7</v>
      </c>
      <c r="AB27" s="5">
        <f t="shared" si="37"/>
        <v>-7</v>
      </c>
      <c r="AC27" s="383">
        <f>'[12]Architecture Breakdown_opex'!$T$22*AC1/-1000000</f>
        <v>-84</v>
      </c>
      <c r="AD27" s="5">
        <f t="shared" si="38"/>
        <v>-27.9375</v>
      </c>
      <c r="AE27" s="5">
        <f t="shared" si="38"/>
        <v>-27.9375</v>
      </c>
      <c r="AF27" s="5">
        <f t="shared" si="38"/>
        <v>-27.9375</v>
      </c>
      <c r="AG27" s="5">
        <f t="shared" si="38"/>
        <v>-27.9375</v>
      </c>
      <c r="AH27" s="5">
        <f t="shared" si="38"/>
        <v>-27.9375</v>
      </c>
      <c r="AI27" s="5">
        <f t="shared" si="38"/>
        <v>-27.9375</v>
      </c>
      <c r="AJ27" s="5">
        <f t="shared" si="38"/>
        <v>-27.9375</v>
      </c>
      <c r="AK27" s="5">
        <f t="shared" si="38"/>
        <v>-27.9375</v>
      </c>
      <c r="AL27" s="5">
        <f t="shared" si="38"/>
        <v>-27.9375</v>
      </c>
      <c r="AM27" s="5">
        <f t="shared" si="38"/>
        <v>-27.9375</v>
      </c>
      <c r="AN27" s="5">
        <f t="shared" si="38"/>
        <v>-27.9375</v>
      </c>
      <c r="AO27" s="5">
        <f t="shared" si="38"/>
        <v>-27.9375</v>
      </c>
      <c r="AP27" s="383">
        <f>'[12]Architecture Breakdown_opex'!$U$22*AP1/-1000000</f>
        <v>-335.25</v>
      </c>
      <c r="AQ27" s="5">
        <f t="shared" si="39"/>
        <v>-32.375</v>
      </c>
      <c r="AR27" s="5">
        <f t="shared" si="39"/>
        <v>-32.375</v>
      </c>
      <c r="AS27" s="5">
        <f t="shared" si="39"/>
        <v>-32.375</v>
      </c>
      <c r="AT27" s="5">
        <f t="shared" si="39"/>
        <v>-32.375</v>
      </c>
      <c r="AU27" s="5">
        <f t="shared" si="39"/>
        <v>-32.375</v>
      </c>
      <c r="AV27" s="5">
        <f t="shared" si="39"/>
        <v>-32.375</v>
      </c>
      <c r="AW27" s="5">
        <f t="shared" si="39"/>
        <v>-32.375</v>
      </c>
      <c r="AX27" s="5">
        <f t="shared" si="39"/>
        <v>-32.375</v>
      </c>
      <c r="AY27" s="5">
        <f t="shared" si="39"/>
        <v>-32.375</v>
      </c>
      <c r="AZ27" s="5">
        <f t="shared" si="39"/>
        <v>-32.375</v>
      </c>
      <c r="BA27" s="5">
        <f t="shared" si="39"/>
        <v>-32.375</v>
      </c>
      <c r="BB27" s="5">
        <f t="shared" si="39"/>
        <v>-32.375</v>
      </c>
      <c r="BC27" s="383">
        <f>'[12]Architecture Breakdown_opex'!$V$22*BC1/-1000000</f>
        <v>-388.5</v>
      </c>
      <c r="BD27" s="5">
        <f t="shared" si="40"/>
        <v>-36.387499999999996</v>
      </c>
      <c r="BE27" s="5">
        <f t="shared" si="40"/>
        <v>-36.387499999999996</v>
      </c>
      <c r="BF27" s="5">
        <f t="shared" si="40"/>
        <v>-36.387499999999996</v>
      </c>
      <c r="BG27" s="5">
        <f t="shared" si="40"/>
        <v>-36.387499999999996</v>
      </c>
      <c r="BH27" s="5">
        <f t="shared" si="40"/>
        <v>-36.387499999999996</v>
      </c>
      <c r="BI27" s="5">
        <f t="shared" si="40"/>
        <v>-36.387499999999996</v>
      </c>
      <c r="BJ27" s="5">
        <f t="shared" si="40"/>
        <v>-36.387499999999996</v>
      </c>
      <c r="BK27" s="5">
        <f t="shared" si="40"/>
        <v>-36.387499999999996</v>
      </c>
      <c r="BL27" s="5">
        <f t="shared" si="40"/>
        <v>-36.387499999999996</v>
      </c>
      <c r="BM27" s="5">
        <f t="shared" si="40"/>
        <v>-36.387499999999996</v>
      </c>
      <c r="BN27" s="5">
        <f t="shared" si="40"/>
        <v>-36.387499999999996</v>
      </c>
      <c r="BO27" s="5">
        <f t="shared" si="40"/>
        <v>-36.387499999999996</v>
      </c>
      <c r="BP27" s="383">
        <f>'[12]Architecture Breakdown_opex'!$W$22*BP1/-1000000</f>
        <v>-436.65</v>
      </c>
      <c r="CE27" s="605" t="s">
        <v>821</v>
      </c>
      <c r="CF27" s="12" t="s">
        <v>965</v>
      </c>
    </row>
    <row r="28" spans="1:84" s="5" customFormat="1" hidden="1" outlineLevel="1">
      <c r="A28" s="605" t="s">
        <v>822</v>
      </c>
      <c r="B28" s="12" t="s">
        <v>502</v>
      </c>
      <c r="D28" s="5">
        <f t="shared" si="36"/>
        <v>-35.75</v>
      </c>
      <c r="E28" s="5">
        <f t="shared" si="36"/>
        <v>-35.75</v>
      </c>
      <c r="F28" s="5">
        <f t="shared" si="36"/>
        <v>-35.75</v>
      </c>
      <c r="G28" s="5">
        <f t="shared" si="36"/>
        <v>-35.75</v>
      </c>
      <c r="H28" s="5">
        <f t="shared" si="36"/>
        <v>-35.75</v>
      </c>
      <c r="I28" s="5">
        <f t="shared" si="36"/>
        <v>-35.75</v>
      </c>
      <c r="J28" s="5">
        <f t="shared" si="36"/>
        <v>-35.75</v>
      </c>
      <c r="K28" s="5">
        <f t="shared" si="36"/>
        <v>-35.75</v>
      </c>
      <c r="L28" s="5">
        <f t="shared" si="36"/>
        <v>-35.75</v>
      </c>
      <c r="M28" s="5">
        <f t="shared" si="36"/>
        <v>-35.75</v>
      </c>
      <c r="N28" s="5">
        <f t="shared" si="36"/>
        <v>-35.75</v>
      </c>
      <c r="O28" s="5">
        <f t="shared" si="36"/>
        <v>-35.75</v>
      </c>
      <c r="P28" s="383">
        <f>'[12]Architecture Breakdown_opex'!$S$32*P1/-1000000</f>
        <v>-429</v>
      </c>
      <c r="Q28" s="5">
        <f t="shared" si="37"/>
        <v>-41.112499999999997</v>
      </c>
      <c r="R28" s="5">
        <f t="shared" si="37"/>
        <v>-41.112499999999997</v>
      </c>
      <c r="S28" s="5">
        <f t="shared" si="37"/>
        <v>-41.112499999999997</v>
      </c>
      <c r="T28" s="5">
        <f t="shared" si="37"/>
        <v>-41.112499999999997</v>
      </c>
      <c r="U28" s="5">
        <f t="shared" si="37"/>
        <v>-41.112499999999997</v>
      </c>
      <c r="V28" s="5">
        <f t="shared" si="37"/>
        <v>-41.112499999999997</v>
      </c>
      <c r="W28" s="5">
        <f t="shared" si="37"/>
        <v>-41.112499999999997</v>
      </c>
      <c r="X28" s="5">
        <f t="shared" si="37"/>
        <v>-41.112499999999997</v>
      </c>
      <c r="Y28" s="5">
        <f t="shared" si="37"/>
        <v>-41.112499999999997</v>
      </c>
      <c r="Z28" s="5">
        <f t="shared" si="37"/>
        <v>-41.112499999999997</v>
      </c>
      <c r="AA28" s="5">
        <f t="shared" si="37"/>
        <v>-41.112499999999997</v>
      </c>
      <c r="AB28" s="5">
        <f t="shared" si="37"/>
        <v>-41.112499999999997</v>
      </c>
      <c r="AC28" s="383">
        <f>'[12]Architecture Breakdown_opex'!$T$32*AC1/-1000000</f>
        <v>-493.34999999999997</v>
      </c>
      <c r="AD28" s="5">
        <f t="shared" si="38"/>
        <v>-46.475000000000001</v>
      </c>
      <c r="AE28" s="5">
        <f t="shared" si="38"/>
        <v>-46.475000000000001</v>
      </c>
      <c r="AF28" s="5">
        <f t="shared" si="38"/>
        <v>-46.475000000000001</v>
      </c>
      <c r="AG28" s="5">
        <f t="shared" si="38"/>
        <v>-46.475000000000001</v>
      </c>
      <c r="AH28" s="5">
        <f t="shared" si="38"/>
        <v>-46.475000000000001</v>
      </c>
      <c r="AI28" s="5">
        <f t="shared" si="38"/>
        <v>-46.475000000000001</v>
      </c>
      <c r="AJ28" s="5">
        <f t="shared" si="38"/>
        <v>-46.475000000000001</v>
      </c>
      <c r="AK28" s="5">
        <f t="shared" si="38"/>
        <v>-46.475000000000001</v>
      </c>
      <c r="AL28" s="5">
        <f t="shared" si="38"/>
        <v>-46.475000000000001</v>
      </c>
      <c r="AM28" s="5">
        <f t="shared" si="38"/>
        <v>-46.475000000000001</v>
      </c>
      <c r="AN28" s="5">
        <f t="shared" si="38"/>
        <v>-46.475000000000001</v>
      </c>
      <c r="AO28" s="5">
        <f t="shared" si="38"/>
        <v>-46.475000000000001</v>
      </c>
      <c r="AP28" s="383">
        <f>'[12]Architecture Breakdown_opex'!$U$32*AP1/-1000000</f>
        <v>-557.70000000000005</v>
      </c>
      <c r="AQ28" s="5">
        <f t="shared" si="39"/>
        <v>-51.837499999999999</v>
      </c>
      <c r="AR28" s="5">
        <f t="shared" si="39"/>
        <v>-51.837499999999999</v>
      </c>
      <c r="AS28" s="5">
        <f t="shared" si="39"/>
        <v>-51.837499999999999</v>
      </c>
      <c r="AT28" s="5">
        <f t="shared" si="39"/>
        <v>-51.837499999999999</v>
      </c>
      <c r="AU28" s="5">
        <f t="shared" si="39"/>
        <v>-51.837499999999999</v>
      </c>
      <c r="AV28" s="5">
        <f t="shared" si="39"/>
        <v>-51.837499999999999</v>
      </c>
      <c r="AW28" s="5">
        <f t="shared" si="39"/>
        <v>-51.837499999999999</v>
      </c>
      <c r="AX28" s="5">
        <f t="shared" si="39"/>
        <v>-51.837499999999999</v>
      </c>
      <c r="AY28" s="5">
        <f t="shared" si="39"/>
        <v>-51.837499999999999</v>
      </c>
      <c r="AZ28" s="5">
        <f t="shared" si="39"/>
        <v>-51.837499999999999</v>
      </c>
      <c r="BA28" s="5">
        <f t="shared" si="39"/>
        <v>-51.837499999999999</v>
      </c>
      <c r="BB28" s="5">
        <f t="shared" si="39"/>
        <v>-51.837499999999999</v>
      </c>
      <c r="BC28" s="383">
        <f>'[12]Architecture Breakdown_opex'!$V$32*BC1/-1000000</f>
        <v>-622.04999999999995</v>
      </c>
      <c r="BD28" s="5">
        <f t="shared" si="40"/>
        <v>-57.199999999999996</v>
      </c>
      <c r="BE28" s="5">
        <f t="shared" si="40"/>
        <v>-57.199999999999996</v>
      </c>
      <c r="BF28" s="5">
        <f t="shared" si="40"/>
        <v>-57.199999999999996</v>
      </c>
      <c r="BG28" s="5">
        <f t="shared" si="40"/>
        <v>-57.199999999999996</v>
      </c>
      <c r="BH28" s="5">
        <f t="shared" si="40"/>
        <v>-57.199999999999996</v>
      </c>
      <c r="BI28" s="5">
        <f t="shared" si="40"/>
        <v>-57.199999999999996</v>
      </c>
      <c r="BJ28" s="5">
        <f t="shared" si="40"/>
        <v>-57.199999999999996</v>
      </c>
      <c r="BK28" s="5">
        <f t="shared" si="40"/>
        <v>-57.199999999999996</v>
      </c>
      <c r="BL28" s="5">
        <f t="shared" si="40"/>
        <v>-57.199999999999996</v>
      </c>
      <c r="BM28" s="5">
        <f t="shared" si="40"/>
        <v>-57.199999999999996</v>
      </c>
      <c r="BN28" s="5">
        <f t="shared" si="40"/>
        <v>-57.199999999999996</v>
      </c>
      <c r="BO28" s="5">
        <f t="shared" si="40"/>
        <v>-57.199999999999996</v>
      </c>
      <c r="BP28" s="383">
        <f>'[12]Architecture Breakdown_opex'!$W$32*BP1/-1000000</f>
        <v>-686.4</v>
      </c>
      <c r="CE28" s="605" t="s">
        <v>822</v>
      </c>
      <c r="CF28" s="12" t="s">
        <v>965</v>
      </c>
    </row>
    <row r="29" spans="1:84" s="5" customFormat="1" hidden="1" outlineLevel="1">
      <c r="A29" s="605" t="s">
        <v>823</v>
      </c>
      <c r="B29" s="12" t="s">
        <v>502</v>
      </c>
      <c r="D29" s="5">
        <f t="shared" si="36"/>
        <v>-10.416666666666666</v>
      </c>
      <c r="E29" s="5">
        <f t="shared" si="36"/>
        <v>-10.416666666666666</v>
      </c>
      <c r="F29" s="5">
        <f t="shared" si="36"/>
        <v>-10.416666666666666</v>
      </c>
      <c r="G29" s="5">
        <f t="shared" si="36"/>
        <v>-10.416666666666666</v>
      </c>
      <c r="H29" s="5">
        <f t="shared" si="36"/>
        <v>-10.416666666666666</v>
      </c>
      <c r="I29" s="5">
        <f t="shared" si="36"/>
        <v>-10.416666666666666</v>
      </c>
      <c r="J29" s="5">
        <f t="shared" si="36"/>
        <v>-10.416666666666666</v>
      </c>
      <c r="K29" s="5">
        <f t="shared" si="36"/>
        <v>-10.416666666666666</v>
      </c>
      <c r="L29" s="5">
        <f t="shared" si="36"/>
        <v>-10.416666666666666</v>
      </c>
      <c r="M29" s="5">
        <f t="shared" si="36"/>
        <v>-10.416666666666666</v>
      </c>
      <c r="N29" s="5">
        <f t="shared" si="36"/>
        <v>-10.416666666666666</v>
      </c>
      <c r="O29" s="5">
        <f t="shared" si="36"/>
        <v>-10.416666666666666</v>
      </c>
      <c r="P29" s="383">
        <f>'[12]Architecture Breakdown_opex'!$S$42*P1/-1000000</f>
        <v>-125</v>
      </c>
      <c r="Q29" s="5">
        <f t="shared" si="37"/>
        <v>-16.979166666666668</v>
      </c>
      <c r="R29" s="5">
        <f t="shared" si="37"/>
        <v>-16.979166666666668</v>
      </c>
      <c r="S29" s="5">
        <f t="shared" si="37"/>
        <v>-16.979166666666668</v>
      </c>
      <c r="T29" s="5">
        <f t="shared" si="37"/>
        <v>-16.979166666666668</v>
      </c>
      <c r="U29" s="5">
        <f t="shared" si="37"/>
        <v>-16.979166666666668</v>
      </c>
      <c r="V29" s="5">
        <f t="shared" si="37"/>
        <v>-16.979166666666668</v>
      </c>
      <c r="W29" s="5">
        <f t="shared" si="37"/>
        <v>-16.979166666666668</v>
      </c>
      <c r="X29" s="5">
        <f t="shared" si="37"/>
        <v>-16.979166666666668</v>
      </c>
      <c r="Y29" s="5">
        <f t="shared" si="37"/>
        <v>-16.979166666666668</v>
      </c>
      <c r="Z29" s="5">
        <f t="shared" si="37"/>
        <v>-16.979166666666668</v>
      </c>
      <c r="AA29" s="5">
        <f t="shared" si="37"/>
        <v>-16.979166666666668</v>
      </c>
      <c r="AB29" s="5">
        <f t="shared" si="37"/>
        <v>-16.979166666666668</v>
      </c>
      <c r="AC29" s="383">
        <f>'[12]Architecture Breakdown_opex'!$T$42*AC1/-1000000</f>
        <v>-203.75</v>
      </c>
      <c r="AD29" s="5">
        <f t="shared" si="38"/>
        <v>-19.291666666666668</v>
      </c>
      <c r="AE29" s="5">
        <f t="shared" si="38"/>
        <v>-19.291666666666668</v>
      </c>
      <c r="AF29" s="5">
        <f t="shared" si="38"/>
        <v>-19.291666666666668</v>
      </c>
      <c r="AG29" s="5">
        <f t="shared" si="38"/>
        <v>-19.291666666666668</v>
      </c>
      <c r="AH29" s="5">
        <f t="shared" si="38"/>
        <v>-19.291666666666668</v>
      </c>
      <c r="AI29" s="5">
        <f t="shared" si="38"/>
        <v>-19.291666666666668</v>
      </c>
      <c r="AJ29" s="5">
        <f t="shared" si="38"/>
        <v>-19.291666666666668</v>
      </c>
      <c r="AK29" s="5">
        <f t="shared" si="38"/>
        <v>-19.291666666666668</v>
      </c>
      <c r="AL29" s="5">
        <f t="shared" si="38"/>
        <v>-19.291666666666668</v>
      </c>
      <c r="AM29" s="5">
        <f t="shared" si="38"/>
        <v>-19.291666666666668</v>
      </c>
      <c r="AN29" s="5">
        <f t="shared" si="38"/>
        <v>-19.291666666666668</v>
      </c>
      <c r="AO29" s="5">
        <f t="shared" si="38"/>
        <v>-19.291666666666668</v>
      </c>
      <c r="AP29" s="383">
        <f>'[12]Architecture Breakdown_opex'!$U$42*AP1/-1000000</f>
        <v>-231.5</v>
      </c>
      <c r="AQ29" s="5">
        <f t="shared" si="39"/>
        <v>-21.604166666666668</v>
      </c>
      <c r="AR29" s="5">
        <f t="shared" si="39"/>
        <v>-21.604166666666668</v>
      </c>
      <c r="AS29" s="5">
        <f t="shared" si="39"/>
        <v>-21.604166666666668</v>
      </c>
      <c r="AT29" s="5">
        <f t="shared" si="39"/>
        <v>-21.604166666666668</v>
      </c>
      <c r="AU29" s="5">
        <f t="shared" si="39"/>
        <v>-21.604166666666668</v>
      </c>
      <c r="AV29" s="5">
        <f t="shared" si="39"/>
        <v>-21.604166666666668</v>
      </c>
      <c r="AW29" s="5">
        <f t="shared" si="39"/>
        <v>-21.604166666666668</v>
      </c>
      <c r="AX29" s="5">
        <f t="shared" si="39"/>
        <v>-21.604166666666668</v>
      </c>
      <c r="AY29" s="5">
        <f t="shared" si="39"/>
        <v>-21.604166666666668</v>
      </c>
      <c r="AZ29" s="5">
        <f t="shared" si="39"/>
        <v>-21.604166666666668</v>
      </c>
      <c r="BA29" s="5">
        <f t="shared" si="39"/>
        <v>-21.604166666666668</v>
      </c>
      <c r="BB29" s="5">
        <f t="shared" si="39"/>
        <v>-21.604166666666668</v>
      </c>
      <c r="BC29" s="383">
        <f>'[12]Architecture Breakdown_opex'!$V$42*BC1/-1000000</f>
        <v>-259.25</v>
      </c>
      <c r="BD29" s="5">
        <f t="shared" si="40"/>
        <v>-23.916666666666668</v>
      </c>
      <c r="BE29" s="5">
        <f t="shared" si="40"/>
        <v>-23.916666666666668</v>
      </c>
      <c r="BF29" s="5">
        <f t="shared" si="40"/>
        <v>-23.916666666666668</v>
      </c>
      <c r="BG29" s="5">
        <f t="shared" si="40"/>
        <v>-23.916666666666668</v>
      </c>
      <c r="BH29" s="5">
        <f t="shared" si="40"/>
        <v>-23.916666666666668</v>
      </c>
      <c r="BI29" s="5">
        <f t="shared" si="40"/>
        <v>-23.916666666666668</v>
      </c>
      <c r="BJ29" s="5">
        <f t="shared" si="40"/>
        <v>-23.916666666666668</v>
      </c>
      <c r="BK29" s="5">
        <f t="shared" si="40"/>
        <v>-23.916666666666668</v>
      </c>
      <c r="BL29" s="5">
        <f t="shared" si="40"/>
        <v>-23.916666666666668</v>
      </c>
      <c r="BM29" s="5">
        <f t="shared" si="40"/>
        <v>-23.916666666666668</v>
      </c>
      <c r="BN29" s="5">
        <f t="shared" si="40"/>
        <v>-23.916666666666668</v>
      </c>
      <c r="BO29" s="5">
        <f t="shared" si="40"/>
        <v>-23.916666666666668</v>
      </c>
      <c r="BP29" s="383">
        <f>'[12]Architecture Breakdown_opex'!$W$42*BP1/-1000000</f>
        <v>-287</v>
      </c>
      <c r="CE29" s="605" t="s">
        <v>823</v>
      </c>
      <c r="CF29" s="12" t="s">
        <v>965</v>
      </c>
    </row>
    <row r="30" spans="1:84" s="5" customFormat="1" hidden="1" outlineLevel="1">
      <c r="A30" s="605" t="s">
        <v>824</v>
      </c>
      <c r="B30" s="12" t="s">
        <v>502</v>
      </c>
      <c r="D30" s="5">
        <f t="shared" si="36"/>
        <v>-1.25</v>
      </c>
      <c r="E30" s="5">
        <f t="shared" si="36"/>
        <v>-1.25</v>
      </c>
      <c r="F30" s="5">
        <f t="shared" si="36"/>
        <v>-1.25</v>
      </c>
      <c r="G30" s="5">
        <f t="shared" si="36"/>
        <v>-1.25</v>
      </c>
      <c r="H30" s="5">
        <f t="shared" si="36"/>
        <v>-1.25</v>
      </c>
      <c r="I30" s="5">
        <f t="shared" si="36"/>
        <v>-1.25</v>
      </c>
      <c r="J30" s="5">
        <f t="shared" si="36"/>
        <v>-1.25</v>
      </c>
      <c r="K30" s="5">
        <f t="shared" si="36"/>
        <v>-1.25</v>
      </c>
      <c r="L30" s="5">
        <f t="shared" si="36"/>
        <v>-1.25</v>
      </c>
      <c r="M30" s="5">
        <f t="shared" si="36"/>
        <v>-1.25</v>
      </c>
      <c r="N30" s="5">
        <f t="shared" si="36"/>
        <v>-1.25</v>
      </c>
      <c r="O30" s="5">
        <f t="shared" si="36"/>
        <v>-1.25</v>
      </c>
      <c r="P30" s="383">
        <f>'[12]Architecture Breakdown_opex'!$S$62*P1/-1000000</f>
        <v>-15</v>
      </c>
      <c r="Q30" s="5">
        <f t="shared" si="37"/>
        <v>-1.4375</v>
      </c>
      <c r="R30" s="5">
        <f t="shared" si="37"/>
        <v>-1.4375</v>
      </c>
      <c r="S30" s="5">
        <f t="shared" si="37"/>
        <v>-1.4375</v>
      </c>
      <c r="T30" s="5">
        <f t="shared" si="37"/>
        <v>-1.4375</v>
      </c>
      <c r="U30" s="5">
        <f t="shared" si="37"/>
        <v>-1.4375</v>
      </c>
      <c r="V30" s="5">
        <f t="shared" si="37"/>
        <v>-1.4375</v>
      </c>
      <c r="W30" s="5">
        <f t="shared" si="37"/>
        <v>-1.4375</v>
      </c>
      <c r="X30" s="5">
        <f t="shared" si="37"/>
        <v>-1.4375</v>
      </c>
      <c r="Y30" s="5">
        <f t="shared" si="37"/>
        <v>-1.4375</v>
      </c>
      <c r="Z30" s="5">
        <f t="shared" si="37"/>
        <v>-1.4375</v>
      </c>
      <c r="AA30" s="5">
        <f t="shared" si="37"/>
        <v>-1.4375</v>
      </c>
      <c r="AB30" s="5">
        <f t="shared" si="37"/>
        <v>-1.4375</v>
      </c>
      <c r="AC30" s="383">
        <f>'[12]Architecture Breakdown_opex'!$T$62*AC1/-1000000</f>
        <v>-17.25</v>
      </c>
      <c r="AD30" s="5">
        <f t="shared" si="38"/>
        <v>-1.625</v>
      </c>
      <c r="AE30" s="5">
        <f t="shared" si="38"/>
        <v>-1.625</v>
      </c>
      <c r="AF30" s="5">
        <f t="shared" si="38"/>
        <v>-1.625</v>
      </c>
      <c r="AG30" s="5">
        <f t="shared" si="38"/>
        <v>-1.625</v>
      </c>
      <c r="AH30" s="5">
        <f t="shared" si="38"/>
        <v>-1.625</v>
      </c>
      <c r="AI30" s="5">
        <f t="shared" si="38"/>
        <v>-1.625</v>
      </c>
      <c r="AJ30" s="5">
        <f t="shared" si="38"/>
        <v>-1.625</v>
      </c>
      <c r="AK30" s="5">
        <f t="shared" si="38"/>
        <v>-1.625</v>
      </c>
      <c r="AL30" s="5">
        <f t="shared" si="38"/>
        <v>-1.625</v>
      </c>
      <c r="AM30" s="5">
        <f t="shared" si="38"/>
        <v>-1.625</v>
      </c>
      <c r="AN30" s="5">
        <f t="shared" si="38"/>
        <v>-1.625</v>
      </c>
      <c r="AO30" s="5">
        <f t="shared" si="38"/>
        <v>-1.625</v>
      </c>
      <c r="AP30" s="383">
        <f>'[12]Architecture Breakdown_opex'!$U$62*AP1/-1000000</f>
        <v>-19.5</v>
      </c>
      <c r="AQ30" s="5">
        <f t="shared" si="39"/>
        <v>-1.8125</v>
      </c>
      <c r="AR30" s="5">
        <f t="shared" si="39"/>
        <v>-1.8125</v>
      </c>
      <c r="AS30" s="5">
        <f t="shared" si="39"/>
        <v>-1.8125</v>
      </c>
      <c r="AT30" s="5">
        <f t="shared" si="39"/>
        <v>-1.8125</v>
      </c>
      <c r="AU30" s="5">
        <f t="shared" si="39"/>
        <v>-1.8125</v>
      </c>
      <c r="AV30" s="5">
        <f t="shared" si="39"/>
        <v>-1.8125</v>
      </c>
      <c r="AW30" s="5">
        <f t="shared" si="39"/>
        <v>-1.8125</v>
      </c>
      <c r="AX30" s="5">
        <f t="shared" si="39"/>
        <v>-1.8125</v>
      </c>
      <c r="AY30" s="5">
        <f t="shared" si="39"/>
        <v>-1.8125</v>
      </c>
      <c r="AZ30" s="5">
        <f t="shared" si="39"/>
        <v>-1.8125</v>
      </c>
      <c r="BA30" s="5">
        <f t="shared" si="39"/>
        <v>-1.8125</v>
      </c>
      <c r="BB30" s="5">
        <f t="shared" si="39"/>
        <v>-1.8125</v>
      </c>
      <c r="BC30" s="383">
        <f>'[12]Architecture Breakdown_opex'!$V$62*BC1/-1000000</f>
        <v>-21.75</v>
      </c>
      <c r="BD30" s="5">
        <f t="shared" si="40"/>
        <v>-2</v>
      </c>
      <c r="BE30" s="5">
        <f t="shared" si="40"/>
        <v>-2</v>
      </c>
      <c r="BF30" s="5">
        <f t="shared" si="40"/>
        <v>-2</v>
      </c>
      <c r="BG30" s="5">
        <f t="shared" si="40"/>
        <v>-2</v>
      </c>
      <c r="BH30" s="5">
        <f t="shared" si="40"/>
        <v>-2</v>
      </c>
      <c r="BI30" s="5">
        <f t="shared" si="40"/>
        <v>-2</v>
      </c>
      <c r="BJ30" s="5">
        <f t="shared" si="40"/>
        <v>-2</v>
      </c>
      <c r="BK30" s="5">
        <f t="shared" si="40"/>
        <v>-2</v>
      </c>
      <c r="BL30" s="5">
        <f t="shared" si="40"/>
        <v>-2</v>
      </c>
      <c r="BM30" s="5">
        <f t="shared" si="40"/>
        <v>-2</v>
      </c>
      <c r="BN30" s="5">
        <f t="shared" si="40"/>
        <v>-2</v>
      </c>
      <c r="BO30" s="5">
        <f t="shared" si="40"/>
        <v>-2</v>
      </c>
      <c r="BP30" s="383">
        <f>'[12]Architecture Breakdown_opex'!$W$62*BP1/-1000000</f>
        <v>-24</v>
      </c>
      <c r="CE30" s="605" t="s">
        <v>824</v>
      </c>
      <c r="CF30" s="12" t="s">
        <v>965</v>
      </c>
    </row>
    <row r="31" spans="1:84" s="5" customFormat="1" hidden="1" outlineLevel="1">
      <c r="A31" s="605" t="s">
        <v>825</v>
      </c>
      <c r="B31" s="12" t="s">
        <v>502</v>
      </c>
      <c r="D31" s="5">
        <f t="shared" si="36"/>
        <v>-7.083333333333333</v>
      </c>
      <c r="E31" s="5">
        <f t="shared" si="36"/>
        <v>-7.083333333333333</v>
      </c>
      <c r="F31" s="5">
        <f t="shared" si="36"/>
        <v>-7.083333333333333</v>
      </c>
      <c r="G31" s="5">
        <f t="shared" si="36"/>
        <v>-7.083333333333333</v>
      </c>
      <c r="H31" s="5">
        <f t="shared" si="36"/>
        <v>-7.083333333333333</v>
      </c>
      <c r="I31" s="5">
        <f t="shared" si="36"/>
        <v>-7.083333333333333</v>
      </c>
      <c r="J31" s="5">
        <f t="shared" si="36"/>
        <v>-7.083333333333333</v>
      </c>
      <c r="K31" s="5">
        <f t="shared" si="36"/>
        <v>-7.083333333333333</v>
      </c>
      <c r="L31" s="5">
        <f t="shared" si="36"/>
        <v>-7.083333333333333</v>
      </c>
      <c r="M31" s="5">
        <f t="shared" si="36"/>
        <v>-7.083333333333333</v>
      </c>
      <c r="N31" s="5">
        <f t="shared" si="36"/>
        <v>-7.083333333333333</v>
      </c>
      <c r="O31" s="5">
        <f t="shared" si="36"/>
        <v>-7.083333333333333</v>
      </c>
      <c r="P31" s="383">
        <f>'[12]Architecture Breakdown_opex'!$S$70*P1/-1000000</f>
        <v>-85</v>
      </c>
      <c r="Q31" s="5">
        <f t="shared" si="37"/>
        <v>-19.145833333333332</v>
      </c>
      <c r="R31" s="5">
        <f t="shared" si="37"/>
        <v>-19.145833333333332</v>
      </c>
      <c r="S31" s="5">
        <f t="shared" si="37"/>
        <v>-19.145833333333332</v>
      </c>
      <c r="T31" s="5">
        <f t="shared" si="37"/>
        <v>-19.145833333333332</v>
      </c>
      <c r="U31" s="5">
        <f t="shared" si="37"/>
        <v>-19.145833333333332</v>
      </c>
      <c r="V31" s="5">
        <f t="shared" si="37"/>
        <v>-19.145833333333332</v>
      </c>
      <c r="W31" s="5">
        <f t="shared" si="37"/>
        <v>-19.145833333333332</v>
      </c>
      <c r="X31" s="5">
        <f t="shared" si="37"/>
        <v>-19.145833333333332</v>
      </c>
      <c r="Y31" s="5">
        <f t="shared" si="37"/>
        <v>-19.145833333333332</v>
      </c>
      <c r="Z31" s="5">
        <f t="shared" si="37"/>
        <v>-19.145833333333332</v>
      </c>
      <c r="AA31" s="5">
        <f t="shared" si="37"/>
        <v>-19.145833333333332</v>
      </c>
      <c r="AB31" s="5">
        <f t="shared" si="37"/>
        <v>-19.145833333333332</v>
      </c>
      <c r="AC31" s="383">
        <f>'[12]Architecture Breakdown_opex'!$T$70*AC1/-1000000</f>
        <v>-229.75</v>
      </c>
      <c r="AD31" s="5">
        <f t="shared" si="38"/>
        <v>-21.858333333333334</v>
      </c>
      <c r="AE31" s="5">
        <f t="shared" si="38"/>
        <v>-21.858333333333334</v>
      </c>
      <c r="AF31" s="5">
        <f t="shared" si="38"/>
        <v>-21.858333333333334</v>
      </c>
      <c r="AG31" s="5">
        <f t="shared" si="38"/>
        <v>-21.858333333333334</v>
      </c>
      <c r="AH31" s="5">
        <f t="shared" si="38"/>
        <v>-21.858333333333334</v>
      </c>
      <c r="AI31" s="5">
        <f t="shared" si="38"/>
        <v>-21.858333333333334</v>
      </c>
      <c r="AJ31" s="5">
        <f t="shared" si="38"/>
        <v>-21.858333333333334</v>
      </c>
      <c r="AK31" s="5">
        <f t="shared" si="38"/>
        <v>-21.858333333333334</v>
      </c>
      <c r="AL31" s="5">
        <f t="shared" si="38"/>
        <v>-21.858333333333334</v>
      </c>
      <c r="AM31" s="5">
        <f t="shared" si="38"/>
        <v>-21.858333333333334</v>
      </c>
      <c r="AN31" s="5">
        <f t="shared" si="38"/>
        <v>-21.858333333333334</v>
      </c>
      <c r="AO31" s="5">
        <f t="shared" si="38"/>
        <v>-21.858333333333334</v>
      </c>
      <c r="AP31" s="383">
        <f>'[12]Architecture Breakdown_opex'!$U$70*AP1/-1000000</f>
        <v>-262.3</v>
      </c>
      <c r="AQ31" s="5">
        <f t="shared" si="39"/>
        <v>-24.570833333333336</v>
      </c>
      <c r="AR31" s="5">
        <f t="shared" si="39"/>
        <v>-24.570833333333336</v>
      </c>
      <c r="AS31" s="5">
        <f t="shared" si="39"/>
        <v>-24.570833333333336</v>
      </c>
      <c r="AT31" s="5">
        <f t="shared" si="39"/>
        <v>-24.570833333333336</v>
      </c>
      <c r="AU31" s="5">
        <f t="shared" si="39"/>
        <v>-24.570833333333336</v>
      </c>
      <c r="AV31" s="5">
        <f t="shared" si="39"/>
        <v>-24.570833333333336</v>
      </c>
      <c r="AW31" s="5">
        <f t="shared" si="39"/>
        <v>-24.570833333333336</v>
      </c>
      <c r="AX31" s="5">
        <f t="shared" si="39"/>
        <v>-24.570833333333336</v>
      </c>
      <c r="AY31" s="5">
        <f t="shared" si="39"/>
        <v>-24.570833333333336</v>
      </c>
      <c r="AZ31" s="5">
        <f t="shared" si="39"/>
        <v>-24.570833333333336</v>
      </c>
      <c r="BA31" s="5">
        <f t="shared" si="39"/>
        <v>-24.570833333333336</v>
      </c>
      <c r="BB31" s="5">
        <f t="shared" si="39"/>
        <v>-24.570833333333336</v>
      </c>
      <c r="BC31" s="383">
        <f>'[12]Architecture Breakdown_opex'!$V$70*BC1/-1000000</f>
        <v>-294.85000000000002</v>
      </c>
      <c r="BD31" s="5">
        <f t="shared" si="40"/>
        <v>-27.283333333333331</v>
      </c>
      <c r="BE31" s="5">
        <f t="shared" si="40"/>
        <v>-27.283333333333331</v>
      </c>
      <c r="BF31" s="5">
        <f t="shared" si="40"/>
        <v>-27.283333333333331</v>
      </c>
      <c r="BG31" s="5">
        <f t="shared" si="40"/>
        <v>-27.283333333333331</v>
      </c>
      <c r="BH31" s="5">
        <f t="shared" si="40"/>
        <v>-27.283333333333331</v>
      </c>
      <c r="BI31" s="5">
        <f t="shared" si="40"/>
        <v>-27.283333333333331</v>
      </c>
      <c r="BJ31" s="5">
        <f t="shared" si="40"/>
        <v>-27.283333333333331</v>
      </c>
      <c r="BK31" s="5">
        <f t="shared" si="40"/>
        <v>-27.283333333333331</v>
      </c>
      <c r="BL31" s="5">
        <f t="shared" si="40"/>
        <v>-27.283333333333331</v>
      </c>
      <c r="BM31" s="5">
        <f t="shared" si="40"/>
        <v>-27.283333333333331</v>
      </c>
      <c r="BN31" s="5">
        <f t="shared" si="40"/>
        <v>-27.283333333333331</v>
      </c>
      <c r="BO31" s="5">
        <f t="shared" si="40"/>
        <v>-27.283333333333331</v>
      </c>
      <c r="BP31" s="383">
        <f>'[12]Architecture Breakdown_opex'!$W$70*BP1/-1000000</f>
        <v>-327.39999999999998</v>
      </c>
      <c r="CE31" s="605" t="s">
        <v>825</v>
      </c>
      <c r="CF31" s="12" t="s">
        <v>965</v>
      </c>
    </row>
    <row r="32" spans="1:84" s="5" customFormat="1" hidden="1" outlineLevel="1">
      <c r="A32" s="605" t="s">
        <v>826</v>
      </c>
      <c r="B32" s="12" t="s">
        <v>502</v>
      </c>
      <c r="D32" s="5">
        <f t="shared" si="36"/>
        <v>-7.333333333333333</v>
      </c>
      <c r="E32" s="5">
        <f t="shared" si="36"/>
        <v>-7.333333333333333</v>
      </c>
      <c r="F32" s="5">
        <f t="shared" si="36"/>
        <v>-7.333333333333333</v>
      </c>
      <c r="G32" s="5">
        <f t="shared" si="36"/>
        <v>-7.333333333333333</v>
      </c>
      <c r="H32" s="5">
        <f t="shared" si="36"/>
        <v>-7.333333333333333</v>
      </c>
      <c r="I32" s="5">
        <f t="shared" si="36"/>
        <v>-7.333333333333333</v>
      </c>
      <c r="J32" s="5">
        <f t="shared" si="36"/>
        <v>-7.333333333333333</v>
      </c>
      <c r="K32" s="5">
        <f t="shared" si="36"/>
        <v>-7.333333333333333</v>
      </c>
      <c r="L32" s="5">
        <f t="shared" si="36"/>
        <v>-7.333333333333333</v>
      </c>
      <c r="M32" s="5">
        <f t="shared" si="36"/>
        <v>-7.333333333333333</v>
      </c>
      <c r="N32" s="5">
        <f t="shared" si="36"/>
        <v>-7.333333333333333</v>
      </c>
      <c r="O32" s="5">
        <f t="shared" si="36"/>
        <v>-7.333333333333333</v>
      </c>
      <c r="P32" s="383">
        <f>'[12]Architecture Breakdown_opex'!$S$82*P1/-1000000</f>
        <v>-88</v>
      </c>
      <c r="Q32" s="5">
        <f t="shared" si="37"/>
        <v>-8.9333333333333336</v>
      </c>
      <c r="R32" s="5">
        <f t="shared" si="37"/>
        <v>-8.9333333333333336</v>
      </c>
      <c r="S32" s="5">
        <f t="shared" si="37"/>
        <v>-8.9333333333333336</v>
      </c>
      <c r="T32" s="5">
        <f t="shared" si="37"/>
        <v>-8.9333333333333336</v>
      </c>
      <c r="U32" s="5">
        <f t="shared" si="37"/>
        <v>-8.9333333333333336</v>
      </c>
      <c r="V32" s="5">
        <f t="shared" si="37"/>
        <v>-8.9333333333333336</v>
      </c>
      <c r="W32" s="5">
        <f t="shared" si="37"/>
        <v>-8.9333333333333336</v>
      </c>
      <c r="X32" s="5">
        <f t="shared" si="37"/>
        <v>-8.9333333333333336</v>
      </c>
      <c r="Y32" s="5">
        <f t="shared" si="37"/>
        <v>-8.9333333333333336</v>
      </c>
      <c r="Z32" s="5">
        <f t="shared" si="37"/>
        <v>-8.9333333333333336</v>
      </c>
      <c r="AA32" s="5">
        <f t="shared" si="37"/>
        <v>-8.9333333333333336</v>
      </c>
      <c r="AB32" s="5">
        <f t="shared" si="37"/>
        <v>-8.9333333333333336</v>
      </c>
      <c r="AC32" s="383">
        <f>'[12]Architecture Breakdown_opex'!$T$82*AC1/-1000000</f>
        <v>-107.2</v>
      </c>
      <c r="AD32" s="5">
        <f t="shared" si="38"/>
        <v>-10.108333333333333</v>
      </c>
      <c r="AE32" s="5">
        <f t="shared" si="38"/>
        <v>-10.108333333333333</v>
      </c>
      <c r="AF32" s="5">
        <f t="shared" si="38"/>
        <v>-10.108333333333333</v>
      </c>
      <c r="AG32" s="5">
        <f t="shared" si="38"/>
        <v>-10.108333333333333</v>
      </c>
      <c r="AH32" s="5">
        <f t="shared" si="38"/>
        <v>-10.108333333333333</v>
      </c>
      <c r="AI32" s="5">
        <f t="shared" si="38"/>
        <v>-10.108333333333333</v>
      </c>
      <c r="AJ32" s="5">
        <f t="shared" si="38"/>
        <v>-10.108333333333333</v>
      </c>
      <c r="AK32" s="5">
        <f t="shared" si="38"/>
        <v>-10.108333333333333</v>
      </c>
      <c r="AL32" s="5">
        <f t="shared" si="38"/>
        <v>-10.108333333333333</v>
      </c>
      <c r="AM32" s="5">
        <f t="shared" si="38"/>
        <v>-10.108333333333333</v>
      </c>
      <c r="AN32" s="5">
        <f t="shared" si="38"/>
        <v>-10.108333333333333</v>
      </c>
      <c r="AO32" s="5">
        <f t="shared" si="38"/>
        <v>-10.108333333333333</v>
      </c>
      <c r="AP32" s="383">
        <f>'[12]Architecture Breakdown_opex'!$U$82*AP1/-1000000</f>
        <v>-121.3</v>
      </c>
      <c r="AQ32" s="5">
        <f t="shared" si="39"/>
        <v>-11.283333333333333</v>
      </c>
      <c r="AR32" s="5">
        <f t="shared" si="39"/>
        <v>-11.283333333333333</v>
      </c>
      <c r="AS32" s="5">
        <f t="shared" si="39"/>
        <v>-11.283333333333333</v>
      </c>
      <c r="AT32" s="5">
        <f t="shared" si="39"/>
        <v>-11.283333333333333</v>
      </c>
      <c r="AU32" s="5">
        <f t="shared" si="39"/>
        <v>-11.283333333333333</v>
      </c>
      <c r="AV32" s="5">
        <f t="shared" si="39"/>
        <v>-11.283333333333333</v>
      </c>
      <c r="AW32" s="5">
        <f t="shared" si="39"/>
        <v>-11.283333333333333</v>
      </c>
      <c r="AX32" s="5">
        <f t="shared" si="39"/>
        <v>-11.283333333333333</v>
      </c>
      <c r="AY32" s="5">
        <f t="shared" si="39"/>
        <v>-11.283333333333333</v>
      </c>
      <c r="AZ32" s="5">
        <f t="shared" si="39"/>
        <v>-11.283333333333333</v>
      </c>
      <c r="BA32" s="5">
        <f t="shared" si="39"/>
        <v>-11.283333333333333</v>
      </c>
      <c r="BB32" s="5">
        <f t="shared" si="39"/>
        <v>-11.283333333333333</v>
      </c>
      <c r="BC32" s="383">
        <f>'[12]Architecture Breakdown_opex'!$V$82*BC1/-1000000</f>
        <v>-135.4</v>
      </c>
      <c r="BD32" s="5">
        <f t="shared" si="40"/>
        <v>-12.458333333333334</v>
      </c>
      <c r="BE32" s="5">
        <f t="shared" si="40"/>
        <v>-12.458333333333334</v>
      </c>
      <c r="BF32" s="5">
        <f t="shared" si="40"/>
        <v>-12.458333333333334</v>
      </c>
      <c r="BG32" s="5">
        <f t="shared" si="40"/>
        <v>-12.458333333333334</v>
      </c>
      <c r="BH32" s="5">
        <f t="shared" si="40"/>
        <v>-12.458333333333334</v>
      </c>
      <c r="BI32" s="5">
        <f t="shared" si="40"/>
        <v>-12.458333333333334</v>
      </c>
      <c r="BJ32" s="5">
        <f t="shared" si="40"/>
        <v>-12.458333333333334</v>
      </c>
      <c r="BK32" s="5">
        <f t="shared" si="40"/>
        <v>-12.458333333333334</v>
      </c>
      <c r="BL32" s="5">
        <f t="shared" si="40"/>
        <v>-12.458333333333334</v>
      </c>
      <c r="BM32" s="5">
        <f t="shared" si="40"/>
        <v>-12.458333333333334</v>
      </c>
      <c r="BN32" s="5">
        <f t="shared" si="40"/>
        <v>-12.458333333333334</v>
      </c>
      <c r="BO32" s="5">
        <f t="shared" si="40"/>
        <v>-12.458333333333334</v>
      </c>
      <c r="BP32" s="383">
        <f>'[12]Architecture Breakdown_opex'!$W$82*BP1/-1000000</f>
        <v>-149.5</v>
      </c>
      <c r="CE32" s="605" t="s">
        <v>826</v>
      </c>
      <c r="CF32" s="12" t="s">
        <v>965</v>
      </c>
    </row>
    <row r="33" spans="1:84" s="5" customFormat="1" hidden="1" outlineLevel="1">
      <c r="A33" s="605"/>
      <c r="B33" s="12" t="s">
        <v>502</v>
      </c>
      <c r="D33" s="5">
        <f t="shared" si="36"/>
        <v>0</v>
      </c>
      <c r="E33" s="5">
        <f t="shared" si="36"/>
        <v>0</v>
      </c>
      <c r="F33" s="5">
        <f t="shared" si="36"/>
        <v>0</v>
      </c>
      <c r="G33" s="5">
        <f t="shared" si="36"/>
        <v>0</v>
      </c>
      <c r="H33" s="5">
        <f t="shared" si="36"/>
        <v>0</v>
      </c>
      <c r="I33" s="5">
        <f t="shared" si="36"/>
        <v>0</v>
      </c>
      <c r="J33" s="5">
        <f t="shared" si="36"/>
        <v>0</v>
      </c>
      <c r="K33" s="5">
        <f t="shared" si="36"/>
        <v>0</v>
      </c>
      <c r="L33" s="5">
        <f t="shared" si="36"/>
        <v>0</v>
      </c>
      <c r="M33" s="5">
        <f t="shared" si="36"/>
        <v>0</v>
      </c>
      <c r="N33" s="5">
        <f t="shared" si="36"/>
        <v>0</v>
      </c>
      <c r="O33" s="5">
        <f t="shared" si="36"/>
        <v>0</v>
      </c>
      <c r="P33" s="383"/>
      <c r="Q33" s="5">
        <f t="shared" si="37"/>
        <v>0</v>
      </c>
      <c r="R33" s="5">
        <f t="shared" si="37"/>
        <v>0</v>
      </c>
      <c r="S33" s="5">
        <f t="shared" si="37"/>
        <v>0</v>
      </c>
      <c r="T33" s="5">
        <f t="shared" si="37"/>
        <v>0</v>
      </c>
      <c r="U33" s="5">
        <f t="shared" si="37"/>
        <v>0</v>
      </c>
      <c r="V33" s="5">
        <f t="shared" si="37"/>
        <v>0</v>
      </c>
      <c r="W33" s="5">
        <f t="shared" si="37"/>
        <v>0</v>
      </c>
      <c r="X33" s="5">
        <f t="shared" si="37"/>
        <v>0</v>
      </c>
      <c r="Y33" s="5">
        <f t="shared" si="37"/>
        <v>0</v>
      </c>
      <c r="Z33" s="5">
        <f t="shared" si="37"/>
        <v>0</v>
      </c>
      <c r="AA33" s="5">
        <f t="shared" si="37"/>
        <v>0</v>
      </c>
      <c r="AB33" s="5">
        <f t="shared" si="37"/>
        <v>0</v>
      </c>
      <c r="AC33" s="383"/>
      <c r="AD33" s="5">
        <f t="shared" si="38"/>
        <v>0</v>
      </c>
      <c r="AE33" s="5">
        <f t="shared" si="38"/>
        <v>0</v>
      </c>
      <c r="AF33" s="5">
        <f t="shared" si="38"/>
        <v>0</v>
      </c>
      <c r="AG33" s="5">
        <f t="shared" si="38"/>
        <v>0</v>
      </c>
      <c r="AH33" s="5">
        <f t="shared" si="38"/>
        <v>0</v>
      </c>
      <c r="AI33" s="5">
        <f t="shared" si="38"/>
        <v>0</v>
      </c>
      <c r="AJ33" s="5">
        <f t="shared" si="38"/>
        <v>0</v>
      </c>
      <c r="AK33" s="5">
        <f t="shared" si="38"/>
        <v>0</v>
      </c>
      <c r="AL33" s="5">
        <f t="shared" si="38"/>
        <v>0</v>
      </c>
      <c r="AM33" s="5">
        <f t="shared" si="38"/>
        <v>0</v>
      </c>
      <c r="AN33" s="5">
        <f t="shared" si="38"/>
        <v>0</v>
      </c>
      <c r="AO33" s="5">
        <f t="shared" si="38"/>
        <v>0</v>
      </c>
      <c r="AP33" s="383"/>
      <c r="AQ33" s="5">
        <f t="shared" si="39"/>
        <v>0</v>
      </c>
      <c r="AR33" s="5">
        <f t="shared" si="39"/>
        <v>0</v>
      </c>
      <c r="AS33" s="5">
        <f t="shared" si="39"/>
        <v>0</v>
      </c>
      <c r="AT33" s="5">
        <f t="shared" si="39"/>
        <v>0</v>
      </c>
      <c r="AU33" s="5">
        <f t="shared" si="39"/>
        <v>0</v>
      </c>
      <c r="AV33" s="5">
        <f t="shared" si="39"/>
        <v>0</v>
      </c>
      <c r="AW33" s="5">
        <f t="shared" si="39"/>
        <v>0</v>
      </c>
      <c r="AX33" s="5">
        <f t="shared" si="39"/>
        <v>0</v>
      </c>
      <c r="AY33" s="5">
        <f t="shared" si="39"/>
        <v>0</v>
      </c>
      <c r="AZ33" s="5">
        <f t="shared" si="39"/>
        <v>0</v>
      </c>
      <c r="BA33" s="5">
        <f t="shared" si="39"/>
        <v>0</v>
      </c>
      <c r="BB33" s="5">
        <f t="shared" si="39"/>
        <v>0</v>
      </c>
      <c r="BC33" s="383"/>
      <c r="BD33" s="5">
        <f t="shared" si="40"/>
        <v>0</v>
      </c>
      <c r="BE33" s="5">
        <f t="shared" si="40"/>
        <v>0</v>
      </c>
      <c r="BF33" s="5">
        <f t="shared" si="40"/>
        <v>0</v>
      </c>
      <c r="BG33" s="5">
        <f t="shared" si="40"/>
        <v>0</v>
      </c>
      <c r="BH33" s="5">
        <f t="shared" si="40"/>
        <v>0</v>
      </c>
      <c r="BI33" s="5">
        <f t="shared" si="40"/>
        <v>0</v>
      </c>
      <c r="BJ33" s="5">
        <f t="shared" si="40"/>
        <v>0</v>
      </c>
      <c r="BK33" s="5">
        <f t="shared" si="40"/>
        <v>0</v>
      </c>
      <c r="BL33" s="5">
        <f t="shared" si="40"/>
        <v>0</v>
      </c>
      <c r="BM33" s="5">
        <f t="shared" si="40"/>
        <v>0</v>
      </c>
      <c r="BN33" s="5">
        <f t="shared" si="40"/>
        <v>0</v>
      </c>
      <c r="BO33" s="5">
        <f t="shared" si="40"/>
        <v>0</v>
      </c>
      <c r="BP33" s="383"/>
      <c r="CE33" s="605"/>
      <c r="CF33" s="12" t="s">
        <v>965</v>
      </c>
    </row>
    <row r="34" spans="1:84" s="5" customFormat="1" hidden="1" outlineLevel="1">
      <c r="A34" s="605"/>
      <c r="B34" s="12" t="s">
        <v>502</v>
      </c>
      <c r="D34" s="5">
        <f t="shared" si="36"/>
        <v>0</v>
      </c>
      <c r="E34" s="5">
        <f t="shared" si="36"/>
        <v>0</v>
      </c>
      <c r="F34" s="5">
        <f t="shared" si="36"/>
        <v>0</v>
      </c>
      <c r="G34" s="5">
        <f t="shared" si="36"/>
        <v>0</v>
      </c>
      <c r="H34" s="5">
        <f t="shared" si="36"/>
        <v>0</v>
      </c>
      <c r="I34" s="5">
        <f t="shared" si="36"/>
        <v>0</v>
      </c>
      <c r="J34" s="5">
        <f t="shared" si="36"/>
        <v>0</v>
      </c>
      <c r="K34" s="5">
        <f t="shared" si="36"/>
        <v>0</v>
      </c>
      <c r="L34" s="5">
        <f t="shared" si="36"/>
        <v>0</v>
      </c>
      <c r="M34" s="5">
        <f t="shared" si="36"/>
        <v>0</v>
      </c>
      <c r="N34" s="5">
        <f t="shared" si="36"/>
        <v>0</v>
      </c>
      <c r="O34" s="5">
        <f t="shared" si="36"/>
        <v>0</v>
      </c>
      <c r="P34" s="383"/>
      <c r="Q34" s="5">
        <f t="shared" si="37"/>
        <v>0</v>
      </c>
      <c r="R34" s="5">
        <f t="shared" si="37"/>
        <v>0</v>
      </c>
      <c r="S34" s="5">
        <f t="shared" si="37"/>
        <v>0</v>
      </c>
      <c r="T34" s="5">
        <f t="shared" si="37"/>
        <v>0</v>
      </c>
      <c r="U34" s="5">
        <f t="shared" si="37"/>
        <v>0</v>
      </c>
      <c r="V34" s="5">
        <f t="shared" si="37"/>
        <v>0</v>
      </c>
      <c r="W34" s="5">
        <f t="shared" si="37"/>
        <v>0</v>
      </c>
      <c r="X34" s="5">
        <f t="shared" si="37"/>
        <v>0</v>
      </c>
      <c r="Y34" s="5">
        <f t="shared" si="37"/>
        <v>0</v>
      </c>
      <c r="Z34" s="5">
        <f t="shared" si="37"/>
        <v>0</v>
      </c>
      <c r="AA34" s="5">
        <f t="shared" si="37"/>
        <v>0</v>
      </c>
      <c r="AB34" s="5">
        <f t="shared" si="37"/>
        <v>0</v>
      </c>
      <c r="AC34" s="383"/>
      <c r="AD34" s="5">
        <f t="shared" si="38"/>
        <v>0</v>
      </c>
      <c r="AE34" s="5">
        <f t="shared" si="38"/>
        <v>0</v>
      </c>
      <c r="AF34" s="5">
        <f t="shared" si="38"/>
        <v>0</v>
      </c>
      <c r="AG34" s="5">
        <f t="shared" si="38"/>
        <v>0</v>
      </c>
      <c r="AH34" s="5">
        <f t="shared" si="38"/>
        <v>0</v>
      </c>
      <c r="AI34" s="5">
        <f t="shared" si="38"/>
        <v>0</v>
      </c>
      <c r="AJ34" s="5">
        <f t="shared" si="38"/>
        <v>0</v>
      </c>
      <c r="AK34" s="5">
        <f t="shared" si="38"/>
        <v>0</v>
      </c>
      <c r="AL34" s="5">
        <f t="shared" si="38"/>
        <v>0</v>
      </c>
      <c r="AM34" s="5">
        <f t="shared" si="38"/>
        <v>0</v>
      </c>
      <c r="AN34" s="5">
        <f t="shared" si="38"/>
        <v>0</v>
      </c>
      <c r="AO34" s="5">
        <f t="shared" si="38"/>
        <v>0</v>
      </c>
      <c r="AP34" s="383"/>
      <c r="AQ34" s="5">
        <f t="shared" si="39"/>
        <v>0</v>
      </c>
      <c r="AR34" s="5">
        <f t="shared" si="39"/>
        <v>0</v>
      </c>
      <c r="AS34" s="5">
        <f t="shared" si="39"/>
        <v>0</v>
      </c>
      <c r="AT34" s="5">
        <f t="shared" si="39"/>
        <v>0</v>
      </c>
      <c r="AU34" s="5">
        <f t="shared" si="39"/>
        <v>0</v>
      </c>
      <c r="AV34" s="5">
        <f t="shared" si="39"/>
        <v>0</v>
      </c>
      <c r="AW34" s="5">
        <f t="shared" si="39"/>
        <v>0</v>
      </c>
      <c r="AX34" s="5">
        <f t="shared" si="39"/>
        <v>0</v>
      </c>
      <c r="AY34" s="5">
        <f t="shared" si="39"/>
        <v>0</v>
      </c>
      <c r="AZ34" s="5">
        <f t="shared" si="39"/>
        <v>0</v>
      </c>
      <c r="BA34" s="5">
        <f t="shared" si="39"/>
        <v>0</v>
      </c>
      <c r="BB34" s="5">
        <f t="shared" si="39"/>
        <v>0</v>
      </c>
      <c r="BC34" s="383"/>
      <c r="BD34" s="5">
        <f t="shared" si="40"/>
        <v>0</v>
      </c>
      <c r="BE34" s="5">
        <f t="shared" si="40"/>
        <v>0</v>
      </c>
      <c r="BF34" s="5">
        <f t="shared" si="40"/>
        <v>0</v>
      </c>
      <c r="BG34" s="5">
        <f t="shared" si="40"/>
        <v>0</v>
      </c>
      <c r="BH34" s="5">
        <f t="shared" si="40"/>
        <v>0</v>
      </c>
      <c r="BI34" s="5">
        <f t="shared" si="40"/>
        <v>0</v>
      </c>
      <c r="BJ34" s="5">
        <f t="shared" si="40"/>
        <v>0</v>
      </c>
      <c r="BK34" s="5">
        <f t="shared" si="40"/>
        <v>0</v>
      </c>
      <c r="BL34" s="5">
        <f t="shared" si="40"/>
        <v>0</v>
      </c>
      <c r="BM34" s="5">
        <f t="shared" si="40"/>
        <v>0</v>
      </c>
      <c r="BN34" s="5">
        <f t="shared" si="40"/>
        <v>0</v>
      </c>
      <c r="BO34" s="5">
        <f t="shared" si="40"/>
        <v>0</v>
      </c>
      <c r="BP34" s="383"/>
      <c r="CE34" s="605"/>
      <c r="CF34" s="12" t="s">
        <v>965</v>
      </c>
    </row>
    <row r="35" spans="1:84" s="5" customFormat="1" hidden="1" outlineLevel="1">
      <c r="A35" s="605"/>
      <c r="B35" s="12" t="s">
        <v>502</v>
      </c>
      <c r="D35" s="5">
        <f t="shared" si="36"/>
        <v>0</v>
      </c>
      <c r="E35" s="5">
        <f t="shared" si="36"/>
        <v>0</v>
      </c>
      <c r="F35" s="5">
        <f t="shared" si="36"/>
        <v>0</v>
      </c>
      <c r="G35" s="5">
        <f t="shared" si="36"/>
        <v>0</v>
      </c>
      <c r="H35" s="5">
        <f t="shared" si="36"/>
        <v>0</v>
      </c>
      <c r="I35" s="5">
        <f t="shared" si="36"/>
        <v>0</v>
      </c>
      <c r="J35" s="5">
        <f t="shared" si="36"/>
        <v>0</v>
      </c>
      <c r="K35" s="5">
        <f t="shared" si="36"/>
        <v>0</v>
      </c>
      <c r="L35" s="5">
        <f t="shared" si="36"/>
        <v>0</v>
      </c>
      <c r="M35" s="5">
        <f t="shared" si="36"/>
        <v>0</v>
      </c>
      <c r="N35" s="5">
        <f t="shared" si="36"/>
        <v>0</v>
      </c>
      <c r="O35" s="5">
        <f t="shared" si="36"/>
        <v>0</v>
      </c>
      <c r="P35" s="383"/>
      <c r="Q35" s="5">
        <f t="shared" si="37"/>
        <v>0</v>
      </c>
      <c r="R35" s="5">
        <f t="shared" si="37"/>
        <v>0</v>
      </c>
      <c r="S35" s="5">
        <f t="shared" si="37"/>
        <v>0</v>
      </c>
      <c r="T35" s="5">
        <f t="shared" si="37"/>
        <v>0</v>
      </c>
      <c r="U35" s="5">
        <f t="shared" si="37"/>
        <v>0</v>
      </c>
      <c r="V35" s="5">
        <f t="shared" si="37"/>
        <v>0</v>
      </c>
      <c r="W35" s="5">
        <f t="shared" si="37"/>
        <v>0</v>
      </c>
      <c r="X35" s="5">
        <f t="shared" si="37"/>
        <v>0</v>
      </c>
      <c r="Y35" s="5">
        <f t="shared" si="37"/>
        <v>0</v>
      </c>
      <c r="Z35" s="5">
        <f t="shared" si="37"/>
        <v>0</v>
      </c>
      <c r="AA35" s="5">
        <f t="shared" si="37"/>
        <v>0</v>
      </c>
      <c r="AB35" s="5">
        <f t="shared" si="37"/>
        <v>0</v>
      </c>
      <c r="AC35" s="383"/>
      <c r="AD35" s="5">
        <f t="shared" si="38"/>
        <v>0</v>
      </c>
      <c r="AE35" s="5">
        <f t="shared" si="38"/>
        <v>0</v>
      </c>
      <c r="AF35" s="5">
        <f t="shared" si="38"/>
        <v>0</v>
      </c>
      <c r="AG35" s="5">
        <f t="shared" si="38"/>
        <v>0</v>
      </c>
      <c r="AH35" s="5">
        <f t="shared" si="38"/>
        <v>0</v>
      </c>
      <c r="AI35" s="5">
        <f t="shared" si="38"/>
        <v>0</v>
      </c>
      <c r="AJ35" s="5">
        <f t="shared" si="38"/>
        <v>0</v>
      </c>
      <c r="AK35" s="5">
        <f t="shared" si="38"/>
        <v>0</v>
      </c>
      <c r="AL35" s="5">
        <f t="shared" si="38"/>
        <v>0</v>
      </c>
      <c r="AM35" s="5">
        <f t="shared" si="38"/>
        <v>0</v>
      </c>
      <c r="AN35" s="5">
        <f t="shared" si="38"/>
        <v>0</v>
      </c>
      <c r="AO35" s="5">
        <f t="shared" si="38"/>
        <v>0</v>
      </c>
      <c r="AP35" s="383"/>
      <c r="AQ35" s="5">
        <f t="shared" si="39"/>
        <v>0</v>
      </c>
      <c r="AR35" s="5">
        <f t="shared" si="39"/>
        <v>0</v>
      </c>
      <c r="AS35" s="5">
        <f t="shared" si="39"/>
        <v>0</v>
      </c>
      <c r="AT35" s="5">
        <f t="shared" si="39"/>
        <v>0</v>
      </c>
      <c r="AU35" s="5">
        <f t="shared" si="39"/>
        <v>0</v>
      </c>
      <c r="AV35" s="5">
        <f t="shared" si="39"/>
        <v>0</v>
      </c>
      <c r="AW35" s="5">
        <f t="shared" si="39"/>
        <v>0</v>
      </c>
      <c r="AX35" s="5">
        <f t="shared" si="39"/>
        <v>0</v>
      </c>
      <c r="AY35" s="5">
        <f t="shared" si="39"/>
        <v>0</v>
      </c>
      <c r="AZ35" s="5">
        <f t="shared" si="39"/>
        <v>0</v>
      </c>
      <c r="BA35" s="5">
        <f t="shared" si="39"/>
        <v>0</v>
      </c>
      <c r="BB35" s="5">
        <f t="shared" si="39"/>
        <v>0</v>
      </c>
      <c r="BC35" s="383"/>
      <c r="BD35" s="5">
        <f t="shared" si="40"/>
        <v>0</v>
      </c>
      <c r="BE35" s="5">
        <f t="shared" si="40"/>
        <v>0</v>
      </c>
      <c r="BF35" s="5">
        <f t="shared" si="40"/>
        <v>0</v>
      </c>
      <c r="BG35" s="5">
        <f t="shared" si="40"/>
        <v>0</v>
      </c>
      <c r="BH35" s="5">
        <f t="shared" si="40"/>
        <v>0</v>
      </c>
      <c r="BI35" s="5">
        <f t="shared" si="40"/>
        <v>0</v>
      </c>
      <c r="BJ35" s="5">
        <f t="shared" si="40"/>
        <v>0</v>
      </c>
      <c r="BK35" s="5">
        <f t="shared" si="40"/>
        <v>0</v>
      </c>
      <c r="BL35" s="5">
        <f t="shared" si="40"/>
        <v>0</v>
      </c>
      <c r="BM35" s="5">
        <f t="shared" si="40"/>
        <v>0</v>
      </c>
      <c r="BN35" s="5">
        <f t="shared" si="40"/>
        <v>0</v>
      </c>
      <c r="BO35" s="5">
        <f t="shared" si="40"/>
        <v>0</v>
      </c>
      <c r="BP35" s="383"/>
      <c r="CE35" s="605"/>
      <c r="CF35" s="12" t="s">
        <v>965</v>
      </c>
    </row>
    <row r="36" spans="1:84" s="5" customFormat="1" hidden="1" outlineLevel="1">
      <c r="A36" s="605"/>
      <c r="B36" s="12" t="s">
        <v>502</v>
      </c>
      <c r="D36" s="5">
        <f t="shared" si="36"/>
        <v>0</v>
      </c>
      <c r="E36" s="5">
        <f t="shared" si="36"/>
        <v>0</v>
      </c>
      <c r="F36" s="5">
        <f t="shared" si="36"/>
        <v>0</v>
      </c>
      <c r="G36" s="5">
        <f t="shared" si="36"/>
        <v>0</v>
      </c>
      <c r="H36" s="5">
        <f t="shared" si="36"/>
        <v>0</v>
      </c>
      <c r="I36" s="5">
        <f t="shared" si="36"/>
        <v>0</v>
      </c>
      <c r="J36" s="5">
        <f t="shared" si="36"/>
        <v>0</v>
      </c>
      <c r="K36" s="5">
        <f t="shared" si="36"/>
        <v>0</v>
      </c>
      <c r="L36" s="5">
        <f t="shared" si="36"/>
        <v>0</v>
      </c>
      <c r="M36" s="5">
        <f t="shared" si="36"/>
        <v>0</v>
      </c>
      <c r="N36" s="5">
        <f t="shared" si="36"/>
        <v>0</v>
      </c>
      <c r="O36" s="5">
        <f t="shared" si="36"/>
        <v>0</v>
      </c>
      <c r="P36" s="383"/>
      <c r="Q36" s="5">
        <f t="shared" si="37"/>
        <v>0</v>
      </c>
      <c r="R36" s="5">
        <f t="shared" si="37"/>
        <v>0</v>
      </c>
      <c r="S36" s="5">
        <f t="shared" si="37"/>
        <v>0</v>
      </c>
      <c r="T36" s="5">
        <f t="shared" si="37"/>
        <v>0</v>
      </c>
      <c r="U36" s="5">
        <f t="shared" si="37"/>
        <v>0</v>
      </c>
      <c r="V36" s="5">
        <f t="shared" si="37"/>
        <v>0</v>
      </c>
      <c r="W36" s="5">
        <f t="shared" si="37"/>
        <v>0</v>
      </c>
      <c r="X36" s="5">
        <f t="shared" si="37"/>
        <v>0</v>
      </c>
      <c r="Y36" s="5">
        <f t="shared" si="37"/>
        <v>0</v>
      </c>
      <c r="Z36" s="5">
        <f t="shared" si="37"/>
        <v>0</v>
      </c>
      <c r="AA36" s="5">
        <f t="shared" si="37"/>
        <v>0</v>
      </c>
      <c r="AB36" s="5">
        <f t="shared" si="37"/>
        <v>0</v>
      </c>
      <c r="AC36" s="383"/>
      <c r="AD36" s="5">
        <f t="shared" si="38"/>
        <v>0</v>
      </c>
      <c r="AE36" s="5">
        <f t="shared" si="38"/>
        <v>0</v>
      </c>
      <c r="AF36" s="5">
        <f t="shared" si="38"/>
        <v>0</v>
      </c>
      <c r="AG36" s="5">
        <f t="shared" si="38"/>
        <v>0</v>
      </c>
      <c r="AH36" s="5">
        <f t="shared" si="38"/>
        <v>0</v>
      </c>
      <c r="AI36" s="5">
        <f t="shared" si="38"/>
        <v>0</v>
      </c>
      <c r="AJ36" s="5">
        <f t="shared" si="38"/>
        <v>0</v>
      </c>
      <c r="AK36" s="5">
        <f t="shared" si="38"/>
        <v>0</v>
      </c>
      <c r="AL36" s="5">
        <f t="shared" si="38"/>
        <v>0</v>
      </c>
      <c r="AM36" s="5">
        <f t="shared" si="38"/>
        <v>0</v>
      </c>
      <c r="AN36" s="5">
        <f t="shared" si="38"/>
        <v>0</v>
      </c>
      <c r="AO36" s="5">
        <f t="shared" si="38"/>
        <v>0</v>
      </c>
      <c r="AP36" s="383"/>
      <c r="AQ36" s="5">
        <f t="shared" si="39"/>
        <v>0</v>
      </c>
      <c r="AR36" s="5">
        <f t="shared" si="39"/>
        <v>0</v>
      </c>
      <c r="AS36" s="5">
        <f t="shared" si="39"/>
        <v>0</v>
      </c>
      <c r="AT36" s="5">
        <f t="shared" si="39"/>
        <v>0</v>
      </c>
      <c r="AU36" s="5">
        <f t="shared" si="39"/>
        <v>0</v>
      </c>
      <c r="AV36" s="5">
        <f t="shared" si="39"/>
        <v>0</v>
      </c>
      <c r="AW36" s="5">
        <f t="shared" si="39"/>
        <v>0</v>
      </c>
      <c r="AX36" s="5">
        <f t="shared" si="39"/>
        <v>0</v>
      </c>
      <c r="AY36" s="5">
        <f t="shared" si="39"/>
        <v>0</v>
      </c>
      <c r="AZ36" s="5">
        <f t="shared" si="39"/>
        <v>0</v>
      </c>
      <c r="BA36" s="5">
        <f t="shared" si="39"/>
        <v>0</v>
      </c>
      <c r="BB36" s="5">
        <f t="shared" si="39"/>
        <v>0</v>
      </c>
      <c r="BC36" s="383"/>
      <c r="BD36" s="5">
        <f t="shared" si="40"/>
        <v>0</v>
      </c>
      <c r="BE36" s="5">
        <f t="shared" si="40"/>
        <v>0</v>
      </c>
      <c r="BF36" s="5">
        <f t="shared" si="40"/>
        <v>0</v>
      </c>
      <c r="BG36" s="5">
        <f t="shared" si="40"/>
        <v>0</v>
      </c>
      <c r="BH36" s="5">
        <f t="shared" si="40"/>
        <v>0</v>
      </c>
      <c r="BI36" s="5">
        <f t="shared" si="40"/>
        <v>0</v>
      </c>
      <c r="BJ36" s="5">
        <f t="shared" si="40"/>
        <v>0</v>
      </c>
      <c r="BK36" s="5">
        <f t="shared" si="40"/>
        <v>0</v>
      </c>
      <c r="BL36" s="5">
        <f t="shared" si="40"/>
        <v>0</v>
      </c>
      <c r="BM36" s="5">
        <f t="shared" si="40"/>
        <v>0</v>
      </c>
      <c r="BN36" s="5">
        <f t="shared" si="40"/>
        <v>0</v>
      </c>
      <c r="BO36" s="5">
        <f t="shared" si="40"/>
        <v>0</v>
      </c>
      <c r="BP36" s="383"/>
      <c r="CE36" s="605"/>
      <c r="CF36" s="12" t="s">
        <v>965</v>
      </c>
    </row>
    <row r="37" spans="1:84" s="3" customFormat="1">
      <c r="A37" s="3" t="s">
        <v>840</v>
      </c>
      <c r="B37" s="12" t="s">
        <v>502</v>
      </c>
      <c r="D37" s="3">
        <f>$P37/12</f>
        <v>-10</v>
      </c>
      <c r="E37" s="3">
        <f t="shared" si="36"/>
        <v>-10</v>
      </c>
      <c r="F37" s="3">
        <f t="shared" si="36"/>
        <v>-10</v>
      </c>
      <c r="G37" s="3">
        <f t="shared" si="36"/>
        <v>-10</v>
      </c>
      <c r="H37" s="3">
        <f t="shared" si="36"/>
        <v>-10</v>
      </c>
      <c r="I37" s="3">
        <f t="shared" si="36"/>
        <v>-10</v>
      </c>
      <c r="J37" s="3">
        <f t="shared" si="36"/>
        <v>-10</v>
      </c>
      <c r="K37" s="3">
        <f t="shared" si="36"/>
        <v>-10</v>
      </c>
      <c r="L37" s="3">
        <f t="shared" si="36"/>
        <v>-10</v>
      </c>
      <c r="M37" s="3">
        <f t="shared" si="36"/>
        <v>-10</v>
      </c>
      <c r="N37" s="3">
        <f t="shared" si="36"/>
        <v>-10</v>
      </c>
      <c r="O37" s="3">
        <f t="shared" si="36"/>
        <v>-10</v>
      </c>
      <c r="P37" s="397">
        <f>-'[12]Licences + Admin Tools'!$N$10*P1/1000000</f>
        <v>-120</v>
      </c>
      <c r="Q37" s="3">
        <f>$AC37/12</f>
        <v>-11.5</v>
      </c>
      <c r="R37" s="3">
        <f t="shared" si="37"/>
        <v>-11.5</v>
      </c>
      <c r="S37" s="3">
        <f t="shared" si="37"/>
        <v>-11.5</v>
      </c>
      <c r="T37" s="3">
        <f t="shared" si="37"/>
        <v>-11.5</v>
      </c>
      <c r="U37" s="3">
        <f t="shared" si="37"/>
        <v>-11.5</v>
      </c>
      <c r="V37" s="3">
        <f t="shared" si="37"/>
        <v>-11.5</v>
      </c>
      <c r="W37" s="3">
        <f t="shared" si="37"/>
        <v>-11.5</v>
      </c>
      <c r="X37" s="3">
        <f t="shared" si="37"/>
        <v>-11.5</v>
      </c>
      <c r="Y37" s="3">
        <f t="shared" si="37"/>
        <v>-11.5</v>
      </c>
      <c r="Z37" s="3">
        <f t="shared" si="37"/>
        <v>-11.5</v>
      </c>
      <c r="AA37" s="3">
        <f t="shared" si="37"/>
        <v>-11.5</v>
      </c>
      <c r="AB37" s="3">
        <f t="shared" si="37"/>
        <v>-11.5</v>
      </c>
      <c r="AC37" s="397">
        <f>-'[12]Licences + Admin Tools'!$O$10*AC1/1000000</f>
        <v>-138</v>
      </c>
      <c r="AD37" s="3">
        <f>$AP37/12</f>
        <v>-13.225</v>
      </c>
      <c r="AE37" s="3">
        <f t="shared" si="38"/>
        <v>-13.225</v>
      </c>
      <c r="AF37" s="3">
        <f t="shared" si="38"/>
        <v>-13.225</v>
      </c>
      <c r="AG37" s="3">
        <f t="shared" si="38"/>
        <v>-13.225</v>
      </c>
      <c r="AH37" s="3">
        <f t="shared" si="38"/>
        <v>-13.225</v>
      </c>
      <c r="AI37" s="3">
        <f t="shared" si="38"/>
        <v>-13.225</v>
      </c>
      <c r="AJ37" s="3">
        <f t="shared" si="38"/>
        <v>-13.225</v>
      </c>
      <c r="AK37" s="3">
        <f t="shared" si="38"/>
        <v>-13.225</v>
      </c>
      <c r="AL37" s="3">
        <f t="shared" si="38"/>
        <v>-13.225</v>
      </c>
      <c r="AM37" s="3">
        <f t="shared" si="38"/>
        <v>-13.225</v>
      </c>
      <c r="AN37" s="3">
        <f t="shared" si="38"/>
        <v>-13.225</v>
      </c>
      <c r="AO37" s="3">
        <f t="shared" si="38"/>
        <v>-13.225</v>
      </c>
      <c r="AP37" s="397">
        <f>-'[12]Licences + Admin Tools'!$P$10*AP1/1000000</f>
        <v>-158.69999999999999</v>
      </c>
      <c r="AQ37" s="3">
        <f>$BC37/12</f>
        <v>-15.20875</v>
      </c>
      <c r="AR37" s="3">
        <f t="shared" si="39"/>
        <v>-15.20875</v>
      </c>
      <c r="AS37" s="3">
        <f t="shared" si="39"/>
        <v>-15.20875</v>
      </c>
      <c r="AT37" s="3">
        <f t="shared" si="39"/>
        <v>-15.20875</v>
      </c>
      <c r="AU37" s="3">
        <f t="shared" si="39"/>
        <v>-15.20875</v>
      </c>
      <c r="AV37" s="3">
        <f t="shared" si="39"/>
        <v>-15.20875</v>
      </c>
      <c r="AW37" s="3">
        <f t="shared" si="39"/>
        <v>-15.20875</v>
      </c>
      <c r="AX37" s="3">
        <f t="shared" si="39"/>
        <v>-15.20875</v>
      </c>
      <c r="AY37" s="3">
        <f t="shared" si="39"/>
        <v>-15.20875</v>
      </c>
      <c r="AZ37" s="3">
        <f t="shared" si="39"/>
        <v>-15.20875</v>
      </c>
      <c r="BA37" s="3">
        <f t="shared" si="39"/>
        <v>-15.20875</v>
      </c>
      <c r="BB37" s="3">
        <f t="shared" si="39"/>
        <v>-15.20875</v>
      </c>
      <c r="BC37" s="397">
        <f>-'[12]Licences + Admin Tools'!$Q$10*BC1/1000000</f>
        <v>-182.505</v>
      </c>
      <c r="BD37" s="3">
        <f>$BP37/12</f>
        <v>-17.490062499999997</v>
      </c>
      <c r="BE37" s="3">
        <f t="shared" si="40"/>
        <v>-17.490062499999997</v>
      </c>
      <c r="BF37" s="3">
        <f t="shared" si="40"/>
        <v>-17.490062499999997</v>
      </c>
      <c r="BG37" s="3">
        <f t="shared" si="40"/>
        <v>-17.490062499999997</v>
      </c>
      <c r="BH37" s="3">
        <f t="shared" si="40"/>
        <v>-17.490062499999997</v>
      </c>
      <c r="BI37" s="3">
        <f t="shared" si="40"/>
        <v>-17.490062499999997</v>
      </c>
      <c r="BJ37" s="3">
        <f t="shared" si="40"/>
        <v>-17.490062499999997</v>
      </c>
      <c r="BK37" s="3">
        <f t="shared" si="40"/>
        <v>-17.490062499999997</v>
      </c>
      <c r="BL37" s="3">
        <f t="shared" si="40"/>
        <v>-17.490062499999997</v>
      </c>
      <c r="BM37" s="3">
        <f t="shared" si="40"/>
        <v>-17.490062499999997</v>
      </c>
      <c r="BN37" s="3">
        <f t="shared" si="40"/>
        <v>-17.490062499999997</v>
      </c>
      <c r="BO37" s="3">
        <f t="shared" si="40"/>
        <v>-17.490062499999997</v>
      </c>
      <c r="BP37" s="397">
        <f>-'[12]Licences + Admin Tools'!$R$10*BP1/1000000</f>
        <v>-209.88074999999998</v>
      </c>
      <c r="CE37" s="3" t="s">
        <v>1231</v>
      </c>
      <c r="CF37" s="12" t="s">
        <v>965</v>
      </c>
    </row>
    <row r="38" spans="1:84" s="3" customFormat="1" ht="15.6">
      <c r="A38" s="3" t="s">
        <v>841</v>
      </c>
      <c r="B38" s="12" t="s">
        <v>502</v>
      </c>
      <c r="C38" s="338">
        <f>-8*12</f>
        <v>-96</v>
      </c>
      <c r="D38" s="3">
        <f>D73/$C$38</f>
        <v>-30.688802083333332</v>
      </c>
      <c r="E38" s="3">
        <f>SUM($D$73:E73)/$C$38</f>
        <v>-30.688802083333332</v>
      </c>
      <c r="F38" s="3">
        <f>SUM($D$73:F73)/$C$38</f>
        <v>-30.688802083333332</v>
      </c>
      <c r="G38" s="3">
        <f>SUM($D$73:G73)/$C$38</f>
        <v>-30.688802083333332</v>
      </c>
      <c r="H38" s="3">
        <f>SUM($D$73:H73)/$C$38</f>
        <v>-30.688802083333332</v>
      </c>
      <c r="I38" s="3">
        <f>SUM($D$73:I73)/$C$38</f>
        <v>-30.688802083333332</v>
      </c>
      <c r="J38" s="3">
        <f>SUM($D$73:J73)/$C$38</f>
        <v>-30.688802083333332</v>
      </c>
      <c r="K38" s="3">
        <f>SUM($D$73:K73)/$C$38</f>
        <v>-30.688802083333332</v>
      </c>
      <c r="L38" s="3">
        <f>SUM($D$73:L73)/$C$38</f>
        <v>-30.688802083333332</v>
      </c>
      <c r="M38" s="3">
        <f>SUM($D$73:M73)/$C$38</f>
        <v>-30.688802083333332</v>
      </c>
      <c r="N38" s="3">
        <f>SUM($D$73:N73)/$C$38</f>
        <v>-30.688802083333332</v>
      </c>
      <c r="O38" s="3">
        <f>SUM($D$73:O73)/$C$38</f>
        <v>-30.688802083333332</v>
      </c>
      <c r="P38" s="397">
        <f>SUM(D38:O38)</f>
        <v>-368.26562499999994</v>
      </c>
      <c r="Q38" s="3">
        <f>SUM($D$73:Q73)/$C$38</f>
        <v>-37.84375</v>
      </c>
      <c r="R38" s="3">
        <f>SUM($D$73:R73)/$C$38</f>
        <v>-37.84375</v>
      </c>
      <c r="S38" s="3">
        <f>SUM($D$73:S73)/$C$38</f>
        <v>-37.84375</v>
      </c>
      <c r="T38" s="3">
        <f>SUM($D$73:T73)/$C$38</f>
        <v>-37.84375</v>
      </c>
      <c r="U38" s="3">
        <f>SUM($D$73:U73)/$C$38</f>
        <v>-37.84375</v>
      </c>
      <c r="V38" s="3">
        <f>SUM($D$73:V73)/$C$38</f>
        <v>-37.84375</v>
      </c>
      <c r="W38" s="3">
        <f>SUM($D$73:W73)/$C$38</f>
        <v>-37.84375</v>
      </c>
      <c r="X38" s="3">
        <f>SUM($D$73:X73)/$C$38</f>
        <v>-37.84375</v>
      </c>
      <c r="Y38" s="3">
        <f>SUM($D$73:Y73)/$C$38</f>
        <v>-37.84375</v>
      </c>
      <c r="Z38" s="3">
        <f>SUM($D$73:Z73)/$C$38</f>
        <v>-37.84375</v>
      </c>
      <c r="AA38" s="3">
        <f>SUM($D$73:AA73)/$C$38</f>
        <v>-37.84375</v>
      </c>
      <c r="AB38" s="3">
        <f>SUM($D$73:AB73)/$C$38</f>
        <v>-37.84375</v>
      </c>
      <c r="AC38" s="397">
        <f>SUM(Q38:AB38)</f>
        <v>-454.125</v>
      </c>
      <c r="AD38" s="3">
        <f>SUM($D$73:AD73)/$C$38</f>
        <v>-44.444010416666664</v>
      </c>
      <c r="AE38" s="3">
        <f>SUM($D$73:AE73)/$C$38</f>
        <v>-44.444010416666664</v>
      </c>
      <c r="AF38" s="3">
        <f>SUM($D$73:AF73)/$C$38</f>
        <v>-44.444010416666664</v>
      </c>
      <c r="AG38" s="3">
        <f>SUM($D$73:AG73)/$C$38</f>
        <v>-44.444010416666664</v>
      </c>
      <c r="AH38" s="3">
        <f>SUM($D$73:AH73)/$C$38</f>
        <v>-44.444010416666664</v>
      </c>
      <c r="AI38" s="3">
        <f>SUM($D$73:AI73)/$C$38</f>
        <v>-44.444010416666664</v>
      </c>
      <c r="AJ38" s="3">
        <f>SUM($D$73:AJ73)/$C$38</f>
        <v>-44.444010416666664</v>
      </c>
      <c r="AK38" s="3">
        <f>SUM($D$73:AK73)/$C$38</f>
        <v>-44.444010416666664</v>
      </c>
      <c r="AL38" s="3">
        <f>SUM($D$73:AL73)/$C$38</f>
        <v>-44.444010416666664</v>
      </c>
      <c r="AM38" s="3">
        <f>SUM($D$73:AM73)/$C$38</f>
        <v>-44.444010416666664</v>
      </c>
      <c r="AN38" s="3">
        <f>SUM($D$73:AN73)/$C$38</f>
        <v>-44.444010416666664</v>
      </c>
      <c r="AO38" s="3">
        <f>SUM($D$73:AO73)/$C$38</f>
        <v>-44.444010416666664</v>
      </c>
      <c r="AP38" s="397">
        <f>SUM(AD38:AO38)</f>
        <v>-533.32812500000011</v>
      </c>
      <c r="AQ38" s="3">
        <f>SUM($D$73:AQ73)/$C$38</f>
        <v>-46.319010416666664</v>
      </c>
      <c r="AR38" s="3">
        <f>SUM($D$73:AR73)/$C$38</f>
        <v>-46.319010416666664</v>
      </c>
      <c r="AS38" s="3">
        <f>SUM($D$73:AS73)/$C$38</f>
        <v>-46.319010416666664</v>
      </c>
      <c r="AT38" s="3">
        <f>SUM($D$73:AT73)/$C$38</f>
        <v>-46.319010416666664</v>
      </c>
      <c r="AU38" s="3">
        <f>SUM($D$73:AU73)/$C$38</f>
        <v>-46.319010416666664</v>
      </c>
      <c r="AV38" s="3">
        <f>SUM($D$73:AV73)/$C$38</f>
        <v>-46.319010416666664</v>
      </c>
      <c r="AW38" s="3">
        <f>SUM($D$73:AW73)/$C$38</f>
        <v>-46.319010416666664</v>
      </c>
      <c r="AX38" s="3">
        <f>SUM($D$73:AX73)/$C$38</f>
        <v>-46.319010416666664</v>
      </c>
      <c r="AY38" s="3">
        <f>SUM($D$73:AY73)/$C$38</f>
        <v>-46.319010416666664</v>
      </c>
      <c r="AZ38" s="3">
        <f>SUM($D$73:AZ73)/$C$38</f>
        <v>-46.319010416666664</v>
      </c>
      <c r="BA38" s="3">
        <f>SUM($D$73:BA73)/$C$38</f>
        <v>-46.319010416666664</v>
      </c>
      <c r="BB38" s="3">
        <f>SUM($D$73:BB73)/$C$38</f>
        <v>-46.319010416666664</v>
      </c>
      <c r="BC38" s="397">
        <f>SUM(AQ38:BB38)</f>
        <v>-555.82812500000011</v>
      </c>
      <c r="BD38" s="3">
        <f>SUM($D$73:BD73)/$C$38</f>
        <v>-46.740885416666664</v>
      </c>
      <c r="BE38" s="3">
        <f>SUM($D$73:BE73)/$C$38</f>
        <v>-46.740885416666664</v>
      </c>
      <c r="BF38" s="3">
        <f>SUM($D$73:BF73)/$C$38</f>
        <v>-46.740885416666664</v>
      </c>
      <c r="BG38" s="3">
        <f>SUM($D$73:BG73)/$C$38</f>
        <v>-46.740885416666664</v>
      </c>
      <c r="BH38" s="3">
        <f>SUM($D$73:BH73)/$C$38</f>
        <v>-46.740885416666664</v>
      </c>
      <c r="BI38" s="3">
        <f>SUM($D$73:BI73)/$C$38</f>
        <v>-46.740885416666664</v>
      </c>
      <c r="BJ38" s="3">
        <f>SUM($D$73:BJ73)/$C$38</f>
        <v>-46.740885416666664</v>
      </c>
      <c r="BK38" s="3">
        <f>SUM($D$73:BK73)/$C$38</f>
        <v>-46.740885416666664</v>
      </c>
      <c r="BL38" s="3">
        <f>SUM($D$73:BL73)/$C$38</f>
        <v>-46.740885416666664</v>
      </c>
      <c r="BM38" s="3">
        <f>SUM($D$73:BM73)/$C$38</f>
        <v>-46.740885416666664</v>
      </c>
      <c r="BN38" s="3">
        <f>SUM($D$73:BN73)/$C$38</f>
        <v>-46.740885416666664</v>
      </c>
      <c r="BO38" s="3">
        <f>SUM($D$73:BO73)/$C$38</f>
        <v>-46.740885416666664</v>
      </c>
      <c r="BP38" s="397">
        <f>SUM(BD38:BO38)</f>
        <v>-560.890625</v>
      </c>
      <c r="BR38" s="60">
        <f>(D38+E38+F38)/500*1000</f>
        <v>-184.1328125</v>
      </c>
      <c r="BS38" s="60">
        <f>(G38+H38+I38)/500*1000</f>
        <v>-184.1328125</v>
      </c>
      <c r="BT38" s="60">
        <f>(J38+K38+L38)/500*1000</f>
        <v>-184.1328125</v>
      </c>
      <c r="BU38" s="60">
        <f>(M38+N38+O38)/500*1000</f>
        <v>-184.1328125</v>
      </c>
      <c r="BV38" s="60">
        <f>SUM(Q38:V38)/500*1000</f>
        <v>-454.125</v>
      </c>
      <c r="BW38" s="60">
        <f>SUM(W38:AB38)/500*1000</f>
        <v>-454.125</v>
      </c>
      <c r="BX38" s="60">
        <f>SUM(AD38:AI38)/500*1000</f>
        <v>-533.328125</v>
      </c>
      <c r="BY38" s="60">
        <f>SUM(AJ38:AO38)/500*1000</f>
        <v>-533.328125</v>
      </c>
      <c r="BZ38" s="60">
        <f>SUM(AQ38:AV38)/500*1000</f>
        <v>-555.828125</v>
      </c>
      <c r="CA38" s="60">
        <f>SUM(AW38:BB38)/500*1000</f>
        <v>-555.828125</v>
      </c>
      <c r="CB38" s="60">
        <f>SUM(BD38:BI38)/500*1000</f>
        <v>-560.890625</v>
      </c>
      <c r="CC38" s="60">
        <f>SUM(BJ38:BO38)/500*1000</f>
        <v>-560.890625</v>
      </c>
      <c r="CE38" s="3" t="s">
        <v>1039</v>
      </c>
      <c r="CF38" s="12" t="s">
        <v>965</v>
      </c>
    </row>
    <row r="39" spans="1:84" s="3" customFormat="1" collapsed="1">
      <c r="A39" s="3" t="s">
        <v>842</v>
      </c>
      <c r="B39" s="12" t="s">
        <v>502</v>
      </c>
      <c r="D39" s="3">
        <f>SUM(D40:D47)</f>
        <v>-43.590426638033598</v>
      </c>
      <c r="E39" s="3">
        <f t="shared" ref="E39:O39" si="41">SUM(E40:E47)</f>
        <v>-50.63121765414266</v>
      </c>
      <c r="F39" s="3">
        <f t="shared" si="41"/>
        <v>-57.39037702960735</v>
      </c>
      <c r="G39" s="3">
        <f t="shared" si="41"/>
        <v>-63.879170030053459</v>
      </c>
      <c r="H39" s="3">
        <f t="shared" si="41"/>
        <v>-70.108411310481713</v>
      </c>
      <c r="I39" s="3">
        <f t="shared" si="41"/>
        <v>-76.088482939692852</v>
      </c>
      <c r="J39" s="3">
        <f t="shared" si="41"/>
        <v>-81.82935170373554</v>
      </c>
      <c r="K39" s="3">
        <f t="shared" si="41"/>
        <v>-87.340585717216499</v>
      </c>
      <c r="L39" s="3">
        <f t="shared" si="41"/>
        <v>-92.631370370158265</v>
      </c>
      <c r="M39" s="3">
        <f t="shared" si="41"/>
        <v>-97.710523636982316</v>
      </c>
      <c r="N39" s="3">
        <f t="shared" si="41"/>
        <v>-102.58651077313344</v>
      </c>
      <c r="O39" s="3">
        <f t="shared" si="41"/>
        <v>-107.26745842383845</v>
      </c>
      <c r="P39" s="397">
        <f>SUM(D39:O39)</f>
        <v>-931.05388622707608</v>
      </c>
      <c r="Q39" s="3">
        <f>SUM(Q40:Q47)</f>
        <v>-48.516081861779938</v>
      </c>
      <c r="R39" s="3">
        <f t="shared" ref="R39:AB39" si="42">SUM(R40:R47)</f>
        <v>-57.635148554142347</v>
      </c>
      <c r="S39" s="3">
        <f t="shared" si="42"/>
        <v>-66.389452578810264</v>
      </c>
      <c r="T39" s="3">
        <f t="shared" si="42"/>
        <v>-74.793584442491465</v>
      </c>
      <c r="U39" s="3">
        <f t="shared" si="42"/>
        <v>-82.86155103162541</v>
      </c>
      <c r="V39" s="3">
        <f t="shared" si="42"/>
        <v>-90.606798957194002</v>
      </c>
      <c r="W39" s="3">
        <f t="shared" si="42"/>
        <v>-98.042236965739846</v>
      </c>
      <c r="X39" s="3">
        <f t="shared" si="42"/>
        <v>-105.18025745394385</v>
      </c>
      <c r="Y39" s="3">
        <f t="shared" si="42"/>
        <v>-112.03275712261971</v>
      </c>
      <c r="Z39" s="3">
        <f t="shared" si="42"/>
        <v>-118.61115680454854</v>
      </c>
      <c r="AA39" s="3">
        <f t="shared" si="42"/>
        <v>-124.92642049920022</v>
      </c>
      <c r="AB39" s="3">
        <f t="shared" si="42"/>
        <v>-130.98907364606578</v>
      </c>
      <c r="AC39" s="397">
        <f>SUM(Q39:AB39)</f>
        <v>-1110.5845199181613</v>
      </c>
      <c r="AD39" s="3">
        <f>SUM(AD40:AD47)</f>
        <v>-54.489005673839713</v>
      </c>
      <c r="AE39" s="3">
        <f t="shared" ref="AE39:AO39" si="43">SUM(AE40:AE47)</f>
        <v>-66.683654865144703</v>
      </c>
      <c r="AF39" s="3">
        <f t="shared" si="43"/>
        <v>-78.390518088797521</v>
      </c>
      <c r="AG39" s="3">
        <f t="shared" si="43"/>
        <v>-89.629106783504199</v>
      </c>
      <c r="AH39" s="3">
        <f t="shared" si="43"/>
        <v>-100.41815193042262</v>
      </c>
      <c r="AI39" s="3">
        <f t="shared" si="43"/>
        <v>-110.77563527146432</v>
      </c>
      <c r="AJ39" s="3">
        <f t="shared" si="43"/>
        <v>-120.71881927886432</v>
      </c>
      <c r="AK39" s="3">
        <f t="shared" si="43"/>
        <v>-130.26427592596835</v>
      </c>
      <c r="AL39" s="3">
        <f t="shared" si="43"/>
        <v>-139.42791430718819</v>
      </c>
      <c r="AM39" s="3">
        <f t="shared" si="43"/>
        <v>-148.22500715315925</v>
      </c>
      <c r="AN39" s="3">
        <f t="shared" si="43"/>
        <v>-156.67021628529147</v>
      </c>
      <c r="AO39" s="3">
        <f t="shared" si="43"/>
        <v>-164.77761705213834</v>
      </c>
      <c r="AP39" s="397">
        <f>SUM(AD39:AO39)</f>
        <v>-1360.4699226157829</v>
      </c>
      <c r="AQ39" s="3">
        <f>SUM(AQ40:AQ47)</f>
        <v>-61.290899095388511</v>
      </c>
      <c r="AR39" s="3">
        <f t="shared" ref="AR39:BB39" si="44">SUM(AR40:AR47)</f>
        <v>-76.309712626647027</v>
      </c>
      <c r="AS39" s="3">
        <f t="shared" si="44"/>
        <v>-90.727773616655227</v>
      </c>
      <c r="AT39" s="3">
        <f t="shared" si="44"/>
        <v>-104.56911216706307</v>
      </c>
      <c r="AU39" s="3">
        <f t="shared" si="44"/>
        <v>-117.8567971754546</v>
      </c>
      <c r="AV39" s="3">
        <f t="shared" si="44"/>
        <v>-130.61297478351048</v>
      </c>
      <c r="AW39" s="3">
        <f t="shared" si="44"/>
        <v>-142.85890528724414</v>
      </c>
      <c r="AX39" s="3">
        <f t="shared" si="44"/>
        <v>-154.61499857082842</v>
      </c>
      <c r="AY39" s="3">
        <f t="shared" si="44"/>
        <v>-165.90084812306935</v>
      </c>
      <c r="AZ39" s="3">
        <f t="shared" si="44"/>
        <v>-176.73526369322065</v>
      </c>
      <c r="BA39" s="3">
        <f t="shared" si="44"/>
        <v>-187.1363026405659</v>
      </c>
      <c r="BB39" s="3">
        <f t="shared" si="44"/>
        <v>-197.1213000300173</v>
      </c>
      <c r="BC39" s="397">
        <f>SUM(AQ39:BB39)</f>
        <v>-1605.7348878096648</v>
      </c>
      <c r="BD39" s="3">
        <f>SUM(BD40:BD47)</f>
        <v>-70.150949094888716</v>
      </c>
      <c r="BE39" s="3">
        <f t="shared" ref="BE39:BO39" si="45">SUM(BE40:BE47)</f>
        <v>-88.971603964160096</v>
      </c>
      <c r="BF39" s="3">
        <f t="shared" si="45"/>
        <v>-107.03943263866063</v>
      </c>
      <c r="BG39" s="3">
        <f t="shared" si="45"/>
        <v>-124.38454816618113</v>
      </c>
      <c r="BH39" s="3">
        <f t="shared" si="45"/>
        <v>-141.0358590726008</v>
      </c>
      <c r="BI39" s="3">
        <f t="shared" si="45"/>
        <v>-157.0211175427637</v>
      </c>
      <c r="BJ39" s="3">
        <f t="shared" si="45"/>
        <v>-172.36696567412008</v>
      </c>
      <c r="BK39" s="3">
        <f t="shared" si="45"/>
        <v>-187.09897988022217</v>
      </c>
      <c r="BL39" s="3">
        <f t="shared" si="45"/>
        <v>-201.24171351808022</v>
      </c>
      <c r="BM39" s="3">
        <f t="shared" si="45"/>
        <v>-214.81873781042398</v>
      </c>
      <c r="BN39" s="3">
        <f t="shared" si="45"/>
        <v>-227.85268113107392</v>
      </c>
      <c r="BO39" s="3">
        <f t="shared" si="45"/>
        <v>-240.36526671889783</v>
      </c>
      <c r="BP39" s="397">
        <f>SUM(BD39:BO39)</f>
        <v>-1932.3478552120732</v>
      </c>
      <c r="CE39" s="3" t="s">
        <v>1232</v>
      </c>
      <c r="CF39" s="12" t="s">
        <v>965</v>
      </c>
    </row>
    <row r="40" spans="1:84" s="5" customFormat="1" hidden="1" outlineLevel="1">
      <c r="A40" s="605" t="s">
        <v>530</v>
      </c>
      <c r="B40" s="12" t="s">
        <v>502</v>
      </c>
      <c r="D40" s="5">
        <f>[11]CashCredit_dossym!D46</f>
        <v>-19.072877882576979</v>
      </c>
      <c r="E40" s="5">
        <f>[11]CashCredit_dossym!E46</f>
        <v>-19.072877882576979</v>
      </c>
      <c r="F40" s="5">
        <f>[11]CashCredit_dossym!F46</f>
        <v>-19.072877882576979</v>
      </c>
      <c r="G40" s="5">
        <f>[11]CashCredit_dossym!G46</f>
        <v>-19.072877882576979</v>
      </c>
      <c r="H40" s="5">
        <f>[11]CashCredit_dossym!H46</f>
        <v>-19.072877882576979</v>
      </c>
      <c r="I40" s="5">
        <f>[11]CashCredit_dossym!I46</f>
        <v>-19.072877882576979</v>
      </c>
      <c r="J40" s="5">
        <f>[11]CashCredit_dossym!J46</f>
        <v>-19.072877882576979</v>
      </c>
      <c r="K40" s="5">
        <f>[11]CashCredit_dossym!K46</f>
        <v>-19.072877882576979</v>
      </c>
      <c r="L40" s="5">
        <f>[11]CashCredit_dossym!L46</f>
        <v>-19.072877882576979</v>
      </c>
      <c r="M40" s="5">
        <f>[11]CashCredit_dossym!M46</f>
        <v>-19.072877882576979</v>
      </c>
      <c r="N40" s="5">
        <f>[11]CashCredit_dossym!N46</f>
        <v>-19.072877882576979</v>
      </c>
      <c r="O40" s="5">
        <f>[11]CashCredit_dossym!O46</f>
        <v>-19.072877882576961</v>
      </c>
      <c r="P40" s="383">
        <f t="shared" ref="P40:P58" si="46">SUM(D40:O40)</f>
        <v>-228.87453459092376</v>
      </c>
      <c r="Q40" s="5">
        <f>[11]CashCredit_dossym!Q46</f>
        <v>-21.109367651928338</v>
      </c>
      <c r="R40" s="5">
        <f>[11]CashCredit_dossym!R46</f>
        <v>-21.109367651928338</v>
      </c>
      <c r="S40" s="5">
        <f>[11]CashCredit_dossym!S46</f>
        <v>-21.109367651928338</v>
      </c>
      <c r="T40" s="5">
        <f>[11]CashCredit_dossym!T46</f>
        <v>-21.109367651928338</v>
      </c>
      <c r="U40" s="5">
        <f>[11]CashCredit_dossym!U46</f>
        <v>-21.109367651928338</v>
      </c>
      <c r="V40" s="5">
        <f>[11]CashCredit_dossym!V46</f>
        <v>-21.109367651928338</v>
      </c>
      <c r="W40" s="5">
        <f>[11]CashCredit_dossym!W46</f>
        <v>-21.109367651928338</v>
      </c>
      <c r="X40" s="5">
        <f>[11]CashCredit_dossym!X46</f>
        <v>-21.109367651928338</v>
      </c>
      <c r="Y40" s="5">
        <f>[11]CashCredit_dossym!Y46</f>
        <v>-21.109367651928338</v>
      </c>
      <c r="Z40" s="5">
        <f>[11]CashCredit_dossym!Z46</f>
        <v>-21.109367651928338</v>
      </c>
      <c r="AA40" s="5">
        <f>[11]CashCredit_dossym!AA46</f>
        <v>-21.109367651928338</v>
      </c>
      <c r="AB40" s="5">
        <f>[11]CashCredit_dossym!AB46</f>
        <v>-21.10936765192832</v>
      </c>
      <c r="AC40" s="383">
        <f t="shared" ref="AC40:AC58" si="47">SUM(Q40:AB40)</f>
        <v>-253.31241182314</v>
      </c>
      <c r="AD40" s="5">
        <f>[11]CashCredit_dossym!AD46</f>
        <v>-23.519757276268184</v>
      </c>
      <c r="AE40" s="5">
        <f>[11]CashCredit_dossym!AE46</f>
        <v>-23.519757276268184</v>
      </c>
      <c r="AF40" s="5">
        <f>[11]CashCredit_dossym!AF46</f>
        <v>-23.519757276268184</v>
      </c>
      <c r="AG40" s="5">
        <f>[11]CashCredit_dossym!AG46</f>
        <v>-23.519757276268184</v>
      </c>
      <c r="AH40" s="5">
        <f>[11]CashCredit_dossym!AH46</f>
        <v>-23.519757276268184</v>
      </c>
      <c r="AI40" s="5">
        <f>[11]CashCredit_dossym!AI46</f>
        <v>-23.519757276268184</v>
      </c>
      <c r="AJ40" s="5">
        <f>[11]CashCredit_dossym!AJ46</f>
        <v>-23.519757276268184</v>
      </c>
      <c r="AK40" s="5">
        <f>[11]CashCredit_dossym!AK46</f>
        <v>-23.519757276268184</v>
      </c>
      <c r="AL40" s="5">
        <f>[11]CashCredit_dossym!AL46</f>
        <v>-23.519757276268184</v>
      </c>
      <c r="AM40" s="5">
        <f>[11]CashCredit_dossym!AM46</f>
        <v>-23.519757276268184</v>
      </c>
      <c r="AN40" s="5">
        <f>[11]CashCredit_dossym!AN46</f>
        <v>-23.519757276268184</v>
      </c>
      <c r="AO40" s="5">
        <f>[11]CashCredit_dossym!AO46</f>
        <v>-23.519757276268166</v>
      </c>
      <c r="AP40" s="383">
        <f t="shared" ref="AP40:AP58" si="48">SUM(AD40:AO40)</f>
        <v>-282.23708731521822</v>
      </c>
      <c r="AQ40" s="5">
        <f>[11]CashCredit_dossym!AQ46</f>
        <v>-26.391417035708411</v>
      </c>
      <c r="AR40" s="5">
        <f>[11]CashCredit_dossym!AR46</f>
        <v>-26.391417035708411</v>
      </c>
      <c r="AS40" s="5">
        <f>[11]CashCredit_dossym!AS46</f>
        <v>-26.391417035708411</v>
      </c>
      <c r="AT40" s="5">
        <f>[11]CashCredit_dossym!AT46</f>
        <v>-26.391417035708411</v>
      </c>
      <c r="AU40" s="5">
        <f>[11]CashCredit_dossym!AU46</f>
        <v>-26.391417035708411</v>
      </c>
      <c r="AV40" s="5">
        <f>[11]CashCredit_dossym!AV46</f>
        <v>-26.391417035708411</v>
      </c>
      <c r="AW40" s="5">
        <f>[11]CashCredit_dossym!AW46</f>
        <v>-26.391417035708411</v>
      </c>
      <c r="AX40" s="5">
        <f>[11]CashCredit_dossym!AX46</f>
        <v>-26.391417035708411</v>
      </c>
      <c r="AY40" s="5">
        <f>[11]CashCredit_dossym!AY46</f>
        <v>-26.391417035708411</v>
      </c>
      <c r="AZ40" s="5">
        <f>[11]CashCredit_dossym!AZ46</f>
        <v>-26.391417035708411</v>
      </c>
      <c r="BA40" s="5">
        <f>[11]CashCredit_dossym!BA46</f>
        <v>-26.391417035708411</v>
      </c>
      <c r="BB40" s="5">
        <f>[11]CashCredit_dossym!BB46</f>
        <v>-26.39141703570839</v>
      </c>
      <c r="BC40" s="383">
        <f t="shared" ref="BC40:BC58" si="49">SUM(AQ40:BB40)</f>
        <v>-316.69700442850086</v>
      </c>
      <c r="BD40" s="5">
        <f>[11]CashCredit_dossym!BD46</f>
        <v>-30.125916939864673</v>
      </c>
      <c r="BE40" s="5">
        <f>[11]CashCredit_dossym!BE46</f>
        <v>-30.125916939864673</v>
      </c>
      <c r="BF40" s="5">
        <f>[11]CashCredit_dossym!BF46</f>
        <v>-30.125916939864673</v>
      </c>
      <c r="BG40" s="5">
        <f>[11]CashCredit_dossym!BG46</f>
        <v>-30.125916939864673</v>
      </c>
      <c r="BH40" s="5">
        <f>[11]CashCredit_dossym!BH46</f>
        <v>-30.125916939864673</v>
      </c>
      <c r="BI40" s="5">
        <f>[11]CashCredit_dossym!BI46</f>
        <v>-30.125916939864673</v>
      </c>
      <c r="BJ40" s="5">
        <f>[11]CashCredit_dossym!BJ46</f>
        <v>-30.125916939864673</v>
      </c>
      <c r="BK40" s="5">
        <f>[11]CashCredit_dossym!BK46</f>
        <v>-30.125916939864673</v>
      </c>
      <c r="BL40" s="5">
        <f>[11]CashCredit_dossym!BL46</f>
        <v>-30.125916939864673</v>
      </c>
      <c r="BM40" s="5">
        <f>[11]CashCredit_dossym!BM46</f>
        <v>-30.125916939864673</v>
      </c>
      <c r="BN40" s="5">
        <f>[11]CashCredit_dossym!BN46</f>
        <v>-30.125916939864673</v>
      </c>
      <c r="BO40" s="5">
        <f>[11]CashCredit_dossym!BO46</f>
        <v>-30.125916939864652</v>
      </c>
      <c r="BP40" s="383">
        <f t="shared" ref="BP40:BP58" si="50">SUM(BD40:BO40)</f>
        <v>-361.51100327837605</v>
      </c>
      <c r="CE40" s="605" t="s">
        <v>530</v>
      </c>
      <c r="CF40" s="12" t="s">
        <v>965</v>
      </c>
    </row>
    <row r="41" spans="1:84" s="5" customFormat="1" hidden="1" outlineLevel="1">
      <c r="A41" s="605" t="s">
        <v>531</v>
      </c>
      <c r="B41" s="12" t="s">
        <v>502</v>
      </c>
      <c r="D41" s="5">
        <f>[11]CashCredit_dossym!D47</f>
        <v>-0.55184193340256049</v>
      </c>
      <c r="E41" s="5">
        <f>[11]CashCredit_dossym!E47</f>
        <v>-0.55184193340256049</v>
      </c>
      <c r="F41" s="5">
        <f>[11]CashCredit_dossym!F47</f>
        <v>-0.55184193340256049</v>
      </c>
      <c r="G41" s="5">
        <f>[11]CashCredit_dossym!G47</f>
        <v>-0.55184193340256049</v>
      </c>
      <c r="H41" s="5">
        <f>[11]CashCredit_dossym!H47</f>
        <v>-0.55184193340256049</v>
      </c>
      <c r="I41" s="5">
        <f>[11]CashCredit_dossym!I47</f>
        <v>-0.55184193340256049</v>
      </c>
      <c r="J41" s="5">
        <f>[11]CashCredit_dossym!J47</f>
        <v>-0.55184193340256049</v>
      </c>
      <c r="K41" s="5">
        <f>[11]CashCredit_dossym!K47</f>
        <v>-0.55184193340256049</v>
      </c>
      <c r="L41" s="5">
        <f>[11]CashCredit_dossym!L47</f>
        <v>-0.55184193340256049</v>
      </c>
      <c r="M41" s="5">
        <f>[11]CashCredit_dossym!M47</f>
        <v>-0.55184193340256049</v>
      </c>
      <c r="N41" s="5">
        <f>[11]CashCredit_dossym!N47</f>
        <v>-0.55184193340256049</v>
      </c>
      <c r="O41" s="5">
        <f>[11]CashCredit_dossym!O47</f>
        <v>-0.55184193340256005</v>
      </c>
      <c r="P41" s="383">
        <f t="shared" si="46"/>
        <v>-6.6221032008307246</v>
      </c>
      <c r="Q41" s="5">
        <f>[11]CashCredit_dossym!Q47</f>
        <v>-0.61864520131917988</v>
      </c>
      <c r="R41" s="5">
        <f>[11]CashCredit_dossym!R47</f>
        <v>-0.61864520131917988</v>
      </c>
      <c r="S41" s="5">
        <f>[11]CashCredit_dossym!S47</f>
        <v>-0.61864520131917988</v>
      </c>
      <c r="T41" s="5">
        <f>[11]CashCredit_dossym!T47</f>
        <v>-0.61864520131917988</v>
      </c>
      <c r="U41" s="5">
        <f>[11]CashCredit_dossym!U47</f>
        <v>-0.61864520131917988</v>
      </c>
      <c r="V41" s="5">
        <f>[11]CashCredit_dossym!V47</f>
        <v>-0.61864520131917988</v>
      </c>
      <c r="W41" s="5">
        <f>[11]CashCredit_dossym!W47</f>
        <v>-0.61864520131917988</v>
      </c>
      <c r="X41" s="5">
        <f>[11]CashCredit_dossym!X47</f>
        <v>-0.61864520131917988</v>
      </c>
      <c r="Y41" s="5">
        <f>[11]CashCredit_dossym!Y47</f>
        <v>-0.61864520131917988</v>
      </c>
      <c r="Z41" s="5">
        <f>[11]CashCredit_dossym!Z47</f>
        <v>-0.61864520131917988</v>
      </c>
      <c r="AA41" s="5">
        <f>[11]CashCredit_dossym!AA47</f>
        <v>-0.61864520131917988</v>
      </c>
      <c r="AB41" s="5">
        <f>[11]CashCredit_dossym!AB47</f>
        <v>-0.61864520131917933</v>
      </c>
      <c r="AC41" s="383">
        <f t="shared" si="47"/>
        <v>-7.4237424158301577</v>
      </c>
      <c r="AD41" s="5">
        <f>[11]CashCredit_dossym!AD47</f>
        <v>-0.70245675065120983</v>
      </c>
      <c r="AE41" s="5">
        <f>[11]CashCredit_dossym!AE47</f>
        <v>-0.70245675065120983</v>
      </c>
      <c r="AF41" s="5">
        <f>[11]CashCredit_dossym!AF47</f>
        <v>-0.70245675065120983</v>
      </c>
      <c r="AG41" s="5">
        <f>[11]CashCredit_dossym!AG47</f>
        <v>-0.70245675065120983</v>
      </c>
      <c r="AH41" s="5">
        <f>[11]CashCredit_dossym!AH47</f>
        <v>-0.70245675065120983</v>
      </c>
      <c r="AI41" s="5">
        <f>[11]CashCredit_dossym!AI47</f>
        <v>-0.70245675065120983</v>
      </c>
      <c r="AJ41" s="5">
        <f>[11]CashCredit_dossym!AJ47</f>
        <v>-0.70245675065120983</v>
      </c>
      <c r="AK41" s="5">
        <f>[11]CashCredit_dossym!AK47</f>
        <v>-0.70245675065120983</v>
      </c>
      <c r="AL41" s="5">
        <f>[11]CashCredit_dossym!AL47</f>
        <v>-0.70245675065120983</v>
      </c>
      <c r="AM41" s="5">
        <f>[11]CashCredit_dossym!AM47</f>
        <v>-0.70245675065120983</v>
      </c>
      <c r="AN41" s="5">
        <f>[11]CashCredit_dossym!AN47</f>
        <v>-0.70245675065120983</v>
      </c>
      <c r="AO41" s="5">
        <f>[11]CashCredit_dossym!AO47</f>
        <v>-0.70245675065120916</v>
      </c>
      <c r="AP41" s="383">
        <f t="shared" si="48"/>
        <v>-8.4294810078145179</v>
      </c>
      <c r="AQ41" s="5">
        <f>[11]CashCredit_dossym!AQ47</f>
        <v>-0.78822365546649131</v>
      </c>
      <c r="AR41" s="5">
        <f>[11]CashCredit_dossym!AR47</f>
        <v>-0.78822365546649131</v>
      </c>
      <c r="AS41" s="5">
        <f>[11]CashCredit_dossym!AS47</f>
        <v>-0.78822365546649131</v>
      </c>
      <c r="AT41" s="5">
        <f>[11]CashCredit_dossym!AT47</f>
        <v>-0.78822365546649131</v>
      </c>
      <c r="AU41" s="5">
        <f>[11]CashCredit_dossym!AU47</f>
        <v>-0.78822365546649131</v>
      </c>
      <c r="AV41" s="5">
        <f>[11]CashCredit_dossym!AV47</f>
        <v>-0.78822365546649131</v>
      </c>
      <c r="AW41" s="5">
        <f>[11]CashCredit_dossym!AW47</f>
        <v>-0.78822365546649131</v>
      </c>
      <c r="AX41" s="5">
        <f>[11]CashCredit_dossym!AX47</f>
        <v>-0.78822365546649131</v>
      </c>
      <c r="AY41" s="5">
        <f>[11]CashCredit_dossym!AY47</f>
        <v>-0.78822365546649131</v>
      </c>
      <c r="AZ41" s="5">
        <f>[11]CashCredit_dossym!AZ47</f>
        <v>-0.78822365546649131</v>
      </c>
      <c r="BA41" s="5">
        <f>[11]CashCredit_dossym!BA47</f>
        <v>-0.78822365546649131</v>
      </c>
      <c r="BB41" s="5">
        <f>[11]CashCredit_dossym!BB47</f>
        <v>-0.78822365546649065</v>
      </c>
      <c r="BC41" s="383">
        <f t="shared" si="49"/>
        <v>-9.4586838655978944</v>
      </c>
      <c r="BD41" s="5">
        <f>[11]CashCredit_dossym!BD47</f>
        <v>-0.89976071927062484</v>
      </c>
      <c r="BE41" s="5">
        <f>[11]CashCredit_dossym!BE47</f>
        <v>-0.89976071927062484</v>
      </c>
      <c r="BF41" s="5">
        <f>[11]CashCredit_dossym!BF47</f>
        <v>-0.89976071927062484</v>
      </c>
      <c r="BG41" s="5">
        <f>[11]CashCredit_dossym!BG47</f>
        <v>-0.89976071927062484</v>
      </c>
      <c r="BH41" s="5">
        <f>[11]CashCredit_dossym!BH47</f>
        <v>-0.89976071927062484</v>
      </c>
      <c r="BI41" s="5">
        <f>[11]CashCredit_dossym!BI47</f>
        <v>-0.89976071927062484</v>
      </c>
      <c r="BJ41" s="5">
        <f>[11]CashCredit_dossym!BJ47</f>
        <v>-0.89976071927062484</v>
      </c>
      <c r="BK41" s="5">
        <f>[11]CashCredit_dossym!BK47</f>
        <v>-0.89976071927062484</v>
      </c>
      <c r="BL41" s="5">
        <f>[11]CashCredit_dossym!BL47</f>
        <v>-0.89976071927062484</v>
      </c>
      <c r="BM41" s="5">
        <f>[11]CashCredit_dossym!BM47</f>
        <v>-0.89976071927062484</v>
      </c>
      <c r="BN41" s="5">
        <f>[11]CashCredit_dossym!BN47</f>
        <v>-0.89976071927062484</v>
      </c>
      <c r="BO41" s="5">
        <f>[11]CashCredit_dossym!BO47</f>
        <v>-0.89976071927062418</v>
      </c>
      <c r="BP41" s="383">
        <f t="shared" si="50"/>
        <v>-10.797128631247496</v>
      </c>
      <c r="CE41" s="605" t="s">
        <v>531</v>
      </c>
      <c r="CF41" s="12" t="s">
        <v>965</v>
      </c>
    </row>
    <row r="42" spans="1:84" s="5" customFormat="1" hidden="1" outlineLevel="1">
      <c r="A42" s="605" t="s">
        <v>533</v>
      </c>
      <c r="B42" s="12" t="s">
        <v>502</v>
      </c>
      <c r="D42" s="5">
        <f>[11]CashCredit_dossym!D48</f>
        <v>-7.0951105723186361</v>
      </c>
      <c r="E42" s="5">
        <f>[11]CashCredit_dossym!E48</f>
        <v>-7.0951105723186361</v>
      </c>
      <c r="F42" s="5">
        <f>[11]CashCredit_dossym!F48</f>
        <v>-7.0951105723186361</v>
      </c>
      <c r="G42" s="5">
        <f>[11]CashCredit_dossym!G48</f>
        <v>-7.0951105723186361</v>
      </c>
      <c r="H42" s="5">
        <f>[11]CashCredit_dossym!H48</f>
        <v>-7.0951105723186361</v>
      </c>
      <c r="I42" s="5">
        <f>[11]CashCredit_dossym!I48</f>
        <v>-7.0951105723186361</v>
      </c>
      <c r="J42" s="5">
        <f>[11]CashCredit_dossym!J48</f>
        <v>-7.0951105723186361</v>
      </c>
      <c r="K42" s="5">
        <f>[11]CashCredit_dossym!K48</f>
        <v>-7.0951105723186361</v>
      </c>
      <c r="L42" s="5">
        <f>[11]CashCredit_dossym!L48</f>
        <v>-7.0951105723186361</v>
      </c>
      <c r="M42" s="5">
        <f>[11]CashCredit_dossym!M48</f>
        <v>-7.0951105723186361</v>
      </c>
      <c r="N42" s="5">
        <f>[11]CashCredit_dossym!N48</f>
        <v>-7.0951105723186361</v>
      </c>
      <c r="O42" s="5">
        <f>[11]CashCredit_dossym!O48</f>
        <v>-7.095110572318629</v>
      </c>
      <c r="P42" s="383">
        <f t="shared" si="46"/>
        <v>-85.141326867823636</v>
      </c>
      <c r="Q42" s="5">
        <f>[11]CashCredit_dossym!Q48</f>
        <v>-7.9540097312465985</v>
      </c>
      <c r="R42" s="5">
        <f>[11]CashCredit_dossym!R48</f>
        <v>-7.9540097312465985</v>
      </c>
      <c r="S42" s="5">
        <f>[11]CashCredit_dossym!S48</f>
        <v>-7.9540097312465985</v>
      </c>
      <c r="T42" s="5">
        <f>[11]CashCredit_dossym!T48</f>
        <v>-7.9540097312465985</v>
      </c>
      <c r="U42" s="5">
        <f>[11]CashCredit_dossym!U48</f>
        <v>-7.9540097312465985</v>
      </c>
      <c r="V42" s="5">
        <f>[11]CashCredit_dossym!V48</f>
        <v>-7.9540097312465985</v>
      </c>
      <c r="W42" s="5">
        <f>[11]CashCredit_dossym!W48</f>
        <v>-7.9540097312465985</v>
      </c>
      <c r="X42" s="5">
        <f>[11]CashCredit_dossym!X48</f>
        <v>-7.9540097312465985</v>
      </c>
      <c r="Y42" s="5">
        <f>[11]CashCredit_dossym!Y48</f>
        <v>-7.9540097312465985</v>
      </c>
      <c r="Z42" s="5">
        <f>[11]CashCredit_dossym!Z48</f>
        <v>-7.9540097312465985</v>
      </c>
      <c r="AA42" s="5">
        <f>[11]CashCredit_dossym!AA48</f>
        <v>-7.9540097312465985</v>
      </c>
      <c r="AB42" s="5">
        <f>[11]CashCredit_dossym!AB48</f>
        <v>-7.9540097312465914</v>
      </c>
      <c r="AC42" s="383">
        <f t="shared" si="47"/>
        <v>-95.448116774959175</v>
      </c>
      <c r="AD42" s="5">
        <f>[11]CashCredit_dossym!AD48</f>
        <v>-9.0315867940869836</v>
      </c>
      <c r="AE42" s="5">
        <f>[11]CashCredit_dossym!AE48</f>
        <v>-9.0315867940869836</v>
      </c>
      <c r="AF42" s="5">
        <f>[11]CashCredit_dossym!AF48</f>
        <v>-9.0315867940869836</v>
      </c>
      <c r="AG42" s="5">
        <f>[11]CashCredit_dossym!AG48</f>
        <v>-9.0315867940869836</v>
      </c>
      <c r="AH42" s="5">
        <f>[11]CashCredit_dossym!AH48</f>
        <v>-9.0315867940869836</v>
      </c>
      <c r="AI42" s="5">
        <f>[11]CashCredit_dossym!AI48</f>
        <v>-9.0315867940869836</v>
      </c>
      <c r="AJ42" s="5">
        <f>[11]CashCredit_dossym!AJ48</f>
        <v>-9.0315867940869836</v>
      </c>
      <c r="AK42" s="5">
        <f>[11]CashCredit_dossym!AK48</f>
        <v>-9.0315867940869836</v>
      </c>
      <c r="AL42" s="5">
        <f>[11]CashCredit_dossym!AL48</f>
        <v>-9.0315867940869836</v>
      </c>
      <c r="AM42" s="5">
        <f>[11]CashCredit_dossym!AM48</f>
        <v>-9.0315867940869836</v>
      </c>
      <c r="AN42" s="5">
        <f>[11]CashCredit_dossym!AN48</f>
        <v>-9.0315867940869836</v>
      </c>
      <c r="AO42" s="5">
        <f>[11]CashCredit_dossym!AO48</f>
        <v>-9.0315867940869765</v>
      </c>
      <c r="AP42" s="383">
        <f t="shared" si="48"/>
        <v>-108.37904152904382</v>
      </c>
      <c r="AQ42" s="5">
        <f>[11]CashCredit_dossym!AQ48</f>
        <v>-10.134304141712033</v>
      </c>
      <c r="AR42" s="5">
        <f>[11]CashCredit_dossym!AR48</f>
        <v>-10.134304141712033</v>
      </c>
      <c r="AS42" s="5">
        <f>[11]CashCredit_dossym!AS48</f>
        <v>-10.134304141712033</v>
      </c>
      <c r="AT42" s="5">
        <f>[11]CashCredit_dossym!AT48</f>
        <v>-10.134304141712033</v>
      </c>
      <c r="AU42" s="5">
        <f>[11]CashCredit_dossym!AU48</f>
        <v>-10.134304141712033</v>
      </c>
      <c r="AV42" s="5">
        <f>[11]CashCredit_dossym!AV48</f>
        <v>-10.134304141712033</v>
      </c>
      <c r="AW42" s="5">
        <f>[11]CashCredit_dossym!AW48</f>
        <v>-10.134304141712033</v>
      </c>
      <c r="AX42" s="5">
        <f>[11]CashCredit_dossym!AX48</f>
        <v>-10.134304141712033</v>
      </c>
      <c r="AY42" s="5">
        <f>[11]CashCredit_dossym!AY48</f>
        <v>-10.134304141712033</v>
      </c>
      <c r="AZ42" s="5">
        <f>[11]CashCredit_dossym!AZ48</f>
        <v>-10.134304141712033</v>
      </c>
      <c r="BA42" s="5">
        <f>[11]CashCredit_dossym!BA48</f>
        <v>-10.134304141712033</v>
      </c>
      <c r="BB42" s="5">
        <f>[11]CashCredit_dossym!BB48</f>
        <v>-10.134304141712022</v>
      </c>
      <c r="BC42" s="383">
        <f t="shared" si="49"/>
        <v>-121.6116497005444</v>
      </c>
      <c r="BD42" s="5">
        <f>[11]CashCredit_dossym!BD48</f>
        <v>-11.568352104908033</v>
      </c>
      <c r="BE42" s="5">
        <f>[11]CashCredit_dossym!BE48</f>
        <v>-11.568352104908033</v>
      </c>
      <c r="BF42" s="5">
        <f>[11]CashCredit_dossym!BF48</f>
        <v>-11.568352104908033</v>
      </c>
      <c r="BG42" s="5">
        <f>[11]CashCredit_dossym!BG48</f>
        <v>-11.568352104908033</v>
      </c>
      <c r="BH42" s="5">
        <f>[11]CashCredit_dossym!BH48</f>
        <v>-11.568352104908033</v>
      </c>
      <c r="BI42" s="5">
        <f>[11]CashCredit_dossym!BI48</f>
        <v>-11.568352104908033</v>
      </c>
      <c r="BJ42" s="5">
        <f>[11]CashCredit_dossym!BJ48</f>
        <v>-11.568352104908033</v>
      </c>
      <c r="BK42" s="5">
        <f>[11]CashCredit_dossym!BK48</f>
        <v>-11.568352104908033</v>
      </c>
      <c r="BL42" s="5">
        <f>[11]CashCredit_dossym!BL48</f>
        <v>-11.568352104908033</v>
      </c>
      <c r="BM42" s="5">
        <f>[11]CashCredit_dossym!BM48</f>
        <v>-11.568352104908033</v>
      </c>
      <c r="BN42" s="5">
        <f>[11]CashCredit_dossym!BN48</f>
        <v>-11.568352104908033</v>
      </c>
      <c r="BO42" s="5">
        <f>[11]CashCredit_dossym!BO48</f>
        <v>-11.568352104908024</v>
      </c>
      <c r="BP42" s="383">
        <f t="shared" si="50"/>
        <v>-138.82022525889636</v>
      </c>
      <c r="CE42" s="605" t="s">
        <v>533</v>
      </c>
      <c r="CF42" s="12" t="s">
        <v>965</v>
      </c>
    </row>
    <row r="43" spans="1:84" s="5" customFormat="1" hidden="1" outlineLevel="1">
      <c r="A43" s="605" t="s">
        <v>532</v>
      </c>
      <c r="B43" s="12" t="s">
        <v>502</v>
      </c>
      <c r="D43" s="5">
        <f>[11]CashCredit_dossym!D49</f>
        <v>-0.21361623228486215</v>
      </c>
      <c r="E43" s="5">
        <f>[11]CashCredit_dossym!E49</f>
        <v>-0.41868781527832977</v>
      </c>
      <c r="F43" s="5">
        <f>[11]CashCredit_dossym!F49</f>
        <v>-0.61555653495205875</v>
      </c>
      <c r="G43" s="5">
        <f>[11]CashCredit_dossym!G49</f>
        <v>-0.80455050583883869</v>
      </c>
      <c r="H43" s="5">
        <f>[11]CashCredit_dossym!H49</f>
        <v>-0.9859847178901473</v>
      </c>
      <c r="I43" s="5">
        <f>[11]CashCredit_dossym!I49</f>
        <v>-1.1601615614594036</v>
      </c>
      <c r="J43" s="5">
        <f>[11]CashCredit_dossym!J49</f>
        <v>-1.3273713312858897</v>
      </c>
      <c r="K43" s="5">
        <f>[11]CashCredit_dossym!K49</f>
        <v>-1.4878927103193162</v>
      </c>
      <c r="L43" s="5">
        <f>[11]CashCredit_dossym!L49</f>
        <v>-1.6419932341914059</v>
      </c>
      <c r="M43" s="5">
        <f>[11]CashCredit_dossym!M49</f>
        <v>-1.7899297371086118</v>
      </c>
      <c r="N43" s="5">
        <f>[11]CashCredit_dossym!N49</f>
        <v>-1.9319487799091297</v>
      </c>
      <c r="O43" s="5">
        <f>[11]CashCredit_dossym!O49</f>
        <v>-2.0682870609976263</v>
      </c>
      <c r="P43" s="383">
        <f t="shared" si="46"/>
        <v>-14.445980221515619</v>
      </c>
      <c r="Q43" s="5">
        <f>[11]CashCredit_dossym!Q49</f>
        <v>-0.25218657888170393</v>
      </c>
      <c r="R43" s="5">
        <f>[11]CashCredit_dossym!R49</f>
        <v>-0.49428569460813959</v>
      </c>
      <c r="S43" s="5">
        <f>[11]CashCredit_dossym!S49</f>
        <v>-0.72670084570551785</v>
      </c>
      <c r="T43" s="5">
        <f>[11]CashCredit_dossym!T49</f>
        <v>-0.9498193907590009</v>
      </c>
      <c r="U43" s="5">
        <f>[11]CashCredit_dossym!U49</f>
        <v>-1.1640131940103449</v>
      </c>
      <c r="V43" s="5">
        <f>[11]CashCredit_dossym!V49</f>
        <v>-1.3696392451316348</v>
      </c>
      <c r="W43" s="5">
        <f>[11]CashCredit_dossym!W49</f>
        <v>-1.567040254208073</v>
      </c>
      <c r="X43" s="5">
        <f>[11]CashCredit_dossym!X49</f>
        <v>-1.7565452229214542</v>
      </c>
      <c r="Y43" s="5">
        <f>[11]CashCredit_dossym!Y49</f>
        <v>-1.9384699928863001</v>
      </c>
      <c r="Z43" s="5">
        <f>[11]CashCredit_dossym!Z49</f>
        <v>-2.1131177720525516</v>
      </c>
      <c r="AA43" s="5">
        <f>[11]CashCredit_dossym!AA49</f>
        <v>-2.2807796400521538</v>
      </c>
      <c r="AB43" s="5">
        <f>[11]CashCredit_dossym!AB49</f>
        <v>-2.4417350333317711</v>
      </c>
      <c r="AC43" s="383">
        <f t="shared" si="47"/>
        <v>-17.054332864548648</v>
      </c>
      <c r="AD43" s="5">
        <f>[11]CashCredit_dossym!AD49</f>
        <v>-0.30732482840990427</v>
      </c>
      <c r="AE43" s="5">
        <f>[11]CashCredit_dossym!AE49</f>
        <v>-0.60235666368341234</v>
      </c>
      <c r="AF43" s="5">
        <f>[11]CashCredit_dossym!AF49</f>
        <v>-0.88558722554598002</v>
      </c>
      <c r="AG43" s="5">
        <f>[11]CashCredit_dossym!AG49</f>
        <v>-1.1574885649340452</v>
      </c>
      <c r="AH43" s="5">
        <f>[11]CashCredit_dossym!AH49</f>
        <v>-1.4185138507465873</v>
      </c>
      <c r="AI43" s="5">
        <f>[11]CashCredit_dossym!AI49</f>
        <v>-1.6690981251266284</v>
      </c>
      <c r="AJ43" s="5">
        <f>[11]CashCredit_dossym!AJ49</f>
        <v>-1.9096590285314672</v>
      </c>
      <c r="AK43" s="5">
        <f>[11]CashCredit_dossym!AK49</f>
        <v>-2.140597495800113</v>
      </c>
      <c r="AL43" s="5">
        <f>[11]CashCredit_dossym!AL49</f>
        <v>-2.3622984243780123</v>
      </c>
      <c r="AM43" s="5">
        <f>[11]CashCredit_dossym!AM49</f>
        <v>-2.5751313158127962</v>
      </c>
      <c r="AN43" s="5">
        <f>[11]CashCredit_dossym!AN49</f>
        <v>-2.7794508915901881</v>
      </c>
      <c r="AO43" s="5">
        <f>[11]CashCredit_dossym!AO49</f>
        <v>-2.9755976843364853</v>
      </c>
      <c r="AP43" s="383">
        <f t="shared" si="48"/>
        <v>-20.78310409889562</v>
      </c>
      <c r="AQ43" s="5">
        <f>[11]CashCredit_dossym!AQ49</f>
        <v>-0.3448478492665899</v>
      </c>
      <c r="AR43" s="5">
        <f>[11]CashCredit_dossym!AR49</f>
        <v>-0.67590178456251637</v>
      </c>
      <c r="AS43" s="5">
        <f>[11]CashCredit_dossym!AS49</f>
        <v>-0.9937135624466058</v>
      </c>
      <c r="AT43" s="5">
        <f>[11]CashCredit_dossym!AT49</f>
        <v>-1.2988128692153313</v>
      </c>
      <c r="AU43" s="5">
        <f>[11]CashCredit_dossym!AU49</f>
        <v>-1.5917082037133079</v>
      </c>
      <c r="AV43" s="5">
        <f>[11]CashCredit_dossym!AV49</f>
        <v>-1.8728877248313658</v>
      </c>
      <c r="AW43" s="5">
        <f>[11]CashCredit_dossym!AW49</f>
        <v>-2.1428200651047011</v>
      </c>
      <c r="AX43" s="5">
        <f>[11]CashCredit_dossym!AX49</f>
        <v>-2.4019551117671023</v>
      </c>
      <c r="AY43" s="5">
        <f>[11]CashCredit_dossym!AY49</f>
        <v>-2.6507247565630085</v>
      </c>
      <c r="AZ43" s="5">
        <f>[11]CashCredit_dossym!AZ49</f>
        <v>-2.8895436155670784</v>
      </c>
      <c r="BA43" s="5">
        <f>[11]CashCredit_dossym!BA49</f>
        <v>-3.1188097202109852</v>
      </c>
      <c r="BB43" s="5">
        <f>[11]CashCredit_dossym!BB49</f>
        <v>-3.3389051806691366</v>
      </c>
      <c r="BC43" s="383">
        <f t="shared" si="49"/>
        <v>-23.320630443917732</v>
      </c>
      <c r="BD43" s="5">
        <f>[11]CashCredit_dossym!BD49</f>
        <v>-0.39364531468089836</v>
      </c>
      <c r="BE43" s="5">
        <f>[11]CashCredit_dossym!BE49</f>
        <v>-0.77154481677456088</v>
      </c>
      <c r="BF43" s="5">
        <f>[11]CashCredit_dossym!BF49</f>
        <v>-1.1343283387844769</v>
      </c>
      <c r="BG43" s="5">
        <f>[11]CashCredit_dossym!BG49</f>
        <v>-1.4826005199139967</v>
      </c>
      <c r="BH43" s="5">
        <f>[11]CashCredit_dossym!BH49</f>
        <v>-1.8169418137983346</v>
      </c>
      <c r="BI43" s="5">
        <f>[11]CashCredit_dossym!BI49</f>
        <v>-2.1379094559273004</v>
      </c>
      <c r="BJ43" s="5">
        <f>[11]CashCredit_dossym!BJ49</f>
        <v>-2.446038392371106</v>
      </c>
      <c r="BK43" s="5">
        <f>[11]CashCredit_dossym!BK49</f>
        <v>-2.7418421713571606</v>
      </c>
      <c r="BL43" s="5">
        <f>[11]CashCredit_dossym!BL49</f>
        <v>-3.0258137991837724</v>
      </c>
      <c r="BM43" s="5">
        <f>[11]CashCredit_dossym!BM49</f>
        <v>-3.2984265618973203</v>
      </c>
      <c r="BN43" s="5">
        <f>[11]CashCredit_dossym!BN49</f>
        <v>-3.5601348141023261</v>
      </c>
      <c r="BO43" s="5">
        <f>[11]CashCredit_dossym!BO49</f>
        <v>-3.8113747362191304</v>
      </c>
      <c r="BP43" s="383">
        <f t="shared" si="50"/>
        <v>-26.620600735010381</v>
      </c>
      <c r="CE43" s="605" t="s">
        <v>532</v>
      </c>
      <c r="CF43" s="12" t="s">
        <v>965</v>
      </c>
    </row>
    <row r="44" spans="1:84" s="5" customFormat="1" hidden="1" outlineLevel="1">
      <c r="A44" s="605" t="s">
        <v>631</v>
      </c>
      <c r="B44" s="12" t="s">
        <v>502</v>
      </c>
      <c r="D44" s="5">
        <f>[11]CashCredit_dossym!D50</f>
        <v>0</v>
      </c>
      <c r="E44" s="5">
        <f>[11]CashCredit_dossym!E50</f>
        <v>-3.0516604612123168</v>
      </c>
      <c r="F44" s="5">
        <f>[11]CashCredit_dossym!F50</f>
        <v>-5.9812545039761407</v>
      </c>
      <c r="G44" s="5">
        <f>[11]CashCredit_dossym!G50</f>
        <v>-8.7936647850294118</v>
      </c>
      <c r="H44" s="5">
        <f>[11]CashCredit_dossym!H50</f>
        <v>-11.493578654840553</v>
      </c>
      <c r="I44" s="5">
        <f>[11]CashCredit_dossym!I50</f>
        <v>-14.085495969859249</v>
      </c>
      <c r="J44" s="5">
        <f>[11]CashCredit_dossym!J50</f>
        <v>-16.573736592277196</v>
      </c>
      <c r="K44" s="5">
        <f>[11]CashCredit_dossym!K50</f>
        <v>-18.962447589798423</v>
      </c>
      <c r="L44" s="5">
        <f>[11]CashCredit_dossym!L50</f>
        <v>-21.255610147418803</v>
      </c>
      <c r="M44" s="5">
        <f>[11]CashCredit_dossym!M50</f>
        <v>-23.457046202734368</v>
      </c>
      <c r="N44" s="5">
        <f>[11]CashCredit_dossym!N50</f>
        <v>-25.570424815837313</v>
      </c>
      <c r="O44" s="5">
        <f>[11]CashCredit_dossym!O50</f>
        <v>-27.599268284416134</v>
      </c>
      <c r="P44" s="383">
        <f t="shared" si="46"/>
        <v>-176.8241880073999</v>
      </c>
      <c r="Q44" s="5">
        <f>[11]CashCredit_dossym!Q50</f>
        <v>0</v>
      </c>
      <c r="R44" s="5">
        <f>[11]CashCredit_dossym!R50</f>
        <v>-3.9629319538553465</v>
      </c>
      <c r="S44" s="5">
        <f>[11]CashCredit_dossym!S50</f>
        <v>-7.7673466295564797</v>
      </c>
      <c r="T44" s="5">
        <f>[11]CashCredit_dossym!T50</f>
        <v>-11.419584718229567</v>
      </c>
      <c r="U44" s="5">
        <f>[11]CashCredit_dossym!U50</f>
        <v>-14.925733283355727</v>
      </c>
      <c r="V44" s="5">
        <f>[11]CashCredit_dossym!V50</f>
        <v>-18.291635905876849</v>
      </c>
      <c r="W44" s="5">
        <f>[11]CashCredit_dossym!W50</f>
        <v>-21.522902423497118</v>
      </c>
      <c r="X44" s="5">
        <f>[11]CashCredit_dossym!X50</f>
        <v>-24.624918280412576</v>
      </c>
      <c r="Y44" s="5">
        <f>[11]CashCredit_dossym!Y50</f>
        <v>-27.602853503051424</v>
      </c>
      <c r="Z44" s="5">
        <f>[11]CashCredit_dossym!Z50</f>
        <v>-30.461671316784713</v>
      </c>
      <c r="AA44" s="5">
        <f>[11]CashCredit_dossym!AA50</f>
        <v>-33.206136417968672</v>
      </c>
      <c r="AB44" s="5">
        <f>[11]CashCredit_dossym!AB50</f>
        <v>-35.840822915105271</v>
      </c>
      <c r="AC44" s="383">
        <f t="shared" si="47"/>
        <v>-229.62653734769373</v>
      </c>
      <c r="AD44" s="5">
        <f>[11]CashCredit_dossym!AD50</f>
        <v>0</v>
      </c>
      <c r="AE44" s="5">
        <f>[11]CashCredit_dossym!AE50</f>
        <v>-5.312329176799774</v>
      </c>
      <c r="AF44" s="5">
        <f>[11]CashCredit_dossym!AF50</f>
        <v>-10.412165186527558</v>
      </c>
      <c r="AG44" s="5">
        <f>[11]CashCredit_dossym!AG50</f>
        <v>-15.308007755866228</v>
      </c>
      <c r="AH44" s="5">
        <f>[11]CashCredit_dossym!AH50</f>
        <v>-20.008016622431352</v>
      </c>
      <c r="AI44" s="5">
        <f>[11]CashCredit_dossym!AI50</f>
        <v>-24.520025134333871</v>
      </c>
      <c r="AJ44" s="5">
        <f>[11]CashCredit_dossym!AJ50</f>
        <v>-28.851553305760291</v>
      </c>
      <c r="AK44" s="5">
        <f>[11]CashCredit_dossym!AK50</f>
        <v>-33.009820350329647</v>
      </c>
      <c r="AL44" s="5">
        <f>[11]CashCredit_dossym!AL50</f>
        <v>-37.001756713116237</v>
      </c>
      <c r="AM44" s="5">
        <f>[11]CashCredit_dossym!AM50</f>
        <v>-40.834015621391359</v>
      </c>
      <c r="AN44" s="5">
        <f>[11]CashCredit_dossym!AN50</f>
        <v>-44.512984173335482</v>
      </c>
      <c r="AO44" s="5">
        <f>[11]CashCredit_dossym!AO50</f>
        <v>-48.044793983201835</v>
      </c>
      <c r="AP44" s="383">
        <f t="shared" si="48"/>
        <v>-307.81546802309362</v>
      </c>
      <c r="AQ44" s="5">
        <f>[11]CashCredit_dossym!AQ50</f>
        <v>0</v>
      </c>
      <c r="AR44" s="5">
        <f>[11]CashCredit_dossym!AR50</f>
        <v>-6.5570355339118747</v>
      </c>
      <c r="AS44" s="5">
        <f>[11]CashCredit_dossym!AS50</f>
        <v>-12.851789646467276</v>
      </c>
      <c r="AT44" s="5">
        <f>[11]CashCredit_dossym!AT50</f>
        <v>-18.894753594520459</v>
      </c>
      <c r="AU44" s="5">
        <f>[11]CashCredit_dossym!AU50</f>
        <v>-24.695998984651514</v>
      </c>
      <c r="AV44" s="5">
        <f>[11]CashCredit_dossym!AV50</f>
        <v>-30.265194559177328</v>
      </c>
      <c r="AW44" s="5">
        <f>[11]CashCredit_dossym!AW50</f>
        <v>-35.611622310722112</v>
      </c>
      <c r="AX44" s="5">
        <f>[11]CashCredit_dossym!AX50</f>
        <v>-40.744192952205097</v>
      </c>
      <c r="AY44" s="5">
        <f>[11]CashCredit_dossym!AY50</f>
        <v>-45.671460768028766</v>
      </c>
      <c r="AZ44" s="5">
        <f>[11]CashCredit_dossym!AZ50</f>
        <v>-50.401637871219492</v>
      </c>
      <c r="BA44" s="5">
        <f>[11]CashCredit_dossym!BA50</f>
        <v>-54.942607890282602</v>
      </c>
      <c r="BB44" s="5">
        <f>[11]CashCredit_dossym!BB50</f>
        <v>-59.301939108583163</v>
      </c>
      <c r="BC44" s="383">
        <f t="shared" si="49"/>
        <v>-379.93823321976964</v>
      </c>
      <c r="BD44" s="5">
        <f>[11]CashCredit_dossym!BD50</f>
        <v>0</v>
      </c>
      <c r="BE44" s="5">
        <f>[11]CashCredit_dossym!BE50</f>
        <v>-8.2333729317757633</v>
      </c>
      <c r="BF44" s="5">
        <f>[11]CashCredit_dossym!BF50</f>
        <v>-16.137410946280497</v>
      </c>
      <c r="BG44" s="5">
        <f>[11]CashCredit_dossym!BG50</f>
        <v>-23.725287440205044</v>
      </c>
      <c r="BH44" s="5">
        <f>[11]CashCredit_dossym!BH50</f>
        <v>-31.009648874372605</v>
      </c>
      <c r="BI44" s="5">
        <f>[11]CashCredit_dossym!BI50</f>
        <v>-38.002635851173466</v>
      </c>
      <c r="BJ44" s="5">
        <f>[11]CashCredit_dossym!BJ50</f>
        <v>-44.715903348902295</v>
      </c>
      <c r="BK44" s="5">
        <f>[11]CashCredit_dossym!BK50</f>
        <v>-51.16064014672196</v>
      </c>
      <c r="BL44" s="5">
        <f>[11]CashCredit_dossym!BL50</f>
        <v>-57.347587472628845</v>
      </c>
      <c r="BM44" s="5">
        <f>[11]CashCredit_dossym!BM50</f>
        <v>-63.287056905499469</v>
      </c>
      <c r="BN44" s="5">
        <f>[11]CashCredit_dossym!BN50</f>
        <v>-68.988947561055255</v>
      </c>
      <c r="BO44" s="5">
        <f>[11]CashCredit_dossym!BO50</f>
        <v>-74.462762590388806</v>
      </c>
      <c r="BP44" s="383">
        <f t="shared" si="50"/>
        <v>-477.071254069004</v>
      </c>
      <c r="CE44" s="605" t="s">
        <v>631</v>
      </c>
      <c r="CF44" s="12" t="s">
        <v>965</v>
      </c>
    </row>
    <row r="45" spans="1:84" s="5" customFormat="1" hidden="1" outlineLevel="1">
      <c r="A45" s="605" t="s">
        <v>630</v>
      </c>
      <c r="B45" s="12" t="s">
        <v>502</v>
      </c>
      <c r="D45" s="5">
        <f>[11]CashCredit_dossym!D51</f>
        <v>-0.76291511530307909</v>
      </c>
      <c r="E45" s="5">
        <f>[11]CashCredit_dossym!E51</f>
        <v>-1.4953136259940349</v>
      </c>
      <c r="F45" s="5">
        <f>[11]CashCredit_dossym!F51</f>
        <v>-2.198416196257353</v>
      </c>
      <c r="G45" s="5">
        <f>[11]CashCredit_dossym!G51</f>
        <v>-2.8733946637101382</v>
      </c>
      <c r="H45" s="5">
        <f>[11]CashCredit_dossym!H51</f>
        <v>-3.5213739924648122</v>
      </c>
      <c r="I45" s="5">
        <f>[11]CashCredit_dossym!I51</f>
        <v>-4.1434341480692991</v>
      </c>
      <c r="J45" s="5">
        <f>[11]CashCredit_dossym!J51</f>
        <v>-4.7406118974496056</v>
      </c>
      <c r="K45" s="5">
        <f>[11]CashCredit_dossym!K51</f>
        <v>-5.3139025368547008</v>
      </c>
      <c r="L45" s="5">
        <f>[11]CashCredit_dossym!L51</f>
        <v>-5.8642615506835929</v>
      </c>
      <c r="M45" s="5">
        <f>[11]CashCredit_dossym!M51</f>
        <v>-6.3926062039593283</v>
      </c>
      <c r="N45" s="5">
        <f>[11]CashCredit_dossym!N51</f>
        <v>-6.8998170711040343</v>
      </c>
      <c r="O45" s="5">
        <f>[11]CashCredit_dossym!O51</f>
        <v>-7.3867395035629517</v>
      </c>
      <c r="P45" s="383">
        <f t="shared" si="46"/>
        <v>-51.592786505412931</v>
      </c>
      <c r="Q45" s="5">
        <f>[11]CashCredit_dossym!Q51</f>
        <v>-0.99073298846383662</v>
      </c>
      <c r="R45" s="5">
        <f>[11]CashCredit_dossym!R51</f>
        <v>-1.9418366573891199</v>
      </c>
      <c r="S45" s="5">
        <f>[11]CashCredit_dossym!S51</f>
        <v>-2.8548961795573917</v>
      </c>
      <c r="T45" s="5">
        <f>[11]CashCredit_dossym!T51</f>
        <v>-3.7314333208389319</v>
      </c>
      <c r="U45" s="5">
        <f>[11]CashCredit_dossym!U51</f>
        <v>-4.5729089764692121</v>
      </c>
      <c r="V45" s="5">
        <f>[11]CashCredit_dossym!V51</f>
        <v>-5.3807256058742796</v>
      </c>
      <c r="W45" s="5">
        <f>[11]CashCredit_dossym!W51</f>
        <v>-6.1562295701031449</v>
      </c>
      <c r="X45" s="5">
        <f>[11]CashCredit_dossym!X51</f>
        <v>-6.900713375762856</v>
      </c>
      <c r="Y45" s="5">
        <f>[11]CashCredit_dossym!Y51</f>
        <v>-7.6154178291961792</v>
      </c>
      <c r="Z45" s="5">
        <f>[11]CashCredit_dossym!Z51</f>
        <v>-8.301534104492168</v>
      </c>
      <c r="AA45" s="5">
        <f>[11]CashCredit_dossym!AA51</f>
        <v>-8.9602057287763177</v>
      </c>
      <c r="AB45" s="5">
        <f>[11]CashCredit_dossym!AB51</f>
        <v>-9.5925304880891016</v>
      </c>
      <c r="AC45" s="383">
        <f t="shared" si="47"/>
        <v>-66.999164825012542</v>
      </c>
      <c r="AD45" s="5">
        <f>[11]CashCredit_dossym!AD51</f>
        <v>-1.3280822941999433</v>
      </c>
      <c r="AE45" s="5">
        <f>[11]CashCredit_dossym!AE51</f>
        <v>-2.603041296631889</v>
      </c>
      <c r="AF45" s="5">
        <f>[11]CashCredit_dossym!AF51</f>
        <v>-3.827001938966557</v>
      </c>
      <c r="AG45" s="5">
        <f>[11]CashCredit_dossym!AG51</f>
        <v>-5.0020041556078381</v>
      </c>
      <c r="AH45" s="5">
        <f>[11]CashCredit_dossym!AH51</f>
        <v>-6.1300062835834677</v>
      </c>
      <c r="AI45" s="5">
        <f>[11]CashCredit_dossym!AI51</f>
        <v>-7.2128883264400727</v>
      </c>
      <c r="AJ45" s="5">
        <f>[11]CashCredit_dossym!AJ51</f>
        <v>-8.2524550875824119</v>
      </c>
      <c r="AK45" s="5">
        <f>[11]CashCredit_dossym!AK51</f>
        <v>-9.2504391782790591</v>
      </c>
      <c r="AL45" s="5">
        <f>[11]CashCredit_dossym!AL51</f>
        <v>-10.20850390534784</v>
      </c>
      <c r="AM45" s="5">
        <f>[11]CashCredit_dossym!AM51</f>
        <v>-11.128246043333871</v>
      </c>
      <c r="AN45" s="5">
        <f>[11]CashCredit_dossym!AN51</f>
        <v>-12.011198495800459</v>
      </c>
      <c r="AO45" s="5">
        <f>[11]CashCredit_dossym!AO51</f>
        <v>-12.858832850168383</v>
      </c>
      <c r="AP45" s="383">
        <f t="shared" si="48"/>
        <v>-89.812699855941787</v>
      </c>
      <c r="AQ45" s="5">
        <f>[11]CashCredit_dossym!AQ51</f>
        <v>-1.6392588834779687</v>
      </c>
      <c r="AR45" s="5">
        <f>[11]CashCredit_dossym!AR51</f>
        <v>-3.2129474116168186</v>
      </c>
      <c r="AS45" s="5">
        <f>[11]CashCredit_dossym!AS51</f>
        <v>-4.7236883986301148</v>
      </c>
      <c r="AT45" s="5">
        <f>[11]CashCredit_dossym!AT51</f>
        <v>-6.1739997461628793</v>
      </c>
      <c r="AU45" s="5">
        <f>[11]CashCredit_dossym!AU51</f>
        <v>-7.5662986397943319</v>
      </c>
      <c r="AV45" s="5">
        <f>[11]CashCredit_dossym!AV51</f>
        <v>-8.9029055776805279</v>
      </c>
      <c r="AW45" s="5">
        <f>[11]CashCredit_dossym!AW51</f>
        <v>-10.186048238051274</v>
      </c>
      <c r="AX45" s="5">
        <f>[11]CashCredit_dossym!AX51</f>
        <v>-11.417865192007193</v>
      </c>
      <c r="AY45" s="5">
        <f>[11]CashCredit_dossym!AY51</f>
        <v>-12.600409467804873</v>
      </c>
      <c r="AZ45" s="5">
        <f>[11]CashCredit_dossym!AZ51</f>
        <v>-13.735651972570649</v>
      </c>
      <c r="BA45" s="5">
        <f>[11]CashCredit_dossym!BA51</f>
        <v>-14.825484777145792</v>
      </c>
      <c r="BB45" s="5">
        <f>[11]CashCredit_dossym!BB51</f>
        <v>-15.871724269537932</v>
      </c>
      <c r="BC45" s="383">
        <f t="shared" si="49"/>
        <v>-110.85628257448035</v>
      </c>
      <c r="BD45" s="5">
        <f>[11]CashCredit_dossym!BD51</f>
        <v>-2.0583432329439408</v>
      </c>
      <c r="BE45" s="5">
        <f>[11]CashCredit_dossym!BE51</f>
        <v>-4.0343527365701242</v>
      </c>
      <c r="BF45" s="5">
        <f>[11]CashCredit_dossym!BF51</f>
        <v>-5.9313218600512609</v>
      </c>
      <c r="BG45" s="5">
        <f>[11]CashCredit_dossym!BG51</f>
        <v>-7.7524122185931512</v>
      </c>
      <c r="BH45" s="5">
        <f>[11]CashCredit_dossym!BH51</f>
        <v>-9.5006589627933664</v>
      </c>
      <c r="BI45" s="5">
        <f>[11]CashCredit_dossym!BI51</f>
        <v>-11.178975837225574</v>
      </c>
      <c r="BJ45" s="5">
        <f>[11]CashCredit_dossym!BJ51</f>
        <v>-12.79016003668049</v>
      </c>
      <c r="BK45" s="5">
        <f>[11]CashCredit_dossym!BK51</f>
        <v>-14.336896868157213</v>
      </c>
      <c r="BL45" s="5">
        <f>[11]CashCredit_dossym!BL51</f>
        <v>-15.821764226374865</v>
      </c>
      <c r="BM45" s="5">
        <f>[11]CashCredit_dossym!BM51</f>
        <v>-17.247236890263814</v>
      </c>
      <c r="BN45" s="5">
        <f>[11]CashCredit_dossym!BN51</f>
        <v>-18.615690647597201</v>
      </c>
      <c r="BO45" s="5">
        <f>[11]CashCredit_dossym!BO51</f>
        <v>-19.92940625463725</v>
      </c>
      <c r="BP45" s="383">
        <f t="shared" si="50"/>
        <v>-139.19721977188826</v>
      </c>
      <c r="CE45" s="605" t="s">
        <v>630</v>
      </c>
      <c r="CF45" s="12" t="s">
        <v>965</v>
      </c>
    </row>
    <row r="46" spans="1:84" s="5" customFormat="1" hidden="1" outlineLevel="1">
      <c r="A46" s="605" t="s">
        <v>629</v>
      </c>
      <c r="B46" s="12" t="s">
        <v>502</v>
      </c>
      <c r="D46" s="5">
        <f>[11]CashCredit_dossym!D52</f>
        <v>0</v>
      </c>
      <c r="E46" s="5">
        <f>[11]CashCredit_dossym!E52</f>
        <v>-3.0516604612123168</v>
      </c>
      <c r="F46" s="5">
        <f>[11]CashCredit_dossym!F52</f>
        <v>-5.9812545039761407</v>
      </c>
      <c r="G46" s="5">
        <f>[11]CashCredit_dossym!G52</f>
        <v>-8.7936647850294118</v>
      </c>
      <c r="H46" s="5">
        <f>[11]CashCredit_dossym!H52</f>
        <v>-11.493578654840553</v>
      </c>
      <c r="I46" s="5">
        <f>[11]CashCredit_dossym!I52</f>
        <v>-14.085495969859249</v>
      </c>
      <c r="J46" s="5">
        <f>[11]CashCredit_dossym!J52</f>
        <v>-16.573736592277196</v>
      </c>
      <c r="K46" s="5">
        <f>[11]CashCredit_dossym!K52</f>
        <v>-18.962447589798423</v>
      </c>
      <c r="L46" s="5">
        <f>[11]CashCredit_dossym!L52</f>
        <v>-21.255610147418803</v>
      </c>
      <c r="M46" s="5">
        <f>[11]CashCredit_dossym!M52</f>
        <v>-23.457046202734368</v>
      </c>
      <c r="N46" s="5">
        <f>[11]CashCredit_dossym!N52</f>
        <v>-25.570424815837313</v>
      </c>
      <c r="O46" s="5">
        <f>[11]CashCredit_dossym!O52</f>
        <v>-27.599268284416134</v>
      </c>
      <c r="P46" s="383">
        <f t="shared" si="46"/>
        <v>-176.8241880073999</v>
      </c>
      <c r="Q46" s="5">
        <f>[11]CashCredit_dossym!Q52</f>
        <v>0</v>
      </c>
      <c r="R46" s="5">
        <f>[11]CashCredit_dossym!R52</f>
        <v>-3.9629319538553465</v>
      </c>
      <c r="S46" s="5">
        <f>[11]CashCredit_dossym!S52</f>
        <v>-7.7673466295564797</v>
      </c>
      <c r="T46" s="5">
        <f>[11]CashCredit_dossym!T52</f>
        <v>-11.419584718229567</v>
      </c>
      <c r="U46" s="5">
        <f>[11]CashCredit_dossym!U52</f>
        <v>-14.925733283355727</v>
      </c>
      <c r="V46" s="5">
        <f>[11]CashCredit_dossym!V52</f>
        <v>-18.291635905876849</v>
      </c>
      <c r="W46" s="5">
        <f>[11]CashCredit_dossym!W52</f>
        <v>-21.522902423497118</v>
      </c>
      <c r="X46" s="5">
        <f>[11]CashCredit_dossym!X52</f>
        <v>-24.624918280412576</v>
      </c>
      <c r="Y46" s="5">
        <f>[11]CashCredit_dossym!Y52</f>
        <v>-27.602853503051424</v>
      </c>
      <c r="Z46" s="5">
        <f>[11]CashCredit_dossym!Z52</f>
        <v>-30.461671316784713</v>
      </c>
      <c r="AA46" s="5">
        <f>[11]CashCredit_dossym!AA52</f>
        <v>-33.206136417968672</v>
      </c>
      <c r="AB46" s="5">
        <f>[11]CashCredit_dossym!AB52</f>
        <v>-35.840822915105271</v>
      </c>
      <c r="AC46" s="383">
        <f t="shared" si="47"/>
        <v>-229.62653734769373</v>
      </c>
      <c r="AD46" s="5">
        <f>[11]CashCredit_dossym!AD52</f>
        <v>0</v>
      </c>
      <c r="AE46" s="5">
        <f>[11]CashCredit_dossym!AE52</f>
        <v>-5.312329176799774</v>
      </c>
      <c r="AF46" s="5">
        <f>[11]CashCredit_dossym!AF52</f>
        <v>-10.412165186527558</v>
      </c>
      <c r="AG46" s="5">
        <f>[11]CashCredit_dossym!AG52</f>
        <v>-15.308007755866228</v>
      </c>
      <c r="AH46" s="5">
        <f>[11]CashCredit_dossym!AH52</f>
        <v>-20.008016622431352</v>
      </c>
      <c r="AI46" s="5">
        <f>[11]CashCredit_dossym!AI52</f>
        <v>-24.520025134333871</v>
      </c>
      <c r="AJ46" s="5">
        <f>[11]CashCredit_dossym!AJ52</f>
        <v>-28.851553305760291</v>
      </c>
      <c r="AK46" s="5">
        <f>[11]CashCredit_dossym!AK52</f>
        <v>-33.009820350329647</v>
      </c>
      <c r="AL46" s="5">
        <f>[11]CashCredit_dossym!AL52</f>
        <v>-37.001756713116237</v>
      </c>
      <c r="AM46" s="5">
        <f>[11]CashCredit_dossym!AM52</f>
        <v>-40.834015621391359</v>
      </c>
      <c r="AN46" s="5">
        <f>[11]CashCredit_dossym!AN52</f>
        <v>-44.512984173335482</v>
      </c>
      <c r="AO46" s="5">
        <f>[11]CashCredit_dossym!AO52</f>
        <v>-48.044793983201835</v>
      </c>
      <c r="AP46" s="383">
        <f t="shared" si="48"/>
        <v>-307.81546802309362</v>
      </c>
      <c r="AQ46" s="5">
        <f>[11]CashCredit_dossym!AQ52</f>
        <v>0</v>
      </c>
      <c r="AR46" s="5">
        <f>[11]CashCredit_dossym!AR52</f>
        <v>-6.5570355339118747</v>
      </c>
      <c r="AS46" s="5">
        <f>[11]CashCredit_dossym!AS52</f>
        <v>-12.851789646467276</v>
      </c>
      <c r="AT46" s="5">
        <f>[11]CashCredit_dossym!AT52</f>
        <v>-18.894753594520459</v>
      </c>
      <c r="AU46" s="5">
        <f>[11]CashCredit_dossym!AU52</f>
        <v>-24.695998984651514</v>
      </c>
      <c r="AV46" s="5">
        <f>[11]CashCredit_dossym!AV52</f>
        <v>-30.265194559177328</v>
      </c>
      <c r="AW46" s="5">
        <f>[11]CashCredit_dossym!AW52</f>
        <v>-35.611622310722112</v>
      </c>
      <c r="AX46" s="5">
        <f>[11]CashCredit_dossym!AX52</f>
        <v>-40.744192952205097</v>
      </c>
      <c r="AY46" s="5">
        <f>[11]CashCredit_dossym!AY52</f>
        <v>-45.671460768028766</v>
      </c>
      <c r="AZ46" s="5">
        <f>[11]CashCredit_dossym!AZ52</f>
        <v>-50.401637871219492</v>
      </c>
      <c r="BA46" s="5">
        <f>[11]CashCredit_dossym!BA52</f>
        <v>-54.942607890282602</v>
      </c>
      <c r="BB46" s="5">
        <f>[11]CashCredit_dossym!BB52</f>
        <v>-59.301939108583163</v>
      </c>
      <c r="BC46" s="383">
        <f t="shared" si="49"/>
        <v>-379.93823321976964</v>
      </c>
      <c r="BD46" s="5">
        <f>[11]CashCredit_dossym!BD52</f>
        <v>0</v>
      </c>
      <c r="BE46" s="5">
        <f>[11]CashCredit_dossym!BE52</f>
        <v>-8.2333729317757633</v>
      </c>
      <c r="BF46" s="5">
        <f>[11]CashCredit_dossym!BF52</f>
        <v>-16.137410946280497</v>
      </c>
      <c r="BG46" s="5">
        <f>[11]CashCredit_dossym!BG52</f>
        <v>-23.725287440205044</v>
      </c>
      <c r="BH46" s="5">
        <f>[11]CashCredit_dossym!BH52</f>
        <v>-31.009648874372605</v>
      </c>
      <c r="BI46" s="5">
        <f>[11]CashCredit_dossym!BI52</f>
        <v>-38.002635851173466</v>
      </c>
      <c r="BJ46" s="5">
        <f>[11]CashCredit_dossym!BJ52</f>
        <v>-44.715903348902295</v>
      </c>
      <c r="BK46" s="5">
        <f>[11]CashCredit_dossym!BK52</f>
        <v>-51.16064014672196</v>
      </c>
      <c r="BL46" s="5">
        <f>[11]CashCredit_dossym!BL52</f>
        <v>-57.347587472628845</v>
      </c>
      <c r="BM46" s="5">
        <f>[11]CashCredit_dossym!BM52</f>
        <v>-63.287056905499469</v>
      </c>
      <c r="BN46" s="5">
        <f>[11]CashCredit_dossym!BN52</f>
        <v>-68.988947561055255</v>
      </c>
      <c r="BO46" s="5">
        <f>[11]CashCredit_dossym!BO52</f>
        <v>-74.462762590388806</v>
      </c>
      <c r="BP46" s="383">
        <f t="shared" si="50"/>
        <v>-477.071254069004</v>
      </c>
      <c r="CE46" s="605" t="s">
        <v>629</v>
      </c>
      <c r="CF46" s="12" t="s">
        <v>965</v>
      </c>
    </row>
    <row r="47" spans="1:84" s="5" customFormat="1" hidden="1" outlineLevel="1">
      <c r="A47" s="605" t="s">
        <v>536</v>
      </c>
      <c r="B47" s="12" t="s">
        <v>502</v>
      </c>
      <c r="D47" s="5">
        <f>[11]CashCredit_dossym!D53</f>
        <v>-15.89406490214748</v>
      </c>
      <c r="E47" s="5">
        <f>[11]CashCredit_dossym!E53</f>
        <v>-15.89406490214748</v>
      </c>
      <c r="F47" s="5">
        <f>[11]CashCredit_dossym!F53</f>
        <v>-15.89406490214748</v>
      </c>
      <c r="G47" s="5">
        <f>[11]CashCredit_dossym!G53</f>
        <v>-15.89406490214748</v>
      </c>
      <c r="H47" s="5">
        <f>[11]CashCredit_dossym!H53</f>
        <v>-15.89406490214748</v>
      </c>
      <c r="I47" s="5">
        <f>[11]CashCredit_dossym!I53</f>
        <v>-15.89406490214748</v>
      </c>
      <c r="J47" s="5">
        <f>[11]CashCredit_dossym!J53</f>
        <v>-15.89406490214748</v>
      </c>
      <c r="K47" s="5">
        <f>[11]CashCredit_dossym!K53</f>
        <v>-15.89406490214748</v>
      </c>
      <c r="L47" s="5">
        <f>[11]CashCredit_dossym!L53</f>
        <v>-15.89406490214748</v>
      </c>
      <c r="M47" s="5">
        <f>[11]CashCredit_dossym!M53</f>
        <v>-15.89406490214748</v>
      </c>
      <c r="N47" s="5">
        <f>[11]CashCredit_dossym!N53</f>
        <v>-15.89406490214748</v>
      </c>
      <c r="O47" s="5">
        <f>[11]CashCredit_dossym!O53</f>
        <v>-15.894064902147468</v>
      </c>
      <c r="P47" s="383">
        <f t="shared" si="46"/>
        <v>-190.72877882576975</v>
      </c>
      <c r="Q47" s="5">
        <f>[11]CashCredit_dossym!Q53</f>
        <v>-17.591139709940279</v>
      </c>
      <c r="R47" s="5">
        <f>[11]CashCredit_dossym!R53</f>
        <v>-17.591139709940279</v>
      </c>
      <c r="S47" s="5">
        <f>[11]CashCredit_dossym!S53</f>
        <v>-17.591139709940279</v>
      </c>
      <c r="T47" s="5">
        <f>[11]CashCredit_dossym!T53</f>
        <v>-17.591139709940279</v>
      </c>
      <c r="U47" s="5">
        <f>[11]CashCredit_dossym!U53</f>
        <v>-17.591139709940279</v>
      </c>
      <c r="V47" s="5">
        <f>[11]CashCredit_dossym!V53</f>
        <v>-17.591139709940279</v>
      </c>
      <c r="W47" s="5">
        <f>[11]CashCredit_dossym!W53</f>
        <v>-17.591139709940279</v>
      </c>
      <c r="X47" s="5">
        <f>[11]CashCredit_dossym!X53</f>
        <v>-17.591139709940279</v>
      </c>
      <c r="Y47" s="5">
        <f>[11]CashCredit_dossym!Y53</f>
        <v>-17.591139709940279</v>
      </c>
      <c r="Z47" s="5">
        <f>[11]CashCredit_dossym!Z53</f>
        <v>-17.591139709940279</v>
      </c>
      <c r="AA47" s="5">
        <f>[11]CashCredit_dossym!AA53</f>
        <v>-17.591139709940279</v>
      </c>
      <c r="AB47" s="5">
        <f>[11]CashCredit_dossym!AB53</f>
        <v>-17.591139709940265</v>
      </c>
      <c r="AC47" s="383">
        <f t="shared" si="47"/>
        <v>-211.09367651928335</v>
      </c>
      <c r="AD47" s="5">
        <f>[11]CashCredit_dossym!AD53</f>
        <v>-19.599797730223489</v>
      </c>
      <c r="AE47" s="5">
        <f>[11]CashCredit_dossym!AE53</f>
        <v>-19.599797730223489</v>
      </c>
      <c r="AF47" s="5">
        <f>[11]CashCredit_dossym!AF53</f>
        <v>-19.599797730223489</v>
      </c>
      <c r="AG47" s="5">
        <f>[11]CashCredit_dossym!AG53</f>
        <v>-19.599797730223489</v>
      </c>
      <c r="AH47" s="5">
        <f>[11]CashCredit_dossym!AH53</f>
        <v>-19.599797730223489</v>
      </c>
      <c r="AI47" s="5">
        <f>[11]CashCredit_dossym!AI53</f>
        <v>-19.599797730223489</v>
      </c>
      <c r="AJ47" s="5">
        <f>[11]CashCredit_dossym!AJ53</f>
        <v>-19.599797730223489</v>
      </c>
      <c r="AK47" s="5">
        <f>[11]CashCredit_dossym!AK53</f>
        <v>-19.599797730223489</v>
      </c>
      <c r="AL47" s="5">
        <f>[11]CashCredit_dossym!AL53</f>
        <v>-19.599797730223489</v>
      </c>
      <c r="AM47" s="5">
        <f>[11]CashCredit_dossym!AM53</f>
        <v>-19.599797730223489</v>
      </c>
      <c r="AN47" s="5">
        <f>[11]CashCredit_dossym!AN53</f>
        <v>-19.599797730223489</v>
      </c>
      <c r="AO47" s="5">
        <f>[11]CashCredit_dossym!AO53</f>
        <v>-19.599797730223472</v>
      </c>
      <c r="AP47" s="383">
        <f t="shared" si="48"/>
        <v>-235.19757276268183</v>
      </c>
      <c r="AQ47" s="5">
        <f>[11]CashCredit_dossym!AQ53</f>
        <v>-21.992847529757011</v>
      </c>
      <c r="AR47" s="5">
        <f>[11]CashCredit_dossym!AR53</f>
        <v>-21.992847529757011</v>
      </c>
      <c r="AS47" s="5">
        <f>[11]CashCredit_dossym!AS53</f>
        <v>-21.992847529757011</v>
      </c>
      <c r="AT47" s="5">
        <f>[11]CashCredit_dossym!AT53</f>
        <v>-21.992847529757011</v>
      </c>
      <c r="AU47" s="5">
        <f>[11]CashCredit_dossym!AU53</f>
        <v>-21.992847529757011</v>
      </c>
      <c r="AV47" s="5">
        <f>[11]CashCredit_dossym!AV53</f>
        <v>-21.992847529757011</v>
      </c>
      <c r="AW47" s="5">
        <f>[11]CashCredit_dossym!AW53</f>
        <v>-21.992847529757011</v>
      </c>
      <c r="AX47" s="5">
        <f>[11]CashCredit_dossym!AX53</f>
        <v>-21.992847529757011</v>
      </c>
      <c r="AY47" s="5">
        <f>[11]CashCredit_dossym!AY53</f>
        <v>-21.992847529757011</v>
      </c>
      <c r="AZ47" s="5">
        <f>[11]CashCredit_dossym!AZ53</f>
        <v>-21.992847529757011</v>
      </c>
      <c r="BA47" s="5">
        <f>[11]CashCredit_dossym!BA53</f>
        <v>-21.992847529757011</v>
      </c>
      <c r="BB47" s="5">
        <f>[11]CashCredit_dossym!BB53</f>
        <v>-21.992847529756993</v>
      </c>
      <c r="BC47" s="383">
        <f t="shared" si="49"/>
        <v>-263.91417035708406</v>
      </c>
      <c r="BD47" s="5">
        <f>[11]CashCredit_dossym!BD53</f>
        <v>-25.10493078322056</v>
      </c>
      <c r="BE47" s="5">
        <f>[11]CashCredit_dossym!BE53</f>
        <v>-25.10493078322056</v>
      </c>
      <c r="BF47" s="5">
        <f>[11]CashCredit_dossym!BF53</f>
        <v>-25.10493078322056</v>
      </c>
      <c r="BG47" s="5">
        <f>[11]CashCredit_dossym!BG53</f>
        <v>-25.10493078322056</v>
      </c>
      <c r="BH47" s="5">
        <f>[11]CashCredit_dossym!BH53</f>
        <v>-25.10493078322056</v>
      </c>
      <c r="BI47" s="5">
        <f>[11]CashCredit_dossym!BI53</f>
        <v>-25.10493078322056</v>
      </c>
      <c r="BJ47" s="5">
        <f>[11]CashCredit_dossym!BJ53</f>
        <v>-25.10493078322056</v>
      </c>
      <c r="BK47" s="5">
        <f>[11]CashCredit_dossym!BK53</f>
        <v>-25.10493078322056</v>
      </c>
      <c r="BL47" s="5">
        <f>[11]CashCredit_dossym!BL53</f>
        <v>-25.10493078322056</v>
      </c>
      <c r="BM47" s="5">
        <f>[11]CashCredit_dossym!BM53</f>
        <v>-25.10493078322056</v>
      </c>
      <c r="BN47" s="5">
        <f>[11]CashCredit_dossym!BN53</f>
        <v>-25.10493078322056</v>
      </c>
      <c r="BO47" s="5">
        <f>[11]CashCredit_dossym!BO53</f>
        <v>-25.104930783220542</v>
      </c>
      <c r="BP47" s="383">
        <f t="shared" si="50"/>
        <v>-301.25916939864675</v>
      </c>
      <c r="CE47" s="605" t="s">
        <v>536</v>
      </c>
      <c r="CF47" s="12" t="s">
        <v>965</v>
      </c>
    </row>
    <row r="48" spans="1:84" s="3" customFormat="1" collapsed="1">
      <c r="A48" s="3" t="s">
        <v>843</v>
      </c>
      <c r="B48" s="12" t="s">
        <v>502</v>
      </c>
      <c r="D48" s="3">
        <f>SUM(D49:D58)</f>
        <v>-162.8666799163006</v>
      </c>
      <c r="E48" s="3">
        <f t="shared" ref="E48:N48" si="51">SUM(E49:E58)</f>
        <v>-175.03755288716854</v>
      </c>
      <c r="F48" s="3">
        <f t="shared" si="51"/>
        <v>-187.35775351421151</v>
      </c>
      <c r="G48" s="3">
        <f t="shared" si="51"/>
        <v>-199.82417129591693</v>
      </c>
      <c r="H48" s="3">
        <f t="shared" si="51"/>
        <v>-212.43348059532849</v>
      </c>
      <c r="I48" s="3">
        <f t="shared" si="51"/>
        <v>-225.18214757876561</v>
      </c>
      <c r="J48" s="3">
        <f t="shared" si="51"/>
        <v>-238.06643766568254</v>
      </c>
      <c r="K48" s="3">
        <f t="shared" si="51"/>
        <v>-251.0824234666369</v>
      </c>
      <c r="L48" s="3">
        <f t="shared" si="51"/>
        <v>-264.22599318465672</v>
      </c>
      <c r="M48" s="3">
        <f t="shared" si="51"/>
        <v>-277.49285945372208</v>
      </c>
      <c r="N48" s="3">
        <f t="shared" si="51"/>
        <v>-290.87856858660706</v>
      </c>
      <c r="O48" s="3">
        <f>SUM(O49:O58)</f>
        <v>-293.57787774536735</v>
      </c>
      <c r="P48" s="397">
        <f t="shared" si="46"/>
        <v>-2778.0259458903643</v>
      </c>
      <c r="Q48" s="3">
        <f>SUM(Q49:Q58)</f>
        <v>-284.74808086218638</v>
      </c>
      <c r="R48" s="3">
        <f t="shared" ref="R48:AD48" si="52">SUM(R49:R58)</f>
        <v>-303.26454979857556</v>
      </c>
      <c r="S48" s="3">
        <f t="shared" si="52"/>
        <v>-321.58473669634054</v>
      </c>
      <c r="T48" s="3">
        <f t="shared" si="52"/>
        <v>-340.07477303998468</v>
      </c>
      <c r="U48" s="3">
        <f t="shared" si="52"/>
        <v>-358.72926173541543</v>
      </c>
      <c r="V48" s="3">
        <f t="shared" si="52"/>
        <v>-377.54260158127732</v>
      </c>
      <c r="W48" s="3">
        <f t="shared" si="52"/>
        <v>-396.50900007948474</v>
      </c>
      <c r="X48" s="3">
        <f t="shared" si="52"/>
        <v>-415.62248662295713</v>
      </c>
      <c r="Y48" s="3">
        <f t="shared" si="52"/>
        <v>-434.87692601802559</v>
      </c>
      <c r="Z48" s="3">
        <f t="shared" si="52"/>
        <v>-454.26603229813884</v>
      </c>
      <c r="AA48" s="3">
        <f t="shared" si="52"/>
        <v>-473.78338278484517</v>
      </c>
      <c r="AB48" s="3">
        <f t="shared" si="52"/>
        <v>-476.84571609682416</v>
      </c>
      <c r="AC48" s="397">
        <f t="shared" si="47"/>
        <v>-4637.8475476140557</v>
      </c>
      <c r="AD48" s="3">
        <f t="shared" si="52"/>
        <v>-440.56762831653333</v>
      </c>
      <c r="AE48" s="3">
        <f t="shared" ref="AE48" si="53">SUM(AE49:AE58)</f>
        <v>-466.81485608909128</v>
      </c>
      <c r="AF48" s="3">
        <f t="shared" ref="AF48" si="54">SUM(AF49:AF58)</f>
        <v>-492.46121679192407</v>
      </c>
      <c r="AG48" s="3">
        <f t="shared" ref="AG48" si="55">SUM(AG49:AG58)</f>
        <v>-518.30321571012132</v>
      </c>
      <c r="AH48" s="3">
        <f t="shared" ref="AH48" si="56">SUM(AH49:AH58)</f>
        <v>-544.33338252435317</v>
      </c>
      <c r="AI48" s="3">
        <f t="shared" ref="AI48" si="57">SUM(AI49:AI58)</f>
        <v>-570.5440684230291</v>
      </c>
      <c r="AJ48" s="3">
        <f t="shared" ref="AJ48" si="58">SUM(AJ49:AJ58)</f>
        <v>-596.9274638771642</v>
      </c>
      <c r="AK48" s="3">
        <f t="shared" ref="AK48" si="59">SUM(AK49:AK58)</f>
        <v>-623.47561657017741</v>
      </c>
      <c r="AL48" s="3">
        <f t="shared" ref="AL48" si="60">SUM(AL49:AL58)</f>
        <v>-650.18044942668303</v>
      </c>
      <c r="AM48" s="3">
        <f t="shared" ref="AM48" si="61">SUM(AM49:AM58)</f>
        <v>-677.03377868477105</v>
      </c>
      <c r="AN48" s="3">
        <f t="shared" ref="AN48" si="62">SUM(AN49:AN58)</f>
        <v>-704.02733195691872</v>
      </c>
      <c r="AO48" s="3">
        <f t="shared" ref="AO48:AQ48" si="63">SUM(AO49:AO58)</f>
        <v>-706.9481228049076</v>
      </c>
      <c r="AP48" s="397">
        <f t="shared" si="48"/>
        <v>-6991.6171311756734</v>
      </c>
      <c r="AQ48" s="3">
        <f t="shared" si="63"/>
        <v>-676.54920310167154</v>
      </c>
      <c r="AR48" s="3">
        <f t="shared" ref="AR48" si="64">SUM(AR49:AR58)</f>
        <v>-715.27226069300855</v>
      </c>
      <c r="AS48" s="3">
        <f t="shared" ref="AS48" si="65">SUM(AS49:AS58)</f>
        <v>-753.00517683361193</v>
      </c>
      <c r="AT48" s="3">
        <f t="shared" ref="AT48" si="66">SUM(AT49:AT58)</f>
        <v>-790.99049012554201</v>
      </c>
      <c r="AU48" s="3">
        <f t="shared" ref="AU48" si="67">SUM(AU49:AU58)</f>
        <v>-829.21740511273924</v>
      </c>
      <c r="AV48" s="3">
        <f t="shared" ref="AV48" si="68">SUM(AV49:AV58)</f>
        <v>-867.67497868669079</v>
      </c>
      <c r="AW48" s="3">
        <f t="shared" ref="AW48" si="69">SUM(AW49:AW58)</f>
        <v>-906.35214490753151</v>
      </c>
      <c r="AX48" s="3">
        <f t="shared" ref="AX48" si="70">SUM(AX49:AX58)</f>
        <v>-945.23773963850817</v>
      </c>
      <c r="AY48" s="3">
        <f t="shared" ref="AY48" si="71">SUM(AY49:AY58)</f>
        <v>-984.32052492362322</v>
      </c>
      <c r="AZ48" s="3">
        <f t="shared" ref="AZ48" si="72">SUM(AZ49:AZ58)</f>
        <v>-1023.5892130405698</v>
      </c>
      <c r="BA48" s="3">
        <f t="shared" ref="BA48" si="73">SUM(BA49:BA58)</f>
        <v>-1063.0324901635872</v>
      </c>
      <c r="BB48" s="3">
        <f t="shared" ref="BB48:BD48" si="74">SUM(BB49:BB58)</f>
        <v>-1065.6941211364265</v>
      </c>
      <c r="BC48" s="397">
        <f t="shared" si="49"/>
        <v>-10620.93574836351</v>
      </c>
      <c r="BD48" s="3">
        <f t="shared" si="74"/>
        <v>-991.01349321856901</v>
      </c>
      <c r="BE48" s="3">
        <f t="shared" ref="BE48" si="75">SUM(BE49:BE58)</f>
        <v>-1046.1980426789439</v>
      </c>
      <c r="BF48" s="3">
        <f t="shared" ref="BF48" si="76">SUM(BF49:BF58)</f>
        <v>-1099.9762751127769</v>
      </c>
      <c r="BG48" s="3">
        <f t="shared" ref="BG48" si="77">SUM(BG49:BG58)</f>
        <v>-1154.0847658414507</v>
      </c>
      <c r="BH48" s="3">
        <f t="shared" ref="BH48" si="78">SUM(BH49:BH58)</f>
        <v>-1208.5082945728009</v>
      </c>
      <c r="BI48" s="3">
        <f t="shared" ref="BI48" si="79">SUM(BI49:BI58)</f>
        <v>-1263.2315626137824</v>
      </c>
      <c r="BJ48" s="3">
        <f t="shared" ref="BJ48" si="80">SUM(BJ49:BJ58)</f>
        <v>-1318.2392254954134</v>
      </c>
      <c r="BK48" s="3">
        <f t="shared" ref="BK48" si="81">SUM(BK49:BK58)</f>
        <v>-1373.5159248673478</v>
      </c>
      <c r="BL48" s="3">
        <f t="shared" ref="BL48" si="82">SUM(BL49:BL58)</f>
        <v>-1429.0463195853251</v>
      </c>
      <c r="BM48" s="3">
        <f t="shared" ref="BM48" si="83">SUM(BM49:BM58)</f>
        <v>-1484.8151159195318</v>
      </c>
      <c r="BN48" s="3">
        <f t="shared" ref="BN48" si="84">SUM(BN49:BN58)</f>
        <v>-1540.8070968169093</v>
      </c>
      <c r="BO48" s="3">
        <f t="shared" ref="BO48" si="85">SUM(BO49:BO58)</f>
        <v>-1542.6254878587999</v>
      </c>
      <c r="BP48" s="397">
        <f t="shared" si="50"/>
        <v>-15452.06160458165</v>
      </c>
      <c r="CE48" s="3" t="s">
        <v>1219</v>
      </c>
      <c r="CF48" s="12" t="s">
        <v>965</v>
      </c>
    </row>
    <row r="49" spans="1:84" s="5" customFormat="1" hidden="1" outlineLevel="1">
      <c r="A49" s="605" t="s">
        <v>530</v>
      </c>
      <c r="B49" s="12" t="s">
        <v>502</v>
      </c>
      <c r="D49" s="5">
        <f>[11]Пакет!D84</f>
        <v>-26.632347302399992</v>
      </c>
      <c r="E49" s="5">
        <f>[11]Пакет!E84</f>
        <v>-28.188237065855994</v>
      </c>
      <c r="F49" s="5">
        <f>[11]Пакет!F84</f>
        <v>-29.744126829311995</v>
      </c>
      <c r="G49" s="5">
        <f>[11]Пакет!G84</f>
        <v>-31.300016592767989</v>
      </c>
      <c r="H49" s="5">
        <f>[11]Пакет!H84</f>
        <v>-32.855906356223983</v>
      </c>
      <c r="I49" s="5">
        <f>[11]Пакет!I84</f>
        <v>-34.411796119679984</v>
      </c>
      <c r="J49" s="5">
        <f>[11]Пакет!J84</f>
        <v>-35.967685883135985</v>
      </c>
      <c r="K49" s="5">
        <f>[11]Пакет!K84</f>
        <v>-37.523575646591979</v>
      </c>
      <c r="L49" s="5">
        <f>[11]Пакет!L84</f>
        <v>-39.07946541004798</v>
      </c>
      <c r="M49" s="5">
        <f>[11]Пакет!M84</f>
        <v>-40.635355173503982</v>
      </c>
      <c r="N49" s="5">
        <f>[11]Пакет!N84</f>
        <v>-42.191244936959976</v>
      </c>
      <c r="O49" s="5">
        <f>[11]Пакет!O84</f>
        <v>-41.980989563520133</v>
      </c>
      <c r="P49" s="383">
        <f t="shared" si="46"/>
        <v>-420.51074688</v>
      </c>
      <c r="Q49" s="5">
        <f>[11]Пакет!Q84</f>
        <v>-38.047160407679989</v>
      </c>
      <c r="R49" s="5">
        <f>[11]Пакет!R84</f>
        <v>-40.269915568339187</v>
      </c>
      <c r="S49" s="5">
        <f>[11]Пакет!S84</f>
        <v>-42.492670728998384</v>
      </c>
      <c r="T49" s="5">
        <f>[11]Пакет!T84</f>
        <v>-44.715425889657588</v>
      </c>
      <c r="U49" s="5">
        <f>[11]Пакет!U84</f>
        <v>-46.938181050316778</v>
      </c>
      <c r="V49" s="5">
        <f>[11]Пакет!V84</f>
        <v>-49.160936210975976</v>
      </c>
      <c r="W49" s="5">
        <f>[11]Пакет!W84</f>
        <v>-51.383691371635173</v>
      </c>
      <c r="X49" s="5">
        <f>[11]Пакет!X84</f>
        <v>-53.60644653229437</v>
      </c>
      <c r="Y49" s="5">
        <f>[11]Пакет!Y84</f>
        <v>-55.829201692953568</v>
      </c>
      <c r="Z49" s="5">
        <f>[11]Пакет!Z84</f>
        <v>-58.051956853612765</v>
      </c>
      <c r="AA49" s="5">
        <f>[11]Пакет!AA84</f>
        <v>-60.274712014271962</v>
      </c>
      <c r="AB49" s="5">
        <f>[11]Пакет!AB84</f>
        <v>-59.974339695264199</v>
      </c>
      <c r="AC49" s="383">
        <f t="shared" si="47"/>
        <v>-600.74463801599995</v>
      </c>
      <c r="AD49" s="5">
        <f>[11]Пакет!AD84</f>
        <v>-51.96533487728</v>
      </c>
      <c r="AE49" s="5">
        <f>[11]Пакет!AE84</f>
        <v>-55.001204441163182</v>
      </c>
      <c r="AF49" s="5">
        <f>[11]Пакет!AF84</f>
        <v>-58.037074005046385</v>
      </c>
      <c r="AG49" s="5">
        <f>[11]Пакет!AG84</f>
        <v>-61.072943568929574</v>
      </c>
      <c r="AH49" s="5">
        <f>[11]Пакет!AH84</f>
        <v>-64.10881313281277</v>
      </c>
      <c r="AI49" s="5">
        <f>[11]Пакет!AI84</f>
        <v>-67.144682696695966</v>
      </c>
      <c r="AJ49" s="5">
        <f>[11]Пакет!AJ84</f>
        <v>-70.180552260579162</v>
      </c>
      <c r="AK49" s="5">
        <f>[11]Пакет!AK84</f>
        <v>-73.216421824462373</v>
      </c>
      <c r="AL49" s="5">
        <f>[11]Пакет!AL84</f>
        <v>-76.252291388345554</v>
      </c>
      <c r="AM49" s="5">
        <f>[11]Пакет!AM84</f>
        <v>-79.28816095222875</v>
      </c>
      <c r="AN49" s="5">
        <f>[11]Пакет!AN84</f>
        <v>-82.324030516111961</v>
      </c>
      <c r="AO49" s="5">
        <f>[11]Пакет!AO84</f>
        <v>-81.913777872344269</v>
      </c>
      <c r="AP49" s="383">
        <f t="shared" si="48"/>
        <v>-820.50528753599997</v>
      </c>
      <c r="AQ49" s="5">
        <f>[11]Пакет!AQ84</f>
        <v>-74.506559825487983</v>
      </c>
      <c r="AR49" s="5">
        <f>[11]Пакет!AR84</f>
        <v>-78.859311478450707</v>
      </c>
      <c r="AS49" s="5">
        <f>[11]Пакет!AS84</f>
        <v>-83.212063131413416</v>
      </c>
      <c r="AT49" s="5">
        <f>[11]Пакет!AT84</f>
        <v>-87.564814784376111</v>
      </c>
      <c r="AU49" s="5">
        <f>[11]Пакет!AU84</f>
        <v>-91.917566437338849</v>
      </c>
      <c r="AV49" s="5">
        <f>[11]Пакет!AV84</f>
        <v>-96.270318090301558</v>
      </c>
      <c r="AW49" s="5">
        <f>[11]Пакет!AW84</f>
        <v>-100.62306974326425</v>
      </c>
      <c r="AX49" s="5">
        <f>[11]Пакет!AX84</f>
        <v>-104.97582139622699</v>
      </c>
      <c r="AY49" s="5">
        <f>[11]Пакет!AY84</f>
        <v>-109.3285730491897</v>
      </c>
      <c r="AZ49" s="5">
        <f>[11]Пакет!AZ84</f>
        <v>-113.68132470215239</v>
      </c>
      <c r="BA49" s="5">
        <f>[11]Пакет!BA84</f>
        <v>-118.03407635511513</v>
      </c>
      <c r="BB49" s="5">
        <f>[11]Пакет!BB84</f>
        <v>-117.44586667228278</v>
      </c>
      <c r="BC49" s="383">
        <f t="shared" si="49"/>
        <v>-1176.4193656656</v>
      </c>
      <c r="BD49" s="5">
        <f>[11]Пакет!BD84</f>
        <v>-103.39934946505157</v>
      </c>
      <c r="BE49" s="5">
        <f>[11]Пакет!BE84</f>
        <v>-109.44004830222038</v>
      </c>
      <c r="BF49" s="5">
        <f>[11]Пакет!BF84</f>
        <v>-115.48074713938917</v>
      </c>
      <c r="BG49" s="5">
        <f>[11]Пакет!BG84</f>
        <v>-121.52144597655797</v>
      </c>
      <c r="BH49" s="5">
        <f>[11]Пакет!BH84</f>
        <v>-127.56214481372675</v>
      </c>
      <c r="BI49" s="5">
        <f>[11]Пакет!BI84</f>
        <v>-133.60284365089555</v>
      </c>
      <c r="BJ49" s="5">
        <f>[11]Пакет!BJ84</f>
        <v>-139.64354248806436</v>
      </c>
      <c r="BK49" s="5">
        <f>[11]Пакет!BK84</f>
        <v>-145.68424132523316</v>
      </c>
      <c r="BL49" s="5">
        <f>[11]Пакет!BL84</f>
        <v>-151.72494016240194</v>
      </c>
      <c r="BM49" s="5">
        <f>[11]Пакет!BM84</f>
        <v>-157.76563899957077</v>
      </c>
      <c r="BN49" s="5">
        <f>[11]Пакет!BN84</f>
        <v>-163.80633783673954</v>
      </c>
      <c r="BO49" s="5">
        <f>[11]Пакет!BO84</f>
        <v>-162.99002718306872</v>
      </c>
      <c r="BP49" s="383">
        <f t="shared" si="50"/>
        <v>-1632.6213073429199</v>
      </c>
      <c r="CE49" s="605" t="s">
        <v>989</v>
      </c>
      <c r="CF49" s="12" t="s">
        <v>965</v>
      </c>
    </row>
    <row r="50" spans="1:84" s="5" customFormat="1" hidden="1" outlineLevel="1">
      <c r="A50" s="605" t="s">
        <v>531</v>
      </c>
      <c r="B50" s="12" t="s">
        <v>502</v>
      </c>
      <c r="D50" s="5">
        <f>[11]Пакет!D85</f>
        <v>-1.4292693052287999</v>
      </c>
      <c r="E50" s="5">
        <f>[11]Пакет!E85</f>
        <v>-1.5127687225342719</v>
      </c>
      <c r="F50" s="5">
        <f>[11]Пакет!F85</f>
        <v>-1.5962681398397436</v>
      </c>
      <c r="G50" s="5">
        <f>[11]Пакет!G85</f>
        <v>-1.6797675571452153</v>
      </c>
      <c r="H50" s="5">
        <f>[11]Пакет!H85</f>
        <v>-1.7632669744506873</v>
      </c>
      <c r="I50" s="5">
        <f>[11]Пакет!I85</f>
        <v>-1.8467663917561592</v>
      </c>
      <c r="J50" s="5">
        <f>[11]Пакет!J85</f>
        <v>-1.9302658090616309</v>
      </c>
      <c r="K50" s="5">
        <f>[11]Пакет!K85</f>
        <v>-2.0137652263671031</v>
      </c>
      <c r="L50" s="5">
        <f>[11]Пакет!L85</f>
        <v>-2.0972646436725753</v>
      </c>
      <c r="M50" s="5">
        <f>[11]Пакет!M85</f>
        <v>-2.1807640609780465</v>
      </c>
      <c r="N50" s="5">
        <f>[11]Пакет!N85</f>
        <v>-2.2642634782835187</v>
      </c>
      <c r="O50" s="5">
        <f>[11]Пакет!O85</f>
        <v>-2.2529797732422474</v>
      </c>
      <c r="P50" s="383">
        <f t="shared" si="46"/>
        <v>-22.567410082559999</v>
      </c>
      <c r="Q50" s="5">
        <f>[11]Пакет!Q85</f>
        <v>-2.0862526290211196</v>
      </c>
      <c r="R50" s="5">
        <f>[11]Пакет!R85</f>
        <v>-2.2081337036639321</v>
      </c>
      <c r="S50" s="5">
        <f>[11]Пакет!S85</f>
        <v>-2.3300147783067451</v>
      </c>
      <c r="T50" s="5">
        <f>[11]Пакет!T85</f>
        <v>-2.4518958529495571</v>
      </c>
      <c r="U50" s="5">
        <f>[11]Пакет!U85</f>
        <v>-2.5737769275923701</v>
      </c>
      <c r="V50" s="5">
        <f>[11]Пакет!V85</f>
        <v>-2.6956580022351826</v>
      </c>
      <c r="W50" s="5">
        <f>[11]Пакет!W85</f>
        <v>-2.8175390768779951</v>
      </c>
      <c r="X50" s="5">
        <f>[11]Пакет!X85</f>
        <v>-2.939420151520808</v>
      </c>
      <c r="Y50" s="5">
        <f>[11]Пакет!Y85</f>
        <v>-3.0613012261636201</v>
      </c>
      <c r="Z50" s="5">
        <f>[11]Пакет!Z85</f>
        <v>-3.1831823008064335</v>
      </c>
      <c r="AA50" s="5">
        <f>[11]Пакет!AA85</f>
        <v>-3.305063375449246</v>
      </c>
      <c r="AB50" s="5">
        <f>[11]Пакет!AB85</f>
        <v>-3.2885929599569863</v>
      </c>
      <c r="AC50" s="383">
        <f t="shared" si="47"/>
        <v>-32.940830984543993</v>
      </c>
      <c r="AD50" s="5">
        <f>[11]Пакет!AD85</f>
        <v>-2.91005875312768</v>
      </c>
      <c r="AE50" s="5">
        <f>[11]Пакет!AE85</f>
        <v>-3.0800674487051385</v>
      </c>
      <c r="AF50" s="5">
        <f>[11]Пакет!AF85</f>
        <v>-3.2500761442825974</v>
      </c>
      <c r="AG50" s="5">
        <f>[11]Пакет!AG85</f>
        <v>-3.4200848398600558</v>
      </c>
      <c r="AH50" s="5">
        <f>[11]Пакет!AH85</f>
        <v>-3.5900935354375156</v>
      </c>
      <c r="AI50" s="5">
        <f>[11]Пакет!AI85</f>
        <v>-3.7601022310149745</v>
      </c>
      <c r="AJ50" s="5">
        <f>[11]Пакет!AJ85</f>
        <v>-3.930110926592433</v>
      </c>
      <c r="AK50" s="5">
        <f>[11]Пакет!AK85</f>
        <v>-4.1001196221698919</v>
      </c>
      <c r="AL50" s="5">
        <f>[11]Пакет!AL85</f>
        <v>-4.2701283177473508</v>
      </c>
      <c r="AM50" s="5">
        <f>[11]Пакет!AM85</f>
        <v>-4.4401370133248106</v>
      </c>
      <c r="AN50" s="5">
        <f>[11]Пакет!AN85</f>
        <v>-4.6101457089022695</v>
      </c>
      <c r="AO50" s="5">
        <f>[11]Пакет!AO85</f>
        <v>-4.5871715608512789</v>
      </c>
      <c r="AP50" s="383">
        <f t="shared" si="48"/>
        <v>-45.948296102015995</v>
      </c>
      <c r="AQ50" s="5">
        <f>[11]Пакет!AQ85</f>
        <v>-4.25929167002373</v>
      </c>
      <c r="AR50" s="5">
        <f>[11]Пакет!AR85</f>
        <v>-4.5081239728514317</v>
      </c>
      <c r="AS50" s="5">
        <f>[11]Пакет!AS85</f>
        <v>-4.7569562756791335</v>
      </c>
      <c r="AT50" s="5">
        <f>[11]Пакет!AT85</f>
        <v>-5.0057885785068352</v>
      </c>
      <c r="AU50" s="5">
        <f>[11]Пакет!AU85</f>
        <v>-5.2546208813345379</v>
      </c>
      <c r="AV50" s="5">
        <f>[11]Пакет!AV85</f>
        <v>-5.5034531841622387</v>
      </c>
      <c r="AW50" s="5">
        <f>[11]Пакет!AW85</f>
        <v>-5.7522854869899396</v>
      </c>
      <c r="AX50" s="5">
        <f>[11]Пакет!AX85</f>
        <v>-6.0011177898176422</v>
      </c>
      <c r="AY50" s="5">
        <f>[11]Пакет!AY85</f>
        <v>-6.249950092645344</v>
      </c>
      <c r="AZ50" s="5">
        <f>[11]Пакет!AZ85</f>
        <v>-6.4987823954730466</v>
      </c>
      <c r="BA50" s="5">
        <f>[11]Пакет!BA85</f>
        <v>-6.7476146983007483</v>
      </c>
      <c r="BB50" s="5">
        <f>[11]Пакет!BB85</f>
        <v>-6.7139887114321652</v>
      </c>
      <c r="BC50" s="383">
        <f t="shared" si="49"/>
        <v>-67.251973737216787</v>
      </c>
      <c r="BD50" s="5">
        <f>[11]Пакет!BD85</f>
        <v>-6.0316287187946749</v>
      </c>
      <c r="BE50" s="5">
        <f>[11]Пакет!BE85</f>
        <v>-6.384002817629522</v>
      </c>
      <c r="BF50" s="5">
        <f>[11]Пакет!BF85</f>
        <v>-6.7363769164643683</v>
      </c>
      <c r="BG50" s="5">
        <f>[11]Пакет!BG85</f>
        <v>-7.0887510152992146</v>
      </c>
      <c r="BH50" s="5">
        <f>[11]Пакет!BH85</f>
        <v>-7.4411251141340609</v>
      </c>
      <c r="BI50" s="5">
        <f>[11]Пакет!BI85</f>
        <v>-7.7934992129689062</v>
      </c>
      <c r="BJ50" s="5">
        <f>[11]Пакет!BJ85</f>
        <v>-8.1458733118037543</v>
      </c>
      <c r="BK50" s="5">
        <f>[11]Пакет!BK85</f>
        <v>-8.4982474106386015</v>
      </c>
      <c r="BL50" s="5">
        <f>[11]Пакет!BL85</f>
        <v>-8.8506215094734468</v>
      </c>
      <c r="BM50" s="5">
        <f>[11]Пакет!BM85</f>
        <v>-9.2029956083082922</v>
      </c>
      <c r="BN50" s="5">
        <f>[11]Пакет!BN85</f>
        <v>-9.5553697071431394</v>
      </c>
      <c r="BO50" s="5">
        <f>[11]Пакет!BO85</f>
        <v>-9.5077515856790082</v>
      </c>
      <c r="BP50" s="383">
        <f t="shared" si="50"/>
        <v>-95.236242928336978</v>
      </c>
      <c r="CE50" s="605" t="s">
        <v>990</v>
      </c>
      <c r="CF50" s="12" t="s">
        <v>965</v>
      </c>
    </row>
    <row r="51" spans="1:84" s="5" customFormat="1" hidden="1" outlineLevel="1">
      <c r="A51" s="605" t="s">
        <v>533</v>
      </c>
      <c r="B51" s="12" t="s">
        <v>502</v>
      </c>
      <c r="D51" s="5">
        <f>[11]Пакет!D86</f>
        <v>-18.376319638655996</v>
      </c>
      <c r="E51" s="5">
        <f>[11]Пакет!E86</f>
        <v>-19.449883575440637</v>
      </c>
      <c r="F51" s="5">
        <f>[11]Пакет!F86</f>
        <v>-20.523447512225275</v>
      </c>
      <c r="G51" s="5">
        <f>[11]Пакет!G86</f>
        <v>-21.597011449009916</v>
      </c>
      <c r="H51" s="5">
        <f>[11]Пакет!H86</f>
        <v>-22.67057538579455</v>
      </c>
      <c r="I51" s="5">
        <f>[11]Пакет!I86</f>
        <v>-23.744139322579191</v>
      </c>
      <c r="J51" s="5">
        <f>[11]Пакет!J86</f>
        <v>-24.817703259363828</v>
      </c>
      <c r="K51" s="5">
        <f>[11]Пакет!K86</f>
        <v>-25.891267196148466</v>
      </c>
      <c r="L51" s="5">
        <f>[11]Пакет!L86</f>
        <v>-26.964831132933107</v>
      </c>
      <c r="M51" s="5">
        <f>[11]Пакет!M86</f>
        <v>-28.038395069717748</v>
      </c>
      <c r="N51" s="5">
        <f>[11]Пакет!N86</f>
        <v>-29.111959006502385</v>
      </c>
      <c r="O51" s="5">
        <f>[11]Пакет!O86</f>
        <v>-28.966882798828891</v>
      </c>
      <c r="P51" s="383">
        <f t="shared" si="46"/>
        <v>-290.15241534719996</v>
      </c>
      <c r="Q51" s="5">
        <f>[11]Пакет!Q86</f>
        <v>-26.823248087414395</v>
      </c>
      <c r="R51" s="5">
        <f>[11]Пакет!R86</f>
        <v>-28.390290475679127</v>
      </c>
      <c r="S51" s="5">
        <f>[11]Пакет!S86</f>
        <v>-29.957332863943861</v>
      </c>
      <c r="T51" s="5">
        <f>[11]Пакет!T86</f>
        <v>-31.524375252208593</v>
      </c>
      <c r="U51" s="5">
        <f>[11]Пакет!U86</f>
        <v>-33.091417640473331</v>
      </c>
      <c r="V51" s="5">
        <f>[11]Пакет!V86</f>
        <v>-34.65846002873807</v>
      </c>
      <c r="W51" s="5">
        <f>[11]Пакет!W86</f>
        <v>-36.225502417002794</v>
      </c>
      <c r="X51" s="5">
        <f>[11]Пакет!X86</f>
        <v>-37.792544805267525</v>
      </c>
      <c r="Y51" s="5">
        <f>[11]Пакет!Y86</f>
        <v>-39.359587193532256</v>
      </c>
      <c r="Z51" s="5">
        <f>[11]Пакет!Z86</f>
        <v>-40.926629581796995</v>
      </c>
      <c r="AA51" s="5">
        <f>[11]Пакет!AA86</f>
        <v>-42.493671970061733</v>
      </c>
      <c r="AB51" s="5">
        <f>[11]Пакет!AB86</f>
        <v>-42.281909485161258</v>
      </c>
      <c r="AC51" s="383">
        <f t="shared" si="47"/>
        <v>-423.52496980127989</v>
      </c>
      <c r="AD51" s="5">
        <f>[11]Пакет!AD86</f>
        <v>-37.4150411116416</v>
      </c>
      <c r="AE51" s="5">
        <f>[11]Пакет!AE86</f>
        <v>-39.600867197637491</v>
      </c>
      <c r="AF51" s="5">
        <f>[11]Пакет!AF86</f>
        <v>-41.786693283633397</v>
      </c>
      <c r="AG51" s="5">
        <f>[11]Пакет!AG86</f>
        <v>-43.972519369629296</v>
      </c>
      <c r="AH51" s="5">
        <f>[11]Пакет!AH86</f>
        <v>-46.158345455625202</v>
      </c>
      <c r="AI51" s="5">
        <f>[11]Пакет!AI86</f>
        <v>-48.344171541621101</v>
      </c>
      <c r="AJ51" s="5">
        <f>[11]Пакет!AJ86</f>
        <v>-50.529997627617</v>
      </c>
      <c r="AK51" s="5">
        <f>[11]Пакет!AK86</f>
        <v>-52.715823713612899</v>
      </c>
      <c r="AL51" s="5">
        <f>[11]Пакет!AL86</f>
        <v>-54.901649799608798</v>
      </c>
      <c r="AM51" s="5">
        <f>[11]Пакет!AM86</f>
        <v>-57.087475885604704</v>
      </c>
      <c r="AN51" s="5">
        <f>[11]Пакет!AN86</f>
        <v>-59.27330197160061</v>
      </c>
      <c r="AO51" s="5">
        <f>[11]Пакет!AO86</f>
        <v>-58.977920068087876</v>
      </c>
      <c r="AP51" s="383">
        <f t="shared" si="48"/>
        <v>-590.76380702591996</v>
      </c>
      <c r="AQ51" s="5">
        <f>[11]Пакет!AQ86</f>
        <v>-54.762321471733664</v>
      </c>
      <c r="AR51" s="5">
        <f>[11]Пакет!AR86</f>
        <v>-57.961593936661259</v>
      </c>
      <c r="AS51" s="5">
        <f>[11]Пакет!AS86</f>
        <v>-61.160866401588862</v>
      </c>
      <c r="AT51" s="5">
        <f>[11]Пакет!AT86</f>
        <v>-64.360138866516451</v>
      </c>
      <c r="AU51" s="5">
        <f>[11]Пакет!AU86</f>
        <v>-67.559411331444039</v>
      </c>
      <c r="AV51" s="5">
        <f>[11]Пакет!AV86</f>
        <v>-70.758683796371656</v>
      </c>
      <c r="AW51" s="5">
        <f>[11]Пакет!AW86</f>
        <v>-73.957956261299245</v>
      </c>
      <c r="AX51" s="5">
        <f>[11]Пакет!AX86</f>
        <v>-77.157228726226833</v>
      </c>
      <c r="AY51" s="5">
        <f>[11]Пакет!AY86</f>
        <v>-80.356501191154436</v>
      </c>
      <c r="AZ51" s="5">
        <f>[11]Пакет!AZ86</f>
        <v>-83.555773656082025</v>
      </c>
      <c r="BA51" s="5">
        <f>[11]Пакет!BA86</f>
        <v>-86.755046121009613</v>
      </c>
      <c r="BB51" s="5">
        <f>[11]Пакет!BB86</f>
        <v>-86.322712004127837</v>
      </c>
      <c r="BC51" s="383">
        <f t="shared" si="49"/>
        <v>-864.66823376421598</v>
      </c>
      <c r="BD51" s="5">
        <f>[11]Пакет!BD86</f>
        <v>-77.549512098788682</v>
      </c>
      <c r="BE51" s="5">
        <f>[11]Пакет!BE86</f>
        <v>-82.080036226665271</v>
      </c>
      <c r="BF51" s="5">
        <f>[11]Пакет!BF86</f>
        <v>-86.610560354541875</v>
      </c>
      <c r="BG51" s="5">
        <f>[11]Пакет!BG86</f>
        <v>-91.141084482418478</v>
      </c>
      <c r="BH51" s="5">
        <f>[11]Пакет!BH86</f>
        <v>-95.671608610295053</v>
      </c>
      <c r="BI51" s="5">
        <f>[11]Пакет!BI86</f>
        <v>-100.20213273817167</v>
      </c>
      <c r="BJ51" s="5">
        <f>[11]Пакет!BJ86</f>
        <v>-104.73265686604826</v>
      </c>
      <c r="BK51" s="5">
        <f>[11]Пакет!BK86</f>
        <v>-109.26318099392486</v>
      </c>
      <c r="BL51" s="5">
        <f>[11]Пакет!BL86</f>
        <v>-113.79370512180145</v>
      </c>
      <c r="BM51" s="5">
        <f>[11]Пакет!BM86</f>
        <v>-118.32422924967805</v>
      </c>
      <c r="BN51" s="5">
        <f>[11]Пакет!BN86</f>
        <v>-122.85475337755466</v>
      </c>
      <c r="BO51" s="5">
        <f>[11]Пакет!BO86</f>
        <v>-122.24252038730154</v>
      </c>
      <c r="BP51" s="383">
        <f t="shared" si="50"/>
        <v>-1224.4659805071899</v>
      </c>
      <c r="CE51" s="605" t="s">
        <v>991</v>
      </c>
      <c r="CF51" s="12" t="s">
        <v>965</v>
      </c>
    </row>
    <row r="52" spans="1:84" s="5" customFormat="1" hidden="1" outlineLevel="1">
      <c r="A52" s="605" t="s">
        <v>632</v>
      </c>
      <c r="B52" s="12" t="s">
        <v>502</v>
      </c>
      <c r="D52" s="5">
        <f>[11]Пакет!D87</f>
        <v>-0.70842043824383982</v>
      </c>
      <c r="E52" s="5">
        <f>[11]Пакет!E87</f>
        <v>-1.4571649135382436</v>
      </c>
      <c r="F52" s="5">
        <f>[11]Пакет!F87</f>
        <v>-2.2454443573708658</v>
      </c>
      <c r="G52" s="5">
        <f>[11]Пакет!G87</f>
        <v>-3.0724111878450673</v>
      </c>
      <c r="H52" s="5">
        <f>[11]Пакет!H87</f>
        <v>-3.9371610633570899</v>
      </c>
      <c r="I52" s="5">
        <f>[11]Пакет!I87</f>
        <v>-4.8387347764188284</v>
      </c>
      <c r="J52" s="5">
        <f>[11]Пакет!J87</f>
        <v>-5.7761202818045696</v>
      </c>
      <c r="K52" s="5">
        <f>[11]Пакет!K87</f>
        <v>-6.7482548527357968</v>
      </c>
      <c r="L52" s="5">
        <f>[11]Пакет!L87</f>
        <v>-7.7540273583793926</v>
      </c>
      <c r="M52" s="5">
        <f>[11]Пакет!M87</f>
        <v>-8.7922806555235127</v>
      </c>
      <c r="N52" s="5">
        <f>[11]Пакет!N87</f>
        <v>-9.8618140869135047</v>
      </c>
      <c r="O52" s="5">
        <f>[11]Пакет!O87</f>
        <v>-10.914406617738202</v>
      </c>
      <c r="P52" s="383">
        <f t="shared" si="46"/>
        <v>-66.106240589868918</v>
      </c>
      <c r="Q52" s="5">
        <f>[11]Пакет!Q87</f>
        <v>-12.018735982732373</v>
      </c>
      <c r="R52" s="5">
        <f>[11]Пакет!R87</f>
        <v>-13.178305175999338</v>
      </c>
      <c r="S52" s="5">
        <f>[11]Пакет!S87</f>
        <v>-14.391567949547925</v>
      </c>
      <c r="T52" s="5">
        <f>[11]Пакет!T87</f>
        <v>-15.656908338752475</v>
      </c>
      <c r="U52" s="5">
        <f>[11]Пакет!U87</f>
        <v>-16.972644382298537</v>
      </c>
      <c r="V52" s="5">
        <f>[11]Пакет!V87</f>
        <v>-18.337031981080656</v>
      </c>
      <c r="W52" s="5">
        <f>[11]Пакет!W87</f>
        <v>-19.748268883502927</v>
      </c>
      <c r="X52" s="5">
        <f>[11]Пакет!X87</f>
        <v>-21.204498784278343</v>
      </c>
      <c r="Y52" s="5">
        <f>[11]Пакет!Y87</f>
        <v>-22.703815523522607</v>
      </c>
      <c r="Z52" s="5">
        <f>[11]Пакет!Z87</f>
        <v>-24.244267372692548</v>
      </c>
      <c r="AA52" s="5">
        <f>[11]Пакет!AA87</f>
        <v>-25.82386139372981</v>
      </c>
      <c r="AB52" s="5">
        <f>[11]Пакет!AB87</f>
        <v>-27.36226680151789</v>
      </c>
      <c r="AC52" s="383">
        <f t="shared" si="47"/>
        <v>-231.64217256965543</v>
      </c>
      <c r="AD52" s="5">
        <f>[11]Пакет!AD87</f>
        <v>-28.849594543412351</v>
      </c>
      <c r="AE52" s="5">
        <f>[11]Пакет!AE87</f>
        <v>-30.410834401256206</v>
      </c>
      <c r="AF52" s="5">
        <f>[11]Пакет!AF87</f>
        <v>-32.043464277684265</v>
      </c>
      <c r="AG52" s="5">
        <f>[11]Пакет!AG87</f>
        <v>-33.744887777569204</v>
      </c>
      <c r="AH52" s="5">
        <f>[11]Пакет!AH87</f>
        <v>-35.512440366682767</v>
      </c>
      <c r="AI52" s="5">
        <f>[11]Пакет!AI87</f>
        <v>-37.343395620641999</v>
      </c>
      <c r="AJ52" s="5">
        <f>[11]Пакет!AJ87</f>
        <v>-39.234971544220272</v>
      </c>
      <c r="AK52" s="5">
        <f>[11]Пакет!AK87</f>
        <v>-41.184336941114893</v>
      </c>
      <c r="AL52" s="5">
        <f>[11]Пакет!AL87</f>
        <v>-43.188617814355929</v>
      </c>
      <c r="AM52" s="5">
        <f>[11]Пакет!AM87</f>
        <v>-45.244903777710412</v>
      </c>
      <c r="AN52" s="5">
        <f>[11]Пакет!AN87</f>
        <v>-47.350254458683061</v>
      </c>
      <c r="AO52" s="5">
        <f>[11]Пакет!AO87</f>
        <v>-49.379483406403239</v>
      </c>
      <c r="AP52" s="383">
        <f t="shared" si="48"/>
        <v>-463.48718492973467</v>
      </c>
      <c r="AQ52" s="5">
        <f>[11]Пакет!AQ87</f>
        <v>-51.41408495871854</v>
      </c>
      <c r="AR52" s="5">
        <f>[11]Пакет!AR87</f>
        <v>-53.557996830013707</v>
      </c>
      <c r="AS52" s="5">
        <f>[11]Пакет!AS87</f>
        <v>-55.806998212356838</v>
      </c>
      <c r="AT52" s="5">
        <f>[11]Пакет!AT87</f>
        <v>-58.156790858900116</v>
      </c>
      <c r="AU52" s="5">
        <f>[11]Пакет!AU87</f>
        <v>-60.603009151713039</v>
      </c>
      <c r="AV52" s="5">
        <f>[11]Пакет!AV87</f>
        <v>-63.141230146754232</v>
      </c>
      <c r="AW52" s="5">
        <f>[11]Пакет!AW87</f>
        <v>-65.766983566281894</v>
      </c>
      <c r="AX52" s="5">
        <f>[11]Пакет!AX87</f>
        <v>-68.475761709750032</v>
      </c>
      <c r="AY52" s="5">
        <f>[11]Пакет!AY87</f>
        <v>-71.263029255088441</v>
      </c>
      <c r="AZ52" s="5">
        <f>[11]Пакет!AZ87</f>
        <v>-74.124232923209732</v>
      </c>
      <c r="BA52" s="5">
        <f>[11]Пакет!BA87</f>
        <v>-77.054810979621763</v>
      </c>
      <c r="BB52" s="5">
        <f>[11]Пакет!BB87</f>
        <v>-79.853058190845118</v>
      </c>
      <c r="BC52" s="383">
        <f t="shared" si="49"/>
        <v>-779.21798678325342</v>
      </c>
      <c r="BD52" s="5">
        <f>[11]Пакет!BD87</f>
        <v>-82.440769562357929</v>
      </c>
      <c r="BE52" s="5">
        <f>[11]Пакет!BE87</f>
        <v>-85.190372079916244</v>
      </c>
      <c r="BF52" s="5">
        <f>[11]Пакет!BF87</f>
        <v>-88.09506886235134</v>
      </c>
      <c r="BG52" s="5">
        <f>[11]Пакет!BG87</f>
        <v>-91.148000309126431</v>
      </c>
      <c r="BH52" s="5">
        <f>[11]Пакет!BH87</f>
        <v>-94.342259387521892</v>
      </c>
      <c r="BI52" s="5">
        <f>[11]Пакет!BI87</f>
        <v>-97.670906656221405</v>
      </c>
      <c r="BJ52" s="5">
        <f>[11]Пакет!BJ87</f>
        <v>-101.12698498681806</v>
      </c>
      <c r="BK52" s="5">
        <f>[11]Пакет!BK87</f>
        <v>-104.70353394677907</v>
      </c>
      <c r="BL52" s="5">
        <f>[11]Пакет!BL87</f>
        <v>-108.3936038095223</v>
      </c>
      <c r="BM52" s="5">
        <f>[11]Пакет!BM87</f>
        <v>-112.19026915945568</v>
      </c>
      <c r="BN52" s="5">
        <f>[11]Пакет!BN87</f>
        <v>-116.08664206210079</v>
      </c>
      <c r="BO52" s="5">
        <f>[11]Пакет!BO87</f>
        <v>-119.77189068432276</v>
      </c>
      <c r="BP52" s="383">
        <f t="shared" si="50"/>
        <v>-1201.1603015064939</v>
      </c>
      <c r="CE52" s="605" t="s">
        <v>992</v>
      </c>
      <c r="CF52" s="12" t="s">
        <v>965</v>
      </c>
    </row>
    <row r="53" spans="1:84" s="5" customFormat="1" hidden="1" outlineLevel="1">
      <c r="A53" s="605" t="s">
        <v>631</v>
      </c>
      <c r="B53" s="12" t="s">
        <v>502</v>
      </c>
      <c r="D53" s="5">
        <f>[11]Пакет!D88</f>
        <v>0</v>
      </c>
      <c r="E53" s="5">
        <f>[11]Пакет!E88</f>
        <v>0</v>
      </c>
      <c r="F53" s="5">
        <f>[11]Пакет!F88</f>
        <v>0</v>
      </c>
      <c r="G53" s="5">
        <f>[11]Пакет!G88</f>
        <v>0</v>
      </c>
      <c r="H53" s="5">
        <f>[11]Пакет!H88</f>
        <v>0</v>
      </c>
      <c r="I53" s="5">
        <f>[11]Пакет!I88</f>
        <v>0</v>
      </c>
      <c r="J53" s="5">
        <f>[11]Пакет!J88</f>
        <v>0</v>
      </c>
      <c r="K53" s="5">
        <f>[11]Пакет!K88</f>
        <v>0</v>
      </c>
      <c r="L53" s="5">
        <f>[11]Пакет!L88</f>
        <v>0</v>
      </c>
      <c r="M53" s="5">
        <f>[11]Пакет!M88</f>
        <v>0</v>
      </c>
      <c r="N53" s="5">
        <f>[11]Пакет!N88</f>
        <v>0</v>
      </c>
      <c r="O53" s="5">
        <f>[11]Пакет!O88</f>
        <v>0</v>
      </c>
      <c r="P53" s="383">
        <f t="shared" si="46"/>
        <v>0</v>
      </c>
      <c r="Q53" s="5">
        <f>[11]Пакет!Q88</f>
        <v>0</v>
      </c>
      <c r="R53" s="5">
        <f>[11]Пакет!R88</f>
        <v>0</v>
      </c>
      <c r="S53" s="5">
        <f>[11]Пакет!S88</f>
        <v>0</v>
      </c>
      <c r="T53" s="5">
        <f>[11]Пакет!T88</f>
        <v>0</v>
      </c>
      <c r="U53" s="5">
        <f>[11]Пакет!U88</f>
        <v>0</v>
      </c>
      <c r="V53" s="5">
        <f>[11]Пакет!V88</f>
        <v>0</v>
      </c>
      <c r="W53" s="5">
        <f>[11]Пакет!W88</f>
        <v>0</v>
      </c>
      <c r="X53" s="5">
        <f>[11]Пакет!X88</f>
        <v>0</v>
      </c>
      <c r="Y53" s="5">
        <f>[11]Пакет!Y88</f>
        <v>0</v>
      </c>
      <c r="Z53" s="5">
        <f>[11]Пакет!Z88</f>
        <v>0</v>
      </c>
      <c r="AA53" s="5">
        <f>[11]Пакет!AA88</f>
        <v>0</v>
      </c>
      <c r="AB53" s="5">
        <f>[11]Пакет!AB88</f>
        <v>0</v>
      </c>
      <c r="AC53" s="383">
        <f t="shared" si="47"/>
        <v>0</v>
      </c>
      <c r="AD53" s="5">
        <f>[11]Пакет!AD88</f>
        <v>0</v>
      </c>
      <c r="AE53" s="5">
        <f>[11]Пакет!AE88</f>
        <v>0</v>
      </c>
      <c r="AF53" s="5">
        <f>[11]Пакет!AF88</f>
        <v>0</v>
      </c>
      <c r="AG53" s="5">
        <f>[11]Пакет!AG88</f>
        <v>0</v>
      </c>
      <c r="AH53" s="5">
        <f>[11]Пакет!AH88</f>
        <v>0</v>
      </c>
      <c r="AI53" s="5">
        <f>[11]Пакет!AI88</f>
        <v>0</v>
      </c>
      <c r="AJ53" s="5">
        <f>[11]Пакет!AJ88</f>
        <v>0</v>
      </c>
      <c r="AK53" s="5">
        <f>[11]Пакет!AK88</f>
        <v>0</v>
      </c>
      <c r="AL53" s="5">
        <f>[11]Пакет!AL88</f>
        <v>0</v>
      </c>
      <c r="AM53" s="5">
        <f>[11]Пакет!AM88</f>
        <v>0</v>
      </c>
      <c r="AN53" s="5">
        <f>[11]Пакет!AN88</f>
        <v>0</v>
      </c>
      <c r="AO53" s="5">
        <f>[11]Пакет!AO88</f>
        <v>0</v>
      </c>
      <c r="AP53" s="383">
        <f t="shared" si="48"/>
        <v>0</v>
      </c>
      <c r="AQ53" s="5">
        <f>[11]Пакет!AQ88</f>
        <v>0</v>
      </c>
      <c r="AR53" s="5">
        <f>[11]Пакет!AR88</f>
        <v>0</v>
      </c>
      <c r="AS53" s="5">
        <f>[11]Пакет!AS88</f>
        <v>0</v>
      </c>
      <c r="AT53" s="5">
        <f>[11]Пакет!AT88</f>
        <v>0</v>
      </c>
      <c r="AU53" s="5">
        <f>[11]Пакет!AU88</f>
        <v>0</v>
      </c>
      <c r="AV53" s="5">
        <f>[11]Пакет!AV88</f>
        <v>0</v>
      </c>
      <c r="AW53" s="5">
        <f>[11]Пакет!AW88</f>
        <v>0</v>
      </c>
      <c r="AX53" s="5">
        <f>[11]Пакет!AX88</f>
        <v>0</v>
      </c>
      <c r="AY53" s="5">
        <f>[11]Пакет!AY88</f>
        <v>0</v>
      </c>
      <c r="AZ53" s="5">
        <f>[11]Пакет!AZ88</f>
        <v>0</v>
      </c>
      <c r="BA53" s="5">
        <f>[11]Пакет!BA88</f>
        <v>0</v>
      </c>
      <c r="BB53" s="5">
        <f>[11]Пакет!BB88</f>
        <v>0</v>
      </c>
      <c r="BC53" s="383">
        <f t="shared" si="49"/>
        <v>0</v>
      </c>
      <c r="BD53" s="5">
        <f>[11]Пакет!BD88</f>
        <v>0</v>
      </c>
      <c r="BE53" s="5">
        <f>[11]Пакет!BE88</f>
        <v>0</v>
      </c>
      <c r="BF53" s="5">
        <f>[11]Пакет!BF88</f>
        <v>0</v>
      </c>
      <c r="BG53" s="5">
        <f>[11]Пакет!BG88</f>
        <v>0</v>
      </c>
      <c r="BH53" s="5">
        <f>[11]Пакет!BH88</f>
        <v>0</v>
      </c>
      <c r="BI53" s="5">
        <f>[11]Пакет!BI88</f>
        <v>0</v>
      </c>
      <c r="BJ53" s="5">
        <f>[11]Пакет!BJ88</f>
        <v>0</v>
      </c>
      <c r="BK53" s="5">
        <f>[11]Пакет!BK88</f>
        <v>0</v>
      </c>
      <c r="BL53" s="5">
        <f>[11]Пакет!BL88</f>
        <v>0</v>
      </c>
      <c r="BM53" s="5">
        <f>[11]Пакет!BM88</f>
        <v>0</v>
      </c>
      <c r="BN53" s="5">
        <f>[11]Пакет!BN88</f>
        <v>0</v>
      </c>
      <c r="BO53" s="5">
        <f>[11]Пакет!BO88</f>
        <v>0</v>
      </c>
      <c r="BP53" s="383">
        <f t="shared" si="50"/>
        <v>0</v>
      </c>
      <c r="CE53" s="605" t="s">
        <v>993</v>
      </c>
      <c r="CF53" s="12" t="s">
        <v>965</v>
      </c>
    </row>
    <row r="54" spans="1:84" s="5" customFormat="1" hidden="1" outlineLevel="1">
      <c r="A54" s="605" t="s">
        <v>630</v>
      </c>
      <c r="B54" s="12" t="s">
        <v>502</v>
      </c>
      <c r="D54" s="5">
        <f>[11]Пакет!D89</f>
        <v>0</v>
      </c>
      <c r="E54" s="5">
        <f>[11]Пакет!E89</f>
        <v>0</v>
      </c>
      <c r="F54" s="5">
        <f>[11]Пакет!F89</f>
        <v>0</v>
      </c>
      <c r="G54" s="5">
        <f>[11]Пакет!G89</f>
        <v>0</v>
      </c>
      <c r="H54" s="5">
        <f>[11]Пакет!H89</f>
        <v>0</v>
      </c>
      <c r="I54" s="5">
        <f>[11]Пакет!I89</f>
        <v>0</v>
      </c>
      <c r="J54" s="5">
        <f>[11]Пакет!J89</f>
        <v>0</v>
      </c>
      <c r="K54" s="5">
        <f>[11]Пакет!K89</f>
        <v>0</v>
      </c>
      <c r="L54" s="5">
        <f>[11]Пакет!L89</f>
        <v>0</v>
      </c>
      <c r="M54" s="5">
        <f>[11]Пакет!M89</f>
        <v>0</v>
      </c>
      <c r="N54" s="5">
        <f>[11]Пакет!N89</f>
        <v>0</v>
      </c>
      <c r="O54" s="5">
        <f>[11]Пакет!O89</f>
        <v>0</v>
      </c>
      <c r="P54" s="383">
        <f t="shared" si="46"/>
        <v>0</v>
      </c>
      <c r="Q54" s="5">
        <f>[11]Пакет!Q89</f>
        <v>0</v>
      </c>
      <c r="R54" s="5">
        <f>[11]Пакет!R89</f>
        <v>0</v>
      </c>
      <c r="S54" s="5">
        <f>[11]Пакет!S89</f>
        <v>0</v>
      </c>
      <c r="T54" s="5">
        <f>[11]Пакет!T89</f>
        <v>0</v>
      </c>
      <c r="U54" s="5">
        <f>[11]Пакет!U89</f>
        <v>0</v>
      </c>
      <c r="V54" s="5">
        <f>[11]Пакет!V89</f>
        <v>0</v>
      </c>
      <c r="W54" s="5">
        <f>[11]Пакет!W89</f>
        <v>0</v>
      </c>
      <c r="X54" s="5">
        <f>[11]Пакет!X89</f>
        <v>0</v>
      </c>
      <c r="Y54" s="5">
        <f>[11]Пакет!Y89</f>
        <v>0</v>
      </c>
      <c r="Z54" s="5">
        <f>[11]Пакет!Z89</f>
        <v>0</v>
      </c>
      <c r="AA54" s="5">
        <f>[11]Пакет!AA89</f>
        <v>0</v>
      </c>
      <c r="AB54" s="5">
        <f>[11]Пакет!AB89</f>
        <v>0</v>
      </c>
      <c r="AC54" s="383">
        <f t="shared" si="47"/>
        <v>0</v>
      </c>
      <c r="AD54" s="5">
        <f>[11]Пакет!AD89</f>
        <v>0</v>
      </c>
      <c r="AE54" s="5">
        <f>[11]Пакет!AE89</f>
        <v>0</v>
      </c>
      <c r="AF54" s="5">
        <f>[11]Пакет!AF89</f>
        <v>0</v>
      </c>
      <c r="AG54" s="5">
        <f>[11]Пакет!AG89</f>
        <v>0</v>
      </c>
      <c r="AH54" s="5">
        <f>[11]Пакет!AH89</f>
        <v>0</v>
      </c>
      <c r="AI54" s="5">
        <f>[11]Пакет!AI89</f>
        <v>0</v>
      </c>
      <c r="AJ54" s="5">
        <f>[11]Пакет!AJ89</f>
        <v>0</v>
      </c>
      <c r="AK54" s="5">
        <f>[11]Пакет!AK89</f>
        <v>0</v>
      </c>
      <c r="AL54" s="5">
        <f>[11]Пакет!AL89</f>
        <v>0</v>
      </c>
      <c r="AM54" s="5">
        <f>[11]Пакет!AM89</f>
        <v>0</v>
      </c>
      <c r="AN54" s="5">
        <f>[11]Пакет!AN89</f>
        <v>0</v>
      </c>
      <c r="AO54" s="5">
        <f>[11]Пакет!AO89</f>
        <v>0</v>
      </c>
      <c r="AP54" s="383">
        <f t="shared" si="48"/>
        <v>0</v>
      </c>
      <c r="AQ54" s="5">
        <f>[11]Пакет!AQ89</f>
        <v>0</v>
      </c>
      <c r="AR54" s="5">
        <f>[11]Пакет!AR89</f>
        <v>0</v>
      </c>
      <c r="AS54" s="5">
        <f>[11]Пакет!AS89</f>
        <v>0</v>
      </c>
      <c r="AT54" s="5">
        <f>[11]Пакет!AT89</f>
        <v>0</v>
      </c>
      <c r="AU54" s="5">
        <f>[11]Пакет!AU89</f>
        <v>0</v>
      </c>
      <c r="AV54" s="5">
        <f>[11]Пакет!AV89</f>
        <v>0</v>
      </c>
      <c r="AW54" s="5">
        <f>[11]Пакет!AW89</f>
        <v>0</v>
      </c>
      <c r="AX54" s="5">
        <f>[11]Пакет!AX89</f>
        <v>0</v>
      </c>
      <c r="AY54" s="5">
        <f>[11]Пакет!AY89</f>
        <v>0</v>
      </c>
      <c r="AZ54" s="5">
        <f>[11]Пакет!AZ89</f>
        <v>0</v>
      </c>
      <c r="BA54" s="5">
        <f>[11]Пакет!BA89</f>
        <v>0</v>
      </c>
      <c r="BB54" s="5">
        <f>[11]Пакет!BB89</f>
        <v>0</v>
      </c>
      <c r="BC54" s="383">
        <f t="shared" si="49"/>
        <v>0</v>
      </c>
      <c r="BD54" s="5">
        <f>[11]Пакет!BD89</f>
        <v>0</v>
      </c>
      <c r="BE54" s="5">
        <f>[11]Пакет!BE89</f>
        <v>0</v>
      </c>
      <c r="BF54" s="5">
        <f>[11]Пакет!BF89</f>
        <v>0</v>
      </c>
      <c r="BG54" s="5">
        <f>[11]Пакет!BG89</f>
        <v>0</v>
      </c>
      <c r="BH54" s="5">
        <f>[11]Пакет!BH89</f>
        <v>0</v>
      </c>
      <c r="BI54" s="5">
        <f>[11]Пакет!BI89</f>
        <v>0</v>
      </c>
      <c r="BJ54" s="5">
        <f>[11]Пакет!BJ89</f>
        <v>0</v>
      </c>
      <c r="BK54" s="5">
        <f>[11]Пакет!BK89</f>
        <v>0</v>
      </c>
      <c r="BL54" s="5">
        <f>[11]Пакет!BL89</f>
        <v>0</v>
      </c>
      <c r="BM54" s="5">
        <f>[11]Пакет!BM89</f>
        <v>0</v>
      </c>
      <c r="BN54" s="5">
        <f>[11]Пакет!BN89</f>
        <v>0</v>
      </c>
      <c r="BO54" s="5">
        <f>[11]Пакет!BO89</f>
        <v>0</v>
      </c>
      <c r="BP54" s="383">
        <f t="shared" si="50"/>
        <v>0</v>
      </c>
      <c r="CE54" s="605" t="s">
        <v>994</v>
      </c>
      <c r="CF54" s="12" t="s">
        <v>965</v>
      </c>
    </row>
    <row r="55" spans="1:84" s="5" customFormat="1" hidden="1" outlineLevel="1">
      <c r="A55" s="605" t="s">
        <v>629</v>
      </c>
      <c r="B55" s="12" t="s">
        <v>502</v>
      </c>
      <c r="D55" s="5">
        <f>[11]Пакет!D90</f>
        <v>-1.4231660589719999</v>
      </c>
      <c r="E55" s="5">
        <f>[11]Пакет!E90</f>
        <v>-3.4549812021674136</v>
      </c>
      <c r="F55" s="5">
        <f>[11]Пакет!F90</f>
        <v>-5.5965890329997015</v>
      </c>
      <c r="G55" s="5">
        <f>[11]Пакет!G90</f>
        <v>-7.8457266318527994</v>
      </c>
      <c r="H55" s="5">
        <f>[11]Пакет!H90</f>
        <v>-10.199972703374256</v>
      </c>
      <c r="I55" s="5">
        <f>[11]Пакет!I90</f>
        <v>-12.656752621371506</v>
      </c>
      <c r="J55" s="5">
        <f>[11]Пакет!J90</f>
        <v>-15.213343850524634</v>
      </c>
      <c r="K55" s="5">
        <f>[11]Пакет!K90</f>
        <v>-17.866881728169648</v>
      </c>
      <c r="L55" s="5">
        <f>[11]Пакет!L90</f>
        <v>-20.614365588167743</v>
      </c>
      <c r="M55" s="5">
        <f>[11]Пакет!M90</f>
        <v>-23.452665207710922</v>
      </c>
      <c r="N55" s="5">
        <f>[11]Пакет!N90</f>
        <v>-26.378527556827752</v>
      </c>
      <c r="O55" s="5">
        <f>[11]Пакет!O90</f>
        <v>-29.2942054485973</v>
      </c>
      <c r="P55" s="383">
        <f t="shared" si="46"/>
        <v>-173.99717763073568</v>
      </c>
      <c r="Q55" s="5">
        <f>[11]Пакет!Q90</f>
        <v>-25.841320994018542</v>
      </c>
      <c r="R55" s="5">
        <f>[11]Пакет!R90</f>
        <v>-28.774762499623225</v>
      </c>
      <c r="S55" s="5">
        <f>[11]Пакет!S90</f>
        <v>-31.458228386322155</v>
      </c>
      <c r="T55" s="5">
        <f>[11]Пакет!T90</f>
        <v>-34.259466103244186</v>
      </c>
      <c r="U55" s="5">
        <f>[11]Пакет!U90</f>
        <v>-37.174760517611304</v>
      </c>
      <c r="V55" s="5">
        <f>[11]Пакет!V90</f>
        <v>-40.200254527173612</v>
      </c>
      <c r="W55" s="5">
        <f>[11]Пакет!W90</f>
        <v>-43.331957885441184</v>
      </c>
      <c r="X55" s="5">
        <f>[11]Пакет!X90</f>
        <v>-46.565756290620662</v>
      </c>
      <c r="Y55" s="5">
        <f>[11]Пакет!Y90</f>
        <v>-49.897420708927321</v>
      </c>
      <c r="Z55" s="5">
        <f>[11]Пакет!Z90</f>
        <v>-53.322616902353069</v>
      </c>
      <c r="AA55" s="5">
        <f>[11]Пакет!AA90</f>
        <v>-56.836915130504657</v>
      </c>
      <c r="AB55" s="5">
        <f>[11]Пакет!AB90</f>
        <v>-60.309959012736925</v>
      </c>
      <c r="AC55" s="383">
        <f t="shared" si="47"/>
        <v>-507.97341895857676</v>
      </c>
      <c r="AD55" s="5">
        <f>[11]Пакет!AD90</f>
        <v>-50.940035498458386</v>
      </c>
      <c r="AE55" s="5">
        <f>[11]Пакет!AE90</f>
        <v>-54.548992987652802</v>
      </c>
      <c r="AF55" s="5">
        <f>[11]Пакет!AF90</f>
        <v>-57.485693388537818</v>
      </c>
      <c r="AG55" s="5">
        <f>[11]Пакет!AG90</f>
        <v>-60.549238381330426</v>
      </c>
      <c r="AH55" s="5">
        <f>[11]Пакет!AH90</f>
        <v>-63.734822180928994</v>
      </c>
      <c r="AI55" s="5">
        <f>[11]Пакет!AI90</f>
        <v>-67.037522400125837</v>
      </c>
      <c r="AJ55" s="5">
        <f>[11]Пакет!AJ90</f>
        <v>-70.452311505162996</v>
      </c>
      <c r="AK55" s="5">
        <f>[11]Пакет!AK90</f>
        <v>-73.97406837576186</v>
      </c>
      <c r="AL55" s="5">
        <f>[11]Пакет!AL90</f>
        <v>-77.597589933506612</v>
      </c>
      <c r="AM55" s="5">
        <f>[11]Пакет!AM90</f>
        <v>-81.317602802720515</v>
      </c>
      <c r="AN55" s="5">
        <f>[11]Пакет!AN90</f>
        <v>-85.128774968375694</v>
      </c>
      <c r="AO55" s="5">
        <f>[11]Пакет!AO90</f>
        <v>-88.86858422344234</v>
      </c>
      <c r="AP55" s="383">
        <f t="shared" si="48"/>
        <v>-831.63523664600427</v>
      </c>
      <c r="AQ55" s="5">
        <f>[11]Пакет!AQ90</f>
        <v>-74.059766153702043</v>
      </c>
      <c r="AR55" s="5">
        <f>[11]Пакет!AR90</f>
        <v>-78.44450973121404</v>
      </c>
      <c r="AS55" s="5">
        <f>[11]Пакет!AS90</f>
        <v>-81.734022346944386</v>
      </c>
      <c r="AT55" s="5">
        <f>[11]Пакет!AT90</f>
        <v>-85.175140849801494</v>
      </c>
      <c r="AU55" s="5">
        <f>[11]Пакет!AU90</f>
        <v>-88.761435401655746</v>
      </c>
      <c r="AV55" s="5">
        <f>[11]Пакет!AV90</f>
        <v>-92.486385838036128</v>
      </c>
      <c r="AW55" s="5">
        <f>[11]Пакет!AW90</f>
        <v>-96.343396496819409</v>
      </c>
      <c r="AX55" s="5">
        <f>[11]Пакет!AX90</f>
        <v>-100.32581094179804</v>
      </c>
      <c r="AY55" s="5">
        <f>[11]Пакет!AY90</f>
        <v>-104.4269265390447</v>
      </c>
      <c r="AZ55" s="5">
        <f>[11]Пакет!AZ90</f>
        <v>-108.64000884534013</v>
      </c>
      <c r="BA55" s="5">
        <f>[11]Пакет!BA90</f>
        <v>-112.95830576941567</v>
      </c>
      <c r="BB55" s="5">
        <f>[11]Пакет!BB90</f>
        <v>-117.17228441515387</v>
      </c>
      <c r="BC55" s="383">
        <f t="shared" si="49"/>
        <v>-1140.5279933289257</v>
      </c>
      <c r="BD55" s="5">
        <f>[11]Пакет!BD90</f>
        <v>-96.887830355556289</v>
      </c>
      <c r="BE55" s="5">
        <f>[11]Пакет!BE90</f>
        <v>-101.90329142659787</v>
      </c>
      <c r="BF55" s="5">
        <f>[11]Пакет!BF90</f>
        <v>-105.35734120622064</v>
      </c>
      <c r="BG55" s="5">
        <f>[11]Пакет!BG90</f>
        <v>-108.99341461634437</v>
      </c>
      <c r="BH55" s="5">
        <f>[11]Пакет!BH90</f>
        <v>-112.80319839752411</v>
      </c>
      <c r="BI55" s="5">
        <f>[11]Пакет!BI90</f>
        <v>-116.77833329803136</v>
      </c>
      <c r="BJ55" s="5">
        <f>[11]Пакет!BJ90</f>
        <v>-120.9104319772902</v>
      </c>
      <c r="BK55" s="5">
        <f>[11]Пакет!BK90</f>
        <v>-125.19109651748869</v>
      </c>
      <c r="BL55" s="5">
        <f>[11]Пакет!BL90</f>
        <v>-129.61193550094765</v>
      </c>
      <c r="BM55" s="5">
        <f>[11]Пакет!BM90</f>
        <v>-134.16458061344568</v>
      </c>
      <c r="BN55" s="5">
        <f>[11]Пакет!BN90</f>
        <v>-138.84070273640327</v>
      </c>
      <c r="BO55" s="5">
        <f>[11]Пакет!BO90</f>
        <v>-143.38188378738781</v>
      </c>
      <c r="BP55" s="383">
        <f t="shared" si="50"/>
        <v>-1434.824040433238</v>
      </c>
      <c r="CE55" s="605" t="s">
        <v>995</v>
      </c>
      <c r="CF55" s="12" t="s">
        <v>965</v>
      </c>
    </row>
    <row r="56" spans="1:84" s="5" customFormat="1" hidden="1" outlineLevel="1">
      <c r="A56" s="605" t="s">
        <v>536</v>
      </c>
      <c r="B56" s="12" t="s">
        <v>502</v>
      </c>
      <c r="D56" s="5">
        <f>[11]Пакет!D91</f>
        <v>-44.387245503999992</v>
      </c>
      <c r="E56" s="5">
        <f>[11]Пакет!E91</f>
        <v>-46.980395109759996</v>
      </c>
      <c r="F56" s="5">
        <f>[11]Пакет!F91</f>
        <v>-49.573544715519986</v>
      </c>
      <c r="G56" s="5">
        <f>[11]Пакет!G91</f>
        <v>-52.166694321279984</v>
      </c>
      <c r="H56" s="5">
        <f>[11]Пакет!H91</f>
        <v>-54.759843927039974</v>
      </c>
      <c r="I56" s="5">
        <f>[11]Пакет!I91</f>
        <v>-57.352993532799971</v>
      </c>
      <c r="J56" s="5">
        <f>[11]Пакет!J91</f>
        <v>-59.946143138559975</v>
      </c>
      <c r="K56" s="5">
        <f>[11]Пакет!K91</f>
        <v>-62.539292744319965</v>
      </c>
      <c r="L56" s="5">
        <f>[11]Пакет!L91</f>
        <v>-65.13244235007997</v>
      </c>
      <c r="M56" s="5">
        <f>[11]Пакет!M91</f>
        <v>-67.72559195583996</v>
      </c>
      <c r="N56" s="5">
        <f>[11]Пакет!N91</f>
        <v>-70.318741561599964</v>
      </c>
      <c r="O56" s="5">
        <f>[11]Пакет!O91</f>
        <v>-69.968315939200224</v>
      </c>
      <c r="P56" s="383">
        <f t="shared" si="46"/>
        <v>-700.8512447999999</v>
      </c>
      <c r="Q56" s="5">
        <f>[11]Пакет!Q91</f>
        <v>-63.411934012799996</v>
      </c>
      <c r="R56" s="5">
        <f>[11]Пакет!R91</f>
        <v>-67.116525947231978</v>
      </c>
      <c r="S56" s="5">
        <f>[11]Пакет!S91</f>
        <v>-70.82111788166398</v>
      </c>
      <c r="T56" s="5">
        <f>[11]Пакет!T91</f>
        <v>-74.525709816095983</v>
      </c>
      <c r="U56" s="5">
        <f>[11]Пакет!U91</f>
        <v>-78.230301750527971</v>
      </c>
      <c r="V56" s="5">
        <f>[11]Пакет!V91</f>
        <v>-81.93489368495996</v>
      </c>
      <c r="W56" s="5">
        <f>[11]Пакет!W91</f>
        <v>-85.639485619391948</v>
      </c>
      <c r="X56" s="5">
        <f>[11]Пакет!X91</f>
        <v>-89.344077553823951</v>
      </c>
      <c r="Y56" s="5">
        <f>[11]Пакет!Y91</f>
        <v>-93.048669488255939</v>
      </c>
      <c r="Z56" s="5">
        <f>[11]Пакет!Z91</f>
        <v>-96.753261422687928</v>
      </c>
      <c r="AA56" s="5">
        <f>[11]Пакет!AA91</f>
        <v>-100.45785335711993</v>
      </c>
      <c r="AB56" s="5">
        <f>[11]Пакет!AB91</f>
        <v>-99.957232825440329</v>
      </c>
      <c r="AC56" s="383">
        <f t="shared" si="47"/>
        <v>-1001.2410633599999</v>
      </c>
      <c r="AD56" s="5">
        <f>[11]Пакет!AD91</f>
        <v>-86.608891462133315</v>
      </c>
      <c r="AE56" s="5">
        <f>[11]Пакет!AE91</f>
        <v>-91.668674068605299</v>
      </c>
      <c r="AF56" s="5">
        <f>[11]Пакет!AF91</f>
        <v>-96.728456675077311</v>
      </c>
      <c r="AG56" s="5">
        <f>[11]Пакет!AG91</f>
        <v>-101.78823928154929</v>
      </c>
      <c r="AH56" s="5">
        <f>[11]Пакет!AH91</f>
        <v>-106.84802188802129</v>
      </c>
      <c r="AI56" s="5">
        <f>[11]Пакет!AI91</f>
        <v>-111.90780449449329</v>
      </c>
      <c r="AJ56" s="5">
        <f>[11]Пакет!AJ91</f>
        <v>-116.96758710096528</v>
      </c>
      <c r="AK56" s="5">
        <f>[11]Пакет!AK91</f>
        <v>-122.02736970743727</v>
      </c>
      <c r="AL56" s="5">
        <f>[11]Пакет!AL91</f>
        <v>-127.08715231390926</v>
      </c>
      <c r="AM56" s="5">
        <f>[11]Пакет!AM91</f>
        <v>-132.14693492038126</v>
      </c>
      <c r="AN56" s="5">
        <f>[11]Пакет!AN91</f>
        <v>-137.20671752685325</v>
      </c>
      <c r="AO56" s="5">
        <f>[11]Пакет!AO91</f>
        <v>-136.52296312057379</v>
      </c>
      <c r="AP56" s="383">
        <f t="shared" si="48"/>
        <v>-1367.50881256</v>
      </c>
      <c r="AQ56" s="5">
        <f>[11]Пакет!AQ91</f>
        <v>-124.17759970914665</v>
      </c>
      <c r="AR56" s="5">
        <f>[11]Пакет!AR91</f>
        <v>-131.43218579741784</v>
      </c>
      <c r="AS56" s="5">
        <f>[11]Пакет!AS91</f>
        <v>-138.68677188568901</v>
      </c>
      <c r="AT56" s="5">
        <f>[11]Пакет!AT91</f>
        <v>-145.94135797396018</v>
      </c>
      <c r="AU56" s="5">
        <f>[11]Пакет!AU91</f>
        <v>-153.1959440622314</v>
      </c>
      <c r="AV56" s="5">
        <f>[11]Пакет!AV91</f>
        <v>-160.4505301505026</v>
      </c>
      <c r="AW56" s="5">
        <f>[11]Пакет!AW91</f>
        <v>-167.70511623877377</v>
      </c>
      <c r="AX56" s="5">
        <f>[11]Пакет!AX91</f>
        <v>-174.95970232704497</v>
      </c>
      <c r="AY56" s="5">
        <f>[11]Пакет!AY91</f>
        <v>-182.21428841531616</v>
      </c>
      <c r="AZ56" s="5">
        <f>[11]Пакет!AZ91</f>
        <v>-189.46887450358733</v>
      </c>
      <c r="BA56" s="5">
        <f>[11]Пакет!BA91</f>
        <v>-196.72346059185853</v>
      </c>
      <c r="BB56" s="5">
        <f>[11]Пакет!BB91</f>
        <v>-195.7431111204713</v>
      </c>
      <c r="BC56" s="383">
        <f t="shared" si="49"/>
        <v>-1960.6989427759997</v>
      </c>
      <c r="BD56" s="5">
        <f>[11]Пакет!BD91</f>
        <v>-172.33224910841929</v>
      </c>
      <c r="BE56" s="5">
        <f>[11]Пакет!BE91</f>
        <v>-182.40008050370062</v>
      </c>
      <c r="BF56" s="5">
        <f>[11]Пакет!BF91</f>
        <v>-192.46791189898195</v>
      </c>
      <c r="BG56" s="5">
        <f>[11]Пакет!BG91</f>
        <v>-202.53574329426328</v>
      </c>
      <c r="BH56" s="5">
        <f>[11]Пакет!BH91</f>
        <v>-212.60357468954459</v>
      </c>
      <c r="BI56" s="5">
        <f>[11]Пакет!BI91</f>
        <v>-222.67140608482595</v>
      </c>
      <c r="BJ56" s="5">
        <f>[11]Пакет!BJ91</f>
        <v>-232.73923748010725</v>
      </c>
      <c r="BK56" s="5">
        <f>[11]Пакет!BK91</f>
        <v>-242.80706887538858</v>
      </c>
      <c r="BL56" s="5">
        <f>[11]Пакет!BL91</f>
        <v>-252.87490027066991</v>
      </c>
      <c r="BM56" s="5">
        <f>[11]Пакет!BM91</f>
        <v>-262.94273166595127</v>
      </c>
      <c r="BN56" s="5">
        <f>[11]Пакет!BN91</f>
        <v>-273.01056306123257</v>
      </c>
      <c r="BO56" s="5">
        <f>[11]Пакет!BO91</f>
        <v>-271.65004530511453</v>
      </c>
      <c r="BP56" s="383">
        <f t="shared" si="50"/>
        <v>-2721.0355122381998</v>
      </c>
      <c r="CE56" s="605" t="s">
        <v>996</v>
      </c>
      <c r="CF56" s="12" t="s">
        <v>965</v>
      </c>
    </row>
    <row r="57" spans="1:84" s="5" customFormat="1" hidden="1" outlineLevel="1">
      <c r="A57" s="605" t="s">
        <v>534</v>
      </c>
      <c r="B57" s="12" t="s">
        <v>502</v>
      </c>
      <c r="D57" s="5">
        <f>[11]Пакет!D92</f>
        <v>-46.60660777919999</v>
      </c>
      <c r="E57" s="5">
        <f>[11]Пакет!E92</f>
        <v>-49.32941486524799</v>
      </c>
      <c r="F57" s="5">
        <f>[11]Пакет!F92</f>
        <v>-52.052221951295977</v>
      </c>
      <c r="G57" s="5">
        <f>[11]Пакет!G92</f>
        <v>-54.77502903734397</v>
      </c>
      <c r="H57" s="5">
        <f>[11]Пакет!H92</f>
        <v>-57.497836123391963</v>
      </c>
      <c r="I57" s="5">
        <f>[11]Пакет!I92</f>
        <v>-60.220643209439977</v>
      </c>
      <c r="J57" s="5">
        <f>[11]Пакет!J92</f>
        <v>-62.943450295487956</v>
      </c>
      <c r="K57" s="5">
        <f>[11]Пакет!K92</f>
        <v>-65.666257381535956</v>
      </c>
      <c r="L57" s="5">
        <f>[11]Пакет!L92</f>
        <v>-68.389064467583964</v>
      </c>
      <c r="M57" s="5">
        <f>[11]Пакет!M92</f>
        <v>-71.111871553631943</v>
      </c>
      <c r="N57" s="5">
        <f>[11]Пакет!N92</f>
        <v>-73.83467863967995</v>
      </c>
      <c r="O57" s="5">
        <f>[11]Пакет!O92</f>
        <v>-73.466731736160227</v>
      </c>
      <c r="P57" s="383">
        <f t="shared" si="46"/>
        <v>-735.89380703999984</v>
      </c>
      <c r="Q57" s="5">
        <f>[11]Пакет!Q92</f>
        <v>-77.679619165679981</v>
      </c>
      <c r="R57" s="5">
        <f>[11]Пакет!R92</f>
        <v>-82.217744285359174</v>
      </c>
      <c r="S57" s="5">
        <f>[11]Пакет!S92</f>
        <v>-86.755869405038354</v>
      </c>
      <c r="T57" s="5">
        <f>[11]Пакет!T92</f>
        <v>-91.293994524717533</v>
      </c>
      <c r="U57" s="5">
        <f>[11]Пакет!U92</f>
        <v>-95.832119644396755</v>
      </c>
      <c r="V57" s="5">
        <f>[11]Пакет!V92</f>
        <v>-100.37024476407592</v>
      </c>
      <c r="W57" s="5">
        <f>[11]Пакет!W92</f>
        <v>-104.90836988375513</v>
      </c>
      <c r="X57" s="5">
        <f>[11]Пакет!X92</f>
        <v>-109.44649500343432</v>
      </c>
      <c r="Y57" s="5">
        <f>[11]Пакет!Y92</f>
        <v>-113.98462012311352</v>
      </c>
      <c r="Z57" s="5">
        <f>[11]Пакет!Z92</f>
        <v>-118.52274524279271</v>
      </c>
      <c r="AA57" s="5">
        <f>[11]Пакет!AA92</f>
        <v>-123.0608703624719</v>
      </c>
      <c r="AB57" s="5">
        <f>[11]Пакет!AB92</f>
        <v>-122.44761021116437</v>
      </c>
      <c r="AC57" s="383">
        <f t="shared" si="47"/>
        <v>-1226.5203026159995</v>
      </c>
      <c r="AD57" s="5">
        <f>[11]Пакет!AD92</f>
        <v>-121.25244804698664</v>
      </c>
      <c r="AE57" s="5">
        <f>[11]Пакет!AE92</f>
        <v>-128.33614369604743</v>
      </c>
      <c r="AF57" s="5">
        <f>[11]Пакет!AF92</f>
        <v>-135.41983934510822</v>
      </c>
      <c r="AG57" s="5">
        <f>[11]Пакет!AG92</f>
        <v>-142.503534994169</v>
      </c>
      <c r="AH57" s="5">
        <f>[11]Пакет!AH92</f>
        <v>-149.58723064322979</v>
      </c>
      <c r="AI57" s="5">
        <f>[11]Пакет!AI92</f>
        <v>-156.6709262922906</v>
      </c>
      <c r="AJ57" s="5">
        <f>[11]Пакет!AJ92</f>
        <v>-163.75462194135136</v>
      </c>
      <c r="AK57" s="5">
        <f>[11]Пакет!AK92</f>
        <v>-170.83831759041215</v>
      </c>
      <c r="AL57" s="5">
        <f>[11]Пакет!AL92</f>
        <v>-177.92201323947296</v>
      </c>
      <c r="AM57" s="5">
        <f>[11]Пакет!AM92</f>
        <v>-185.00570888853375</v>
      </c>
      <c r="AN57" s="5">
        <f>[11]Пакет!AN92</f>
        <v>-192.08940453759453</v>
      </c>
      <c r="AO57" s="5">
        <f>[11]Пакет!AO92</f>
        <v>-191.13214836880323</v>
      </c>
      <c r="AP57" s="383">
        <f t="shared" si="48"/>
        <v>-1914.5123375839996</v>
      </c>
      <c r="AQ57" s="5">
        <f>[11]Пакет!AQ92</f>
        <v>-195.57971954190594</v>
      </c>
      <c r="AR57" s="5">
        <f>[11]Пакет!AR92</f>
        <v>-207.00569263093305</v>
      </c>
      <c r="AS57" s="5">
        <f>[11]Пакет!AS92</f>
        <v>-218.43166571996019</v>
      </c>
      <c r="AT57" s="5">
        <f>[11]Пакет!AT92</f>
        <v>-229.85763880898725</v>
      </c>
      <c r="AU57" s="5">
        <f>[11]Пакет!AU92</f>
        <v>-241.28361189801441</v>
      </c>
      <c r="AV57" s="5">
        <f>[11]Пакет!AV92</f>
        <v>-252.70958498704155</v>
      </c>
      <c r="AW57" s="5">
        <f>[11]Пакет!AW92</f>
        <v>-264.13555807606866</v>
      </c>
      <c r="AX57" s="5">
        <f>[11]Пакет!AX92</f>
        <v>-275.5615311650958</v>
      </c>
      <c r="AY57" s="5">
        <f>[11]Пакет!AY92</f>
        <v>-286.98750425412294</v>
      </c>
      <c r="AZ57" s="5">
        <f>[11]Пакет!AZ92</f>
        <v>-298.41347734315002</v>
      </c>
      <c r="BA57" s="5">
        <f>[11]Пакет!BA92</f>
        <v>-309.83945043217716</v>
      </c>
      <c r="BB57" s="5">
        <f>[11]Пакет!BB92</f>
        <v>-308.29540001474226</v>
      </c>
      <c r="BC57" s="383">
        <f t="shared" si="49"/>
        <v>-3088.1008348721998</v>
      </c>
      <c r="BD57" s="5">
        <f>[11]Пакет!BD92</f>
        <v>-301.58143593973369</v>
      </c>
      <c r="BE57" s="5">
        <f>[11]Пакет!BE92</f>
        <v>-319.20014088147599</v>
      </c>
      <c r="BF57" s="5">
        <f>[11]Пакет!BF92</f>
        <v>-336.81884582321834</v>
      </c>
      <c r="BG57" s="5">
        <f>[11]Пакет!BG92</f>
        <v>-354.43755076496069</v>
      </c>
      <c r="BH57" s="5">
        <f>[11]Пакет!BH92</f>
        <v>-372.05625570670293</v>
      </c>
      <c r="BI57" s="5">
        <f>[11]Пакет!BI92</f>
        <v>-389.67496064844522</v>
      </c>
      <c r="BJ57" s="5">
        <f>[11]Пакет!BJ92</f>
        <v>-407.29366559018763</v>
      </c>
      <c r="BK57" s="5">
        <f>[11]Пакет!BK92</f>
        <v>-424.91237053192998</v>
      </c>
      <c r="BL57" s="5">
        <f>[11]Пакет!BL92</f>
        <v>-442.53107547367227</v>
      </c>
      <c r="BM57" s="5">
        <f>[11]Пакет!BM92</f>
        <v>-460.14978041541457</v>
      </c>
      <c r="BN57" s="5">
        <f>[11]Пакет!BN92</f>
        <v>-477.76848535715681</v>
      </c>
      <c r="BO57" s="5">
        <f>[11]Пакет!BO92</f>
        <v>-475.38757928395034</v>
      </c>
      <c r="BP57" s="383">
        <f t="shared" si="50"/>
        <v>-4761.8121464168489</v>
      </c>
      <c r="CE57" s="605" t="s">
        <v>997</v>
      </c>
      <c r="CF57" s="12" t="s">
        <v>965</v>
      </c>
    </row>
    <row r="58" spans="1:84" s="5" customFormat="1" hidden="1" outlineLevel="1">
      <c r="A58" s="605" t="s">
        <v>535</v>
      </c>
      <c r="B58" s="12" t="s">
        <v>502</v>
      </c>
      <c r="D58" s="5">
        <f>[11]Пакет!D93</f>
        <v>-23.303303889599995</v>
      </c>
      <c r="E58" s="5">
        <f>[11]Пакет!E93</f>
        <v>-24.664707432623995</v>
      </c>
      <c r="F58" s="5">
        <f>[11]Пакет!F93</f>
        <v>-26.026110975647988</v>
      </c>
      <c r="G58" s="5">
        <f>[11]Пакет!G93</f>
        <v>-27.387514518671985</v>
      </c>
      <c r="H58" s="5">
        <f>[11]Пакет!H93</f>
        <v>-28.748918061695981</v>
      </c>
      <c r="I58" s="5">
        <f>[11]Пакет!I93</f>
        <v>-30.110321604719989</v>
      </c>
      <c r="J58" s="5">
        <f>[11]Пакет!J93</f>
        <v>-31.471725147743978</v>
      </c>
      <c r="K58" s="5">
        <f>[11]Пакет!K93</f>
        <v>-32.833128690767978</v>
      </c>
      <c r="L58" s="5">
        <f>[11]Пакет!L93</f>
        <v>-34.194532233791982</v>
      </c>
      <c r="M58" s="5">
        <f>[11]Пакет!M93</f>
        <v>-35.555935776815971</v>
      </c>
      <c r="N58" s="5">
        <f>[11]Пакет!N93</f>
        <v>-36.917339319839975</v>
      </c>
      <c r="O58" s="5">
        <f>[11]Пакет!O93</f>
        <v>-36.733365868080114</v>
      </c>
      <c r="P58" s="383">
        <f t="shared" si="46"/>
        <v>-367.94690351999992</v>
      </c>
      <c r="Q58" s="5">
        <f>[11]Пакет!Q93</f>
        <v>-38.83980958283999</v>
      </c>
      <c r="R58" s="5">
        <f>[11]Пакет!R93</f>
        <v>-41.108872142679587</v>
      </c>
      <c r="S58" s="5">
        <f>[11]Пакет!S93</f>
        <v>-43.377934702519177</v>
      </c>
      <c r="T58" s="5">
        <f>[11]Пакет!T93</f>
        <v>-45.646997262358767</v>
      </c>
      <c r="U58" s="5">
        <f>[11]Пакет!U93</f>
        <v>-47.916059822198378</v>
      </c>
      <c r="V58" s="5">
        <f>[11]Пакет!V93</f>
        <v>-50.18512238203796</v>
      </c>
      <c r="W58" s="5">
        <f>[11]Пакет!W93</f>
        <v>-52.454184941877564</v>
      </c>
      <c r="X58" s="5">
        <f>[11]Пакет!X93</f>
        <v>-54.723247501717161</v>
      </c>
      <c r="Y58" s="5">
        <f>[11]Пакет!Y93</f>
        <v>-56.992310061556758</v>
      </c>
      <c r="Z58" s="5">
        <f>[11]Пакет!Z93</f>
        <v>-59.261372621396355</v>
      </c>
      <c r="AA58" s="5">
        <f>[11]Пакет!AA93</f>
        <v>-61.530435181235951</v>
      </c>
      <c r="AB58" s="5">
        <f>[11]Пакет!AB93</f>
        <v>-61.223805105582187</v>
      </c>
      <c r="AC58" s="383">
        <f t="shared" si="47"/>
        <v>-613.26015130799976</v>
      </c>
      <c r="AD58" s="5">
        <f>[11]Пакет!AD93</f>
        <v>-60.626224023493322</v>
      </c>
      <c r="AE58" s="5">
        <f>[11]Пакет!AE93</f>
        <v>-64.168071848023715</v>
      </c>
      <c r="AF58" s="5">
        <f>[11]Пакет!AF93</f>
        <v>-67.709919672554108</v>
      </c>
      <c r="AG58" s="5">
        <f>[11]Пакет!AG93</f>
        <v>-71.251767497084501</v>
      </c>
      <c r="AH58" s="5">
        <f>[11]Пакет!AH93</f>
        <v>-74.793615321614894</v>
      </c>
      <c r="AI58" s="5">
        <f>[11]Пакет!AI93</f>
        <v>-78.335463146145301</v>
      </c>
      <c r="AJ58" s="5">
        <f>[11]Пакет!AJ93</f>
        <v>-81.87731097067568</v>
      </c>
      <c r="AK58" s="5">
        <f>[11]Пакет!AK93</f>
        <v>-85.419158795206073</v>
      </c>
      <c r="AL58" s="5">
        <f>[11]Пакет!AL93</f>
        <v>-88.96100661973648</v>
      </c>
      <c r="AM58" s="5">
        <f>[11]Пакет!AM93</f>
        <v>-92.502854444266873</v>
      </c>
      <c r="AN58" s="5">
        <f>[11]Пакет!AN93</f>
        <v>-96.044702268797266</v>
      </c>
      <c r="AO58" s="5">
        <f>[11]Пакет!AO93</f>
        <v>-95.566074184401614</v>
      </c>
      <c r="AP58" s="383">
        <f t="shared" si="48"/>
        <v>-957.25616879199981</v>
      </c>
      <c r="AQ58" s="5">
        <f>[11]Пакет!AQ93</f>
        <v>-97.789859770952972</v>
      </c>
      <c r="AR58" s="5">
        <f>[11]Пакет!AR93</f>
        <v>-103.50284631546653</v>
      </c>
      <c r="AS58" s="5">
        <f>[11]Пакет!AS93</f>
        <v>-109.2158328599801</v>
      </c>
      <c r="AT58" s="5">
        <f>[11]Пакет!AT93</f>
        <v>-114.92881940449362</v>
      </c>
      <c r="AU58" s="5">
        <f>[11]Пакет!AU93</f>
        <v>-120.64180594900721</v>
      </c>
      <c r="AV58" s="5">
        <f>[11]Пакет!AV93</f>
        <v>-126.35479249352078</v>
      </c>
      <c r="AW58" s="5">
        <f>[11]Пакет!AW93</f>
        <v>-132.06777903803433</v>
      </c>
      <c r="AX58" s="5">
        <f>[11]Пакет!AX93</f>
        <v>-137.7807655825479</v>
      </c>
      <c r="AY58" s="5">
        <f>[11]Пакет!AY93</f>
        <v>-143.49375212706147</v>
      </c>
      <c r="AZ58" s="5">
        <f>[11]Пакет!AZ93</f>
        <v>-149.20673867157501</v>
      </c>
      <c r="BA58" s="5">
        <f>[11]Пакет!BA93</f>
        <v>-154.91972521608858</v>
      </c>
      <c r="BB58" s="5">
        <f>[11]Пакет!BB93</f>
        <v>-154.14770000737113</v>
      </c>
      <c r="BC58" s="383">
        <f t="shared" si="49"/>
        <v>-1544.0504174360999</v>
      </c>
      <c r="BD58" s="5">
        <f>[11]Пакет!BD93</f>
        <v>-150.79071796986685</v>
      </c>
      <c r="BE58" s="5">
        <f>[11]Пакет!BE93</f>
        <v>-159.60007044073799</v>
      </c>
      <c r="BF58" s="5">
        <f>[11]Пакет!BF93</f>
        <v>-168.40942291160917</v>
      </c>
      <c r="BG58" s="5">
        <f>[11]Пакет!BG93</f>
        <v>-177.21877538248035</v>
      </c>
      <c r="BH58" s="5">
        <f>[11]Пакет!BH93</f>
        <v>-186.02812785335146</v>
      </c>
      <c r="BI58" s="5">
        <f>[11]Пакет!BI93</f>
        <v>-194.83748032422261</v>
      </c>
      <c r="BJ58" s="5">
        <f>[11]Пакет!BJ93</f>
        <v>-203.64683279509381</v>
      </c>
      <c r="BK58" s="5">
        <f>[11]Пакет!BK93</f>
        <v>-212.45618526596499</v>
      </c>
      <c r="BL58" s="5">
        <f>[11]Пакет!BL93</f>
        <v>-221.26553773683614</v>
      </c>
      <c r="BM58" s="5">
        <f>[11]Пакет!BM93</f>
        <v>-230.07489020770728</v>
      </c>
      <c r="BN58" s="5">
        <f>[11]Пакет!BN93</f>
        <v>-238.8842426785784</v>
      </c>
      <c r="BO58" s="5">
        <f>[11]Пакет!BO93</f>
        <v>-237.69378964197517</v>
      </c>
      <c r="BP58" s="383">
        <f t="shared" si="50"/>
        <v>-2380.9060732084245</v>
      </c>
      <c r="CE58" s="605" t="s">
        <v>998</v>
      </c>
      <c r="CF58" s="12" t="s">
        <v>965</v>
      </c>
    </row>
    <row r="59" spans="1:84">
      <c r="B59" s="12"/>
      <c r="P59" s="349"/>
      <c r="AC59" s="349"/>
      <c r="AP59" s="349"/>
      <c r="BC59" s="349"/>
      <c r="BP59" s="349"/>
      <c r="CF59" s="12"/>
    </row>
    <row r="60" spans="1:84">
      <c r="B60" s="12"/>
      <c r="P60" s="349"/>
      <c r="AC60" s="349"/>
      <c r="AP60" s="349"/>
      <c r="BC60" s="349"/>
      <c r="BP60" s="349"/>
      <c r="CF60" s="12"/>
    </row>
    <row r="61" spans="1:84" s="301" customFormat="1" ht="15.6" collapsed="1">
      <c r="A61" s="301" t="s">
        <v>844</v>
      </c>
      <c r="B61" s="12" t="s">
        <v>502</v>
      </c>
      <c r="D61" s="301">
        <f>SUM(D62:D72)</f>
        <v>2946.125</v>
      </c>
      <c r="E61" s="301">
        <f t="shared" ref="E61:P61" si="86">SUM(E62:E72)</f>
        <v>0</v>
      </c>
      <c r="F61" s="301">
        <f t="shared" si="86"/>
        <v>0</v>
      </c>
      <c r="G61" s="301">
        <f t="shared" si="86"/>
        <v>0</v>
      </c>
      <c r="H61" s="301">
        <f t="shared" si="86"/>
        <v>0</v>
      </c>
      <c r="I61" s="301">
        <f t="shared" si="86"/>
        <v>0</v>
      </c>
      <c r="J61" s="301">
        <f t="shared" si="86"/>
        <v>0</v>
      </c>
      <c r="K61" s="301">
        <f t="shared" si="86"/>
        <v>0</v>
      </c>
      <c r="L61" s="301">
        <f t="shared" si="86"/>
        <v>0</v>
      </c>
      <c r="M61" s="301">
        <f t="shared" si="86"/>
        <v>0</v>
      </c>
      <c r="N61" s="301">
        <f t="shared" si="86"/>
        <v>0</v>
      </c>
      <c r="O61" s="301">
        <f t="shared" si="86"/>
        <v>0</v>
      </c>
      <c r="P61" s="389">
        <f t="shared" si="86"/>
        <v>2946.125</v>
      </c>
      <c r="Q61" s="301">
        <f>SUM(Q62:Q72)</f>
        <v>686.875</v>
      </c>
      <c r="R61" s="301">
        <f t="shared" ref="R61:AC61" si="87">SUM(R62:R72)</f>
        <v>0</v>
      </c>
      <c r="S61" s="301">
        <f t="shared" si="87"/>
        <v>0</v>
      </c>
      <c r="T61" s="301">
        <f t="shared" si="87"/>
        <v>0</v>
      </c>
      <c r="U61" s="301">
        <f t="shared" si="87"/>
        <v>0</v>
      </c>
      <c r="V61" s="301">
        <f t="shared" si="87"/>
        <v>0</v>
      </c>
      <c r="W61" s="301">
        <f t="shared" si="87"/>
        <v>0</v>
      </c>
      <c r="X61" s="301">
        <f t="shared" si="87"/>
        <v>0</v>
      </c>
      <c r="Y61" s="301">
        <f t="shared" si="87"/>
        <v>0</v>
      </c>
      <c r="Z61" s="301">
        <f t="shared" si="87"/>
        <v>0</v>
      </c>
      <c r="AA61" s="301">
        <f t="shared" si="87"/>
        <v>0</v>
      </c>
      <c r="AB61" s="301">
        <f t="shared" si="87"/>
        <v>0</v>
      </c>
      <c r="AC61" s="389">
        <f t="shared" si="87"/>
        <v>686.875</v>
      </c>
      <c r="AD61" s="301">
        <f>SUM(AD62:AD72)</f>
        <v>633.625</v>
      </c>
      <c r="AE61" s="301">
        <f t="shared" ref="AE61:AP61" si="88">SUM(AE62:AE72)</f>
        <v>0</v>
      </c>
      <c r="AF61" s="301">
        <f t="shared" si="88"/>
        <v>0</v>
      </c>
      <c r="AG61" s="301">
        <f t="shared" si="88"/>
        <v>0</v>
      </c>
      <c r="AH61" s="301">
        <f t="shared" si="88"/>
        <v>0</v>
      </c>
      <c r="AI61" s="301">
        <f t="shared" si="88"/>
        <v>0</v>
      </c>
      <c r="AJ61" s="301">
        <f t="shared" si="88"/>
        <v>0</v>
      </c>
      <c r="AK61" s="301">
        <f t="shared" si="88"/>
        <v>0</v>
      </c>
      <c r="AL61" s="301">
        <f t="shared" si="88"/>
        <v>0</v>
      </c>
      <c r="AM61" s="301">
        <f t="shared" si="88"/>
        <v>0</v>
      </c>
      <c r="AN61" s="301">
        <f t="shared" si="88"/>
        <v>0</v>
      </c>
      <c r="AO61" s="301">
        <f t="shared" si="88"/>
        <v>0</v>
      </c>
      <c r="AP61" s="389">
        <f t="shared" si="88"/>
        <v>633.625</v>
      </c>
      <c r="AQ61" s="301">
        <f>SUM(AQ62:AQ72)</f>
        <v>180</v>
      </c>
      <c r="AR61" s="301">
        <f t="shared" ref="AR61:BC61" si="89">SUM(AR62:AR72)</f>
        <v>0</v>
      </c>
      <c r="AS61" s="301">
        <f t="shared" si="89"/>
        <v>0</v>
      </c>
      <c r="AT61" s="301">
        <f t="shared" si="89"/>
        <v>0</v>
      </c>
      <c r="AU61" s="301">
        <f t="shared" si="89"/>
        <v>0</v>
      </c>
      <c r="AV61" s="301">
        <f t="shared" si="89"/>
        <v>0</v>
      </c>
      <c r="AW61" s="301">
        <f t="shared" si="89"/>
        <v>0</v>
      </c>
      <c r="AX61" s="301">
        <f t="shared" si="89"/>
        <v>0</v>
      </c>
      <c r="AY61" s="301">
        <f t="shared" si="89"/>
        <v>0</v>
      </c>
      <c r="AZ61" s="301">
        <f t="shared" si="89"/>
        <v>0</v>
      </c>
      <c r="BA61" s="301">
        <f t="shared" si="89"/>
        <v>0</v>
      </c>
      <c r="BB61" s="301">
        <f t="shared" si="89"/>
        <v>0</v>
      </c>
      <c r="BC61" s="389">
        <f t="shared" si="89"/>
        <v>180</v>
      </c>
      <c r="BD61" s="301">
        <f>SUM(BD62:BD72)</f>
        <v>40.5</v>
      </c>
      <c r="BE61" s="301">
        <f t="shared" ref="BE61:BP61" si="90">SUM(BE62:BE72)</f>
        <v>0</v>
      </c>
      <c r="BF61" s="301">
        <f t="shared" si="90"/>
        <v>0</v>
      </c>
      <c r="BG61" s="301">
        <f t="shared" si="90"/>
        <v>0</v>
      </c>
      <c r="BH61" s="301">
        <f t="shared" si="90"/>
        <v>0</v>
      </c>
      <c r="BI61" s="301">
        <f t="shared" si="90"/>
        <v>0</v>
      </c>
      <c r="BJ61" s="301">
        <f t="shared" si="90"/>
        <v>0</v>
      </c>
      <c r="BK61" s="301">
        <f t="shared" si="90"/>
        <v>0</v>
      </c>
      <c r="BL61" s="301">
        <f t="shared" si="90"/>
        <v>0</v>
      </c>
      <c r="BM61" s="301">
        <f t="shared" si="90"/>
        <v>0</v>
      </c>
      <c r="BN61" s="301">
        <f t="shared" si="90"/>
        <v>0</v>
      </c>
      <c r="BO61" s="301">
        <f t="shared" si="90"/>
        <v>0</v>
      </c>
      <c r="BP61" s="389">
        <f t="shared" si="90"/>
        <v>40.5</v>
      </c>
      <c r="BR61" s="60">
        <f>(D61+E61+F61)/500*1000</f>
        <v>5892.25</v>
      </c>
      <c r="BS61" s="60">
        <f>(G61+H61+I61)/500*1000</f>
        <v>0</v>
      </c>
      <c r="BT61" s="60">
        <f>(J61+K61+L61)/500*1000</f>
        <v>0</v>
      </c>
      <c r="BU61" s="60">
        <f>(M61+N61+O61)/500*1000</f>
        <v>0</v>
      </c>
      <c r="BV61" s="60">
        <f>SUM(Q61:V61)/500*1000</f>
        <v>1373.75</v>
      </c>
      <c r="BW61" s="60">
        <f>SUM(W61:AB61)/500*1000</f>
        <v>0</v>
      </c>
      <c r="BX61" s="60">
        <f>SUM(AD61:AI61)/500*1000</f>
        <v>1267.25</v>
      </c>
      <c r="BY61" s="60">
        <f>SUM(AJ61:AO61)/500*1000</f>
        <v>0</v>
      </c>
      <c r="BZ61" s="60">
        <f>SUM(AQ61:AV61)/500*1000</f>
        <v>360</v>
      </c>
      <c r="CA61" s="60">
        <f>SUM(AW61:BB61)/500*1000</f>
        <v>0</v>
      </c>
      <c r="CB61" s="60">
        <f>SUM(BD61:BI61)/500*1000</f>
        <v>81</v>
      </c>
      <c r="CC61" s="60">
        <f>SUM(BJ61:BO61)/500*1000</f>
        <v>0</v>
      </c>
      <c r="CE61" s="301" t="s">
        <v>844</v>
      </c>
      <c r="CF61" s="12" t="s">
        <v>965</v>
      </c>
    </row>
    <row r="62" spans="1:84" s="5" customFormat="1" hidden="1" outlineLevel="1">
      <c r="A62" s="605" t="s">
        <v>820</v>
      </c>
      <c r="B62" s="12" t="s">
        <v>502</v>
      </c>
      <c r="D62" s="5">
        <f>P62</f>
        <v>0</v>
      </c>
      <c r="P62" s="383">
        <f>'[12]Architecture Breakdown_capex'!$S$10*P1/1000000</f>
        <v>0</v>
      </c>
      <c r="Q62" s="5">
        <f>AC62</f>
        <v>0</v>
      </c>
      <c r="AC62" s="383">
        <f>'[12]Architecture Breakdown_capex'!$T$10*AC1/1000000</f>
        <v>0</v>
      </c>
      <c r="AD62" s="5">
        <f>AP62</f>
        <v>550</v>
      </c>
      <c r="AP62" s="383">
        <f>'[12]Architecture Breakdown_capex'!$U$10*AP1/1000000</f>
        <v>550</v>
      </c>
      <c r="AQ62" s="5">
        <f>BC62</f>
        <v>0</v>
      </c>
      <c r="BC62" s="383">
        <f>'[12]Architecture Breakdown_capex'!$V$10*BC1/1000000</f>
        <v>0</v>
      </c>
      <c r="BD62" s="5">
        <f>BP62</f>
        <v>0</v>
      </c>
      <c r="BP62" s="383">
        <f>'[12]Architecture Breakdown_capex'!$W$10*BP1/1000000</f>
        <v>0</v>
      </c>
      <c r="CE62" s="605" t="s">
        <v>820</v>
      </c>
      <c r="CF62" s="12" t="s">
        <v>965</v>
      </c>
    </row>
    <row r="63" spans="1:84" s="5" customFormat="1" hidden="1" outlineLevel="1">
      <c r="A63" s="605" t="s">
        <v>821</v>
      </c>
      <c r="B63" s="12" t="s">
        <v>502</v>
      </c>
      <c r="D63" s="5">
        <f t="shared" ref="D63:D72" si="91">P63</f>
        <v>0</v>
      </c>
      <c r="P63" s="383">
        <f>'[12]Architecture Breakdown_capex'!$S$22*P1/1000000</f>
        <v>0</v>
      </c>
      <c r="Q63" s="5">
        <f t="shared" ref="Q63:Q72" si="92">AC63</f>
        <v>225</v>
      </c>
      <c r="AC63" s="383">
        <f>'[12]Architecture Breakdown_capex'!$T$22*AC1/1000000</f>
        <v>225</v>
      </c>
      <c r="AD63" s="5">
        <f t="shared" ref="AD63:AD72" si="93">AP63</f>
        <v>0</v>
      </c>
      <c r="AP63" s="383">
        <f>'[12]Architecture Breakdown_capex'!$U$22*AP1/1000000</f>
        <v>0</v>
      </c>
      <c r="AQ63" s="5">
        <f t="shared" ref="AQ63:AQ72" si="94">BC63</f>
        <v>112.5</v>
      </c>
      <c r="BC63" s="383">
        <f>'[12]Architecture Breakdown_capex'!$V$22*BC1/1000000</f>
        <v>112.5</v>
      </c>
      <c r="BD63" s="5">
        <f t="shared" ref="BD63:BD72" si="95">BP63</f>
        <v>0</v>
      </c>
      <c r="BP63" s="383">
        <f>'[12]Architecture Breakdown_capex'!$W$22*BP1/1000000</f>
        <v>0</v>
      </c>
      <c r="CE63" s="605" t="s">
        <v>821</v>
      </c>
      <c r="CF63" s="12" t="s">
        <v>965</v>
      </c>
    </row>
    <row r="64" spans="1:84" s="5" customFormat="1" hidden="1" outlineLevel="1">
      <c r="A64" s="605" t="s">
        <v>822</v>
      </c>
      <c r="B64" s="12" t="s">
        <v>502</v>
      </c>
      <c r="D64" s="5">
        <f t="shared" si="91"/>
        <v>525</v>
      </c>
      <c r="P64" s="383">
        <f>'[12]Architecture Breakdown_capex'!$S$32*P1/1000000</f>
        <v>525</v>
      </c>
      <c r="Q64" s="5">
        <f t="shared" si="92"/>
        <v>0</v>
      </c>
      <c r="AC64" s="383">
        <f>'[12]Architecture Breakdown_capex'!$T$32*AC1/1000000</f>
        <v>0</v>
      </c>
      <c r="AD64" s="5">
        <f t="shared" si="93"/>
        <v>0</v>
      </c>
      <c r="AP64" s="383">
        <f>'[12]Architecture Breakdown_capex'!$U$32*AP1/1000000</f>
        <v>0</v>
      </c>
      <c r="AQ64" s="5">
        <f t="shared" si="94"/>
        <v>0</v>
      </c>
      <c r="BC64" s="383">
        <f>'[12]Architecture Breakdown_capex'!$V$32*BC1/1000000</f>
        <v>0</v>
      </c>
      <c r="BD64" s="5">
        <f t="shared" si="95"/>
        <v>0</v>
      </c>
      <c r="BP64" s="383">
        <f>'[12]Architecture Breakdown_capex'!$W$32*BP1/1000000</f>
        <v>0</v>
      </c>
      <c r="CE64" s="605" t="s">
        <v>822</v>
      </c>
      <c r="CF64" s="12" t="s">
        <v>965</v>
      </c>
    </row>
    <row r="65" spans="1:84" s="5" customFormat="1" hidden="1" outlineLevel="1">
      <c r="A65" s="605" t="s">
        <v>823</v>
      </c>
      <c r="B65" s="12" t="s">
        <v>502</v>
      </c>
      <c r="D65" s="5">
        <f t="shared" si="91"/>
        <v>1350</v>
      </c>
      <c r="P65" s="383">
        <f>'[12]Architecture Breakdown_capex'!$S$42*P1/1000000</f>
        <v>1350</v>
      </c>
      <c r="Q65" s="5">
        <f t="shared" si="92"/>
        <v>400</v>
      </c>
      <c r="AC65" s="383">
        <f>'[12]Architecture Breakdown_capex'!$T$42*AC1/1000000</f>
        <v>400</v>
      </c>
      <c r="AD65" s="5">
        <f t="shared" si="93"/>
        <v>0</v>
      </c>
      <c r="AP65" s="383">
        <f>'[12]Architecture Breakdown_capex'!$U$42*AP1/1000000</f>
        <v>0</v>
      </c>
      <c r="AQ65" s="5">
        <f t="shared" si="94"/>
        <v>0</v>
      </c>
      <c r="BC65" s="383">
        <f>'[12]Architecture Breakdown_capex'!$V$42*BC1/1000000</f>
        <v>0</v>
      </c>
      <c r="BD65" s="5">
        <f t="shared" si="95"/>
        <v>0</v>
      </c>
      <c r="BP65" s="383">
        <f>'[12]Architecture Breakdown_capex'!$W$42*BP1/1000000</f>
        <v>0</v>
      </c>
      <c r="CE65" s="605" t="s">
        <v>823</v>
      </c>
      <c r="CF65" s="12" t="s">
        <v>965</v>
      </c>
    </row>
    <row r="66" spans="1:84" s="5" customFormat="1" hidden="1" outlineLevel="1">
      <c r="A66" s="605" t="s">
        <v>824</v>
      </c>
      <c r="B66" s="12" t="s">
        <v>502</v>
      </c>
      <c r="D66" s="5">
        <f t="shared" si="91"/>
        <v>200</v>
      </c>
      <c r="P66" s="383">
        <f>'[12]Architecture Breakdown_capex'!$S$62*P1/1000000</f>
        <v>200</v>
      </c>
      <c r="Q66" s="5">
        <f t="shared" si="92"/>
        <v>0</v>
      </c>
      <c r="AC66" s="383">
        <f>'[12]Architecture Breakdown_capex'!$T$62*AC1/1000000</f>
        <v>0</v>
      </c>
      <c r="AD66" s="5">
        <f t="shared" si="93"/>
        <v>0</v>
      </c>
      <c r="AP66" s="383">
        <f>'[12]Architecture Breakdown_capex'!$U$62*AP1/1000000</f>
        <v>0</v>
      </c>
      <c r="AQ66" s="5">
        <f t="shared" si="94"/>
        <v>0</v>
      </c>
      <c r="BC66" s="383">
        <f>'[12]Architecture Breakdown_capex'!$V$62*BC1/1000000</f>
        <v>0</v>
      </c>
      <c r="BD66" s="5">
        <f t="shared" si="95"/>
        <v>0</v>
      </c>
      <c r="BP66" s="383">
        <f>'[12]Architecture Breakdown_capex'!$W$62*BP1/1000000</f>
        <v>0</v>
      </c>
      <c r="CE66" s="605" t="s">
        <v>824</v>
      </c>
      <c r="CF66" s="12" t="s">
        <v>965</v>
      </c>
    </row>
    <row r="67" spans="1:84" s="5" customFormat="1" hidden="1" outlineLevel="1">
      <c r="A67" s="605" t="s">
        <v>825</v>
      </c>
      <c r="B67" s="12" t="s">
        <v>502</v>
      </c>
      <c r="D67" s="5">
        <f t="shared" si="91"/>
        <v>375</v>
      </c>
      <c r="P67" s="383">
        <f>'[12]Architecture Breakdown_capex'!$S$70*P1/1000000</f>
        <v>375</v>
      </c>
      <c r="Q67" s="5">
        <f t="shared" si="92"/>
        <v>0</v>
      </c>
      <c r="AC67" s="383">
        <f>'[12]Architecture Breakdown_capex'!$T$70*AC1/1000000</f>
        <v>0</v>
      </c>
      <c r="AD67" s="5">
        <f t="shared" si="93"/>
        <v>0</v>
      </c>
      <c r="AP67" s="383">
        <f>'[12]Architecture Breakdown_capex'!$U$70*AP1/1000000</f>
        <v>0</v>
      </c>
      <c r="AQ67" s="5">
        <f t="shared" si="94"/>
        <v>0</v>
      </c>
      <c r="BC67" s="383">
        <f>'[12]Architecture Breakdown_capex'!$V$70*BC1/1000000</f>
        <v>0</v>
      </c>
      <c r="BD67" s="5">
        <f t="shared" si="95"/>
        <v>0</v>
      </c>
      <c r="BP67" s="383">
        <f>'[12]Architecture Breakdown_capex'!$W$70*BP1/1000000</f>
        <v>0</v>
      </c>
      <c r="CE67" s="605" t="s">
        <v>825</v>
      </c>
      <c r="CF67" s="12" t="s">
        <v>965</v>
      </c>
    </row>
    <row r="68" spans="1:84" s="5" customFormat="1" hidden="1" outlineLevel="1">
      <c r="A68" s="605" t="s">
        <v>826</v>
      </c>
      <c r="B68" s="12" t="s">
        <v>502</v>
      </c>
      <c r="D68" s="5">
        <f t="shared" si="91"/>
        <v>375</v>
      </c>
      <c r="P68" s="383">
        <f>'[12]Architecture Breakdown_capex'!$S$82*500/1000000</f>
        <v>375</v>
      </c>
      <c r="Q68" s="5">
        <f t="shared" si="92"/>
        <v>0</v>
      </c>
      <c r="AC68" s="383">
        <f>'[12]Architecture Breakdown_capex'!$T$82*500/1000000</f>
        <v>0</v>
      </c>
      <c r="AD68" s="5">
        <f t="shared" si="93"/>
        <v>0</v>
      </c>
      <c r="AP68" s="383">
        <f>'[12]Architecture Breakdown_capex'!$U$82*500/1000000</f>
        <v>0</v>
      </c>
      <c r="AQ68" s="5">
        <f t="shared" si="94"/>
        <v>0</v>
      </c>
      <c r="BC68" s="383">
        <f>'[12]Architecture Breakdown_capex'!$V$82*500/1000000</f>
        <v>0</v>
      </c>
      <c r="BD68" s="5">
        <f t="shared" si="95"/>
        <v>0</v>
      </c>
      <c r="BP68" s="383">
        <f>'[12]Architecture Breakdown_capex'!$W$82*500/1000000</f>
        <v>0</v>
      </c>
      <c r="CE68" s="605" t="s">
        <v>826</v>
      </c>
      <c r="CF68" s="12" t="s">
        <v>965</v>
      </c>
    </row>
    <row r="69" spans="1:84" s="5" customFormat="1" hidden="1" outlineLevel="1">
      <c r="A69" s="605" t="s">
        <v>845</v>
      </c>
      <c r="B69" s="12" t="s">
        <v>502</v>
      </c>
      <c r="D69" s="5">
        <f t="shared" si="91"/>
        <v>121.125</v>
      </c>
      <c r="P69" s="383">
        <f>'[12]Architecture Breakdown_capex'!$S$90*P1/1000000</f>
        <v>121.125</v>
      </c>
      <c r="Q69" s="5">
        <f t="shared" si="92"/>
        <v>61.875</v>
      </c>
      <c r="AC69" s="383">
        <f>'[12]Architecture Breakdown_capex'!$T$90*AC1/1000000</f>
        <v>61.875</v>
      </c>
      <c r="AD69" s="5">
        <f t="shared" si="93"/>
        <v>83.625</v>
      </c>
      <c r="AP69" s="383">
        <f>'[12]Architecture Breakdown_capex'!$U$90*AP1/1000000</f>
        <v>83.625</v>
      </c>
      <c r="AQ69" s="5">
        <f t="shared" si="94"/>
        <v>67.5</v>
      </c>
      <c r="BC69" s="383">
        <f>'[12]Architecture Breakdown_capex'!$V$90*BC1/1000000</f>
        <v>67.5</v>
      </c>
      <c r="BD69" s="5">
        <f t="shared" si="95"/>
        <v>40.5</v>
      </c>
      <c r="BP69" s="383">
        <f>'[12]Architecture Breakdown_capex'!$W$90*BP1/1000000</f>
        <v>40.5</v>
      </c>
      <c r="CE69" s="605" t="s">
        <v>845</v>
      </c>
      <c r="CF69" s="12" t="s">
        <v>965</v>
      </c>
    </row>
    <row r="70" spans="1:84" s="5" customFormat="1" hidden="1" outlineLevel="1">
      <c r="A70" s="605"/>
      <c r="B70" s="12" t="s">
        <v>502</v>
      </c>
      <c r="D70" s="5">
        <f t="shared" si="91"/>
        <v>0</v>
      </c>
      <c r="P70" s="383"/>
      <c r="Q70" s="5">
        <f t="shared" si="92"/>
        <v>0</v>
      </c>
      <c r="AC70" s="383"/>
      <c r="AD70" s="5">
        <f t="shared" si="93"/>
        <v>0</v>
      </c>
      <c r="AP70" s="383"/>
      <c r="AQ70" s="5">
        <f t="shared" si="94"/>
        <v>0</v>
      </c>
      <c r="BC70" s="383"/>
      <c r="BD70" s="5">
        <f t="shared" si="95"/>
        <v>0</v>
      </c>
      <c r="BP70" s="383"/>
      <c r="CE70" s="605"/>
      <c r="CF70" s="12" t="s">
        <v>965</v>
      </c>
    </row>
    <row r="71" spans="1:84" s="5" customFormat="1" hidden="1" outlineLevel="1">
      <c r="A71" s="605"/>
      <c r="B71" s="12" t="s">
        <v>502</v>
      </c>
      <c r="D71" s="5">
        <f t="shared" si="91"/>
        <v>0</v>
      </c>
      <c r="P71" s="383"/>
      <c r="Q71" s="5">
        <f t="shared" si="92"/>
        <v>0</v>
      </c>
      <c r="AC71" s="383"/>
      <c r="AD71" s="5">
        <f t="shared" si="93"/>
        <v>0</v>
      </c>
      <c r="AP71" s="383"/>
      <c r="AQ71" s="5">
        <f t="shared" si="94"/>
        <v>0</v>
      </c>
      <c r="BC71" s="383"/>
      <c r="BD71" s="5">
        <f t="shared" si="95"/>
        <v>0</v>
      </c>
      <c r="BP71" s="383"/>
      <c r="CE71" s="605"/>
      <c r="CF71" s="12" t="s">
        <v>965</v>
      </c>
    </row>
    <row r="72" spans="1:84" s="5" customFormat="1" hidden="1" outlineLevel="1">
      <c r="A72" s="605"/>
      <c r="B72" s="12" t="s">
        <v>502</v>
      </c>
      <c r="D72" s="5">
        <f t="shared" si="91"/>
        <v>0</v>
      </c>
      <c r="P72" s="383"/>
      <c r="Q72" s="5">
        <f t="shared" si="92"/>
        <v>0</v>
      </c>
      <c r="AC72" s="383"/>
      <c r="AD72" s="5">
        <f t="shared" si="93"/>
        <v>0</v>
      </c>
      <c r="AP72" s="383"/>
      <c r="AQ72" s="5">
        <f t="shared" si="94"/>
        <v>0</v>
      </c>
      <c r="BC72" s="383"/>
      <c r="BD72" s="5">
        <f t="shared" si="95"/>
        <v>0</v>
      </c>
      <c r="BP72" s="383"/>
      <c r="CE72" s="605"/>
      <c r="CF72" s="12" t="s">
        <v>965</v>
      </c>
    </row>
    <row r="73" spans="1:84" s="6" customFormat="1" hidden="1" outlineLevel="1">
      <c r="A73" s="6" t="s">
        <v>846</v>
      </c>
      <c r="B73" s="12" t="s">
        <v>502</v>
      </c>
      <c r="D73" s="5">
        <f>D61</f>
        <v>2946.125</v>
      </c>
      <c r="E73" s="5">
        <f t="shared" ref="E73:O73" si="96">E61</f>
        <v>0</v>
      </c>
      <c r="F73" s="5">
        <f t="shared" si="96"/>
        <v>0</v>
      </c>
      <c r="G73" s="5">
        <f t="shared" si="96"/>
        <v>0</v>
      </c>
      <c r="H73" s="5">
        <f t="shared" si="96"/>
        <v>0</v>
      </c>
      <c r="I73" s="5">
        <f t="shared" si="96"/>
        <v>0</v>
      </c>
      <c r="J73" s="5">
        <f t="shared" si="96"/>
        <v>0</v>
      </c>
      <c r="K73" s="5">
        <f t="shared" si="96"/>
        <v>0</v>
      </c>
      <c r="L73" s="5">
        <f t="shared" si="96"/>
        <v>0</v>
      </c>
      <c r="M73" s="5">
        <f t="shared" si="96"/>
        <v>0</v>
      </c>
      <c r="N73" s="5">
        <f t="shared" si="96"/>
        <v>0</v>
      </c>
      <c r="O73" s="5">
        <f t="shared" si="96"/>
        <v>0</v>
      </c>
      <c r="P73" s="343"/>
      <c r="Q73" s="5">
        <f>Q61</f>
        <v>686.875</v>
      </c>
      <c r="R73" s="5">
        <f t="shared" ref="R73:AB73" si="97">R61</f>
        <v>0</v>
      </c>
      <c r="S73" s="5">
        <f t="shared" si="97"/>
        <v>0</v>
      </c>
      <c r="T73" s="5">
        <f t="shared" si="97"/>
        <v>0</v>
      </c>
      <c r="U73" s="5">
        <f t="shared" si="97"/>
        <v>0</v>
      </c>
      <c r="V73" s="5">
        <f t="shared" si="97"/>
        <v>0</v>
      </c>
      <c r="W73" s="5">
        <f t="shared" si="97"/>
        <v>0</v>
      </c>
      <c r="X73" s="5">
        <f t="shared" si="97"/>
        <v>0</v>
      </c>
      <c r="Y73" s="5">
        <f t="shared" si="97"/>
        <v>0</v>
      </c>
      <c r="Z73" s="5">
        <f t="shared" si="97"/>
        <v>0</v>
      </c>
      <c r="AA73" s="5">
        <f t="shared" si="97"/>
        <v>0</v>
      </c>
      <c r="AB73" s="5">
        <f t="shared" si="97"/>
        <v>0</v>
      </c>
      <c r="AC73" s="343"/>
      <c r="AD73" s="5">
        <f>AD61</f>
        <v>633.625</v>
      </c>
      <c r="AE73" s="5">
        <f t="shared" ref="AE73:AO73" si="98">AE61</f>
        <v>0</v>
      </c>
      <c r="AF73" s="5">
        <f t="shared" si="98"/>
        <v>0</v>
      </c>
      <c r="AG73" s="5">
        <f t="shared" si="98"/>
        <v>0</v>
      </c>
      <c r="AH73" s="5">
        <f t="shared" si="98"/>
        <v>0</v>
      </c>
      <c r="AI73" s="5">
        <f t="shared" si="98"/>
        <v>0</v>
      </c>
      <c r="AJ73" s="5">
        <f t="shared" si="98"/>
        <v>0</v>
      </c>
      <c r="AK73" s="5">
        <f t="shared" si="98"/>
        <v>0</v>
      </c>
      <c r="AL73" s="5">
        <f t="shared" si="98"/>
        <v>0</v>
      </c>
      <c r="AM73" s="5">
        <f t="shared" si="98"/>
        <v>0</v>
      </c>
      <c r="AN73" s="5">
        <f t="shared" si="98"/>
        <v>0</v>
      </c>
      <c r="AO73" s="5">
        <f t="shared" si="98"/>
        <v>0</v>
      </c>
      <c r="AP73" s="343"/>
      <c r="AQ73" s="5">
        <f>AQ61</f>
        <v>180</v>
      </c>
      <c r="AR73" s="5">
        <f t="shared" ref="AR73:BB73" si="99">AR61</f>
        <v>0</v>
      </c>
      <c r="AS73" s="5">
        <f t="shared" si="99"/>
        <v>0</v>
      </c>
      <c r="AT73" s="5">
        <f t="shared" si="99"/>
        <v>0</v>
      </c>
      <c r="AU73" s="5">
        <f t="shared" si="99"/>
        <v>0</v>
      </c>
      <c r="AV73" s="5">
        <f t="shared" si="99"/>
        <v>0</v>
      </c>
      <c r="AW73" s="5">
        <f t="shared" si="99"/>
        <v>0</v>
      </c>
      <c r="AX73" s="5">
        <f t="shared" si="99"/>
        <v>0</v>
      </c>
      <c r="AY73" s="5">
        <f t="shared" si="99"/>
        <v>0</v>
      </c>
      <c r="AZ73" s="5">
        <f t="shared" si="99"/>
        <v>0</v>
      </c>
      <c r="BA73" s="5">
        <f t="shared" si="99"/>
        <v>0</v>
      </c>
      <c r="BB73" s="5">
        <f t="shared" si="99"/>
        <v>0</v>
      </c>
      <c r="BC73" s="343"/>
      <c r="BD73" s="5">
        <f>BD61</f>
        <v>40.5</v>
      </c>
      <c r="BE73" s="5">
        <f t="shared" ref="BE73:BO73" si="100">BE61</f>
        <v>0</v>
      </c>
      <c r="BF73" s="5">
        <f t="shared" si="100"/>
        <v>0</v>
      </c>
      <c r="BG73" s="5">
        <f t="shared" si="100"/>
        <v>0</v>
      </c>
      <c r="BH73" s="5">
        <f t="shared" si="100"/>
        <v>0</v>
      </c>
      <c r="BI73" s="5">
        <f t="shared" si="100"/>
        <v>0</v>
      </c>
      <c r="BJ73" s="5">
        <f t="shared" si="100"/>
        <v>0</v>
      </c>
      <c r="BK73" s="5">
        <f t="shared" si="100"/>
        <v>0</v>
      </c>
      <c r="BL73" s="5">
        <f t="shared" si="100"/>
        <v>0</v>
      </c>
      <c r="BM73" s="5">
        <f t="shared" si="100"/>
        <v>0</v>
      </c>
      <c r="BN73" s="5">
        <f t="shared" si="100"/>
        <v>0</v>
      </c>
      <c r="BO73" s="5">
        <f t="shared" si="100"/>
        <v>0</v>
      </c>
      <c r="BP73" s="343"/>
      <c r="CE73" s="6" t="s">
        <v>1233</v>
      </c>
      <c r="CF73" s="12" t="s">
        <v>965</v>
      </c>
    </row>
    <row r="74" spans="1:84">
      <c r="P74" s="349"/>
      <c r="AC74" s="349"/>
      <c r="AP74" s="349"/>
      <c r="BC74" s="349"/>
      <c r="BP74" s="349"/>
    </row>
    <row r="75" spans="1:84" s="301" customFormat="1" ht="15.6" collapsed="1">
      <c r="A75" s="301" t="s">
        <v>847</v>
      </c>
      <c r="B75" s="12" t="s">
        <v>245</v>
      </c>
      <c r="D75" s="301">
        <f>SUM(D76:D91)</f>
        <v>161.5</v>
      </c>
      <c r="E75" s="301">
        <f t="shared" ref="E75:BP75" si="101">SUM(E76:E91)</f>
        <v>161.5</v>
      </c>
      <c r="F75" s="301">
        <f t="shared" si="101"/>
        <v>161.5</v>
      </c>
      <c r="G75" s="301">
        <f t="shared" si="101"/>
        <v>161.5</v>
      </c>
      <c r="H75" s="301">
        <f t="shared" si="101"/>
        <v>161.5</v>
      </c>
      <c r="I75" s="301">
        <f t="shared" si="101"/>
        <v>161.5</v>
      </c>
      <c r="J75" s="301">
        <f t="shared" si="101"/>
        <v>161.5</v>
      </c>
      <c r="K75" s="301">
        <f t="shared" si="101"/>
        <v>161.5</v>
      </c>
      <c r="L75" s="301">
        <f t="shared" si="101"/>
        <v>161.5</v>
      </c>
      <c r="M75" s="301">
        <f t="shared" si="101"/>
        <v>161.5</v>
      </c>
      <c r="N75" s="301">
        <f t="shared" si="101"/>
        <v>161.5</v>
      </c>
      <c r="O75" s="301">
        <f t="shared" si="101"/>
        <v>161.5</v>
      </c>
      <c r="P75" s="389">
        <f t="shared" si="101"/>
        <v>161.5</v>
      </c>
      <c r="Q75" s="301">
        <f t="shared" si="101"/>
        <v>244</v>
      </c>
      <c r="R75" s="301">
        <f t="shared" si="101"/>
        <v>244</v>
      </c>
      <c r="S75" s="301">
        <f t="shared" si="101"/>
        <v>244</v>
      </c>
      <c r="T75" s="301">
        <f t="shared" si="101"/>
        <v>244</v>
      </c>
      <c r="U75" s="301">
        <f t="shared" si="101"/>
        <v>244</v>
      </c>
      <c r="V75" s="301">
        <f t="shared" si="101"/>
        <v>244</v>
      </c>
      <c r="W75" s="301">
        <f t="shared" si="101"/>
        <v>244</v>
      </c>
      <c r="X75" s="301">
        <f t="shared" si="101"/>
        <v>244</v>
      </c>
      <c r="Y75" s="301">
        <f t="shared" si="101"/>
        <v>244</v>
      </c>
      <c r="Z75" s="301">
        <f t="shared" si="101"/>
        <v>244</v>
      </c>
      <c r="AA75" s="301">
        <f t="shared" si="101"/>
        <v>244</v>
      </c>
      <c r="AB75" s="301">
        <f t="shared" si="101"/>
        <v>244</v>
      </c>
      <c r="AC75" s="389">
        <f t="shared" si="101"/>
        <v>244</v>
      </c>
      <c r="AD75" s="301">
        <f t="shared" si="101"/>
        <v>355.5</v>
      </c>
      <c r="AE75" s="301">
        <f t="shared" si="101"/>
        <v>355.5</v>
      </c>
      <c r="AF75" s="301">
        <f t="shared" si="101"/>
        <v>355.5</v>
      </c>
      <c r="AG75" s="301">
        <f t="shared" si="101"/>
        <v>355.5</v>
      </c>
      <c r="AH75" s="301">
        <f t="shared" si="101"/>
        <v>355.5</v>
      </c>
      <c r="AI75" s="301">
        <f t="shared" si="101"/>
        <v>355.5</v>
      </c>
      <c r="AJ75" s="301">
        <f t="shared" si="101"/>
        <v>355.5</v>
      </c>
      <c r="AK75" s="301">
        <f t="shared" si="101"/>
        <v>355.5</v>
      </c>
      <c r="AL75" s="301">
        <f t="shared" si="101"/>
        <v>355.5</v>
      </c>
      <c r="AM75" s="301">
        <f t="shared" si="101"/>
        <v>355.5</v>
      </c>
      <c r="AN75" s="301">
        <f t="shared" si="101"/>
        <v>355.5</v>
      </c>
      <c r="AO75" s="301">
        <f t="shared" si="101"/>
        <v>355.5</v>
      </c>
      <c r="AP75" s="389">
        <f t="shared" si="101"/>
        <v>355.5</v>
      </c>
      <c r="AQ75" s="301">
        <f t="shared" si="101"/>
        <v>445.5</v>
      </c>
      <c r="AR75" s="301">
        <f t="shared" si="101"/>
        <v>445.5</v>
      </c>
      <c r="AS75" s="301">
        <f t="shared" si="101"/>
        <v>445.5</v>
      </c>
      <c r="AT75" s="301">
        <f t="shared" si="101"/>
        <v>445.5</v>
      </c>
      <c r="AU75" s="301">
        <f t="shared" si="101"/>
        <v>445.5</v>
      </c>
      <c r="AV75" s="301">
        <f t="shared" si="101"/>
        <v>445.5</v>
      </c>
      <c r="AW75" s="301">
        <f t="shared" si="101"/>
        <v>445.5</v>
      </c>
      <c r="AX75" s="301">
        <f t="shared" si="101"/>
        <v>445.5</v>
      </c>
      <c r="AY75" s="301">
        <f t="shared" si="101"/>
        <v>445.5</v>
      </c>
      <c r="AZ75" s="301">
        <f t="shared" si="101"/>
        <v>445.5</v>
      </c>
      <c r="BA75" s="301">
        <f t="shared" si="101"/>
        <v>445.5</v>
      </c>
      <c r="BB75" s="301">
        <f t="shared" si="101"/>
        <v>445.5</v>
      </c>
      <c r="BC75" s="389">
        <f t="shared" si="101"/>
        <v>445.5</v>
      </c>
      <c r="BD75" s="301">
        <f t="shared" si="101"/>
        <v>499.5</v>
      </c>
      <c r="BE75" s="301">
        <f t="shared" si="101"/>
        <v>499.5</v>
      </c>
      <c r="BF75" s="301">
        <f t="shared" si="101"/>
        <v>499.5</v>
      </c>
      <c r="BG75" s="301">
        <f t="shared" si="101"/>
        <v>499.5</v>
      </c>
      <c r="BH75" s="301">
        <f t="shared" si="101"/>
        <v>499.5</v>
      </c>
      <c r="BI75" s="301">
        <f t="shared" si="101"/>
        <v>499.5</v>
      </c>
      <c r="BJ75" s="301">
        <f t="shared" si="101"/>
        <v>499.5</v>
      </c>
      <c r="BK75" s="301">
        <f t="shared" si="101"/>
        <v>499.5</v>
      </c>
      <c r="BL75" s="301">
        <f t="shared" si="101"/>
        <v>499.5</v>
      </c>
      <c r="BM75" s="301">
        <f t="shared" si="101"/>
        <v>499.5</v>
      </c>
      <c r="BN75" s="301">
        <f t="shared" si="101"/>
        <v>499.5</v>
      </c>
      <c r="BO75" s="301">
        <f t="shared" si="101"/>
        <v>499.5</v>
      </c>
      <c r="BP75" s="389">
        <f t="shared" si="101"/>
        <v>499.5</v>
      </c>
      <c r="CE75" s="301" t="s">
        <v>1234</v>
      </c>
      <c r="CF75" s="12" t="s">
        <v>1226</v>
      </c>
    </row>
    <row r="76" spans="1:84" s="5" customFormat="1" hidden="1" outlineLevel="1">
      <c r="A76" s="605" t="s">
        <v>820</v>
      </c>
      <c r="B76" s="12" t="s">
        <v>245</v>
      </c>
      <c r="D76" s="5">
        <f>P76</f>
        <v>21</v>
      </c>
      <c r="E76" s="5">
        <f>D76</f>
        <v>21</v>
      </c>
      <c r="F76" s="5">
        <f t="shared" ref="F76:O76" si="102">E76</f>
        <v>21</v>
      </c>
      <c r="G76" s="5">
        <f t="shared" si="102"/>
        <v>21</v>
      </c>
      <c r="H76" s="5">
        <f t="shared" si="102"/>
        <v>21</v>
      </c>
      <c r="I76" s="5">
        <f t="shared" si="102"/>
        <v>21</v>
      </c>
      <c r="J76" s="5">
        <f t="shared" si="102"/>
        <v>21</v>
      </c>
      <c r="K76" s="5">
        <f t="shared" si="102"/>
        <v>21</v>
      </c>
      <c r="L76" s="5">
        <f t="shared" si="102"/>
        <v>21</v>
      </c>
      <c r="M76" s="5">
        <f t="shared" si="102"/>
        <v>21</v>
      </c>
      <c r="N76" s="5">
        <f t="shared" si="102"/>
        <v>21</v>
      </c>
      <c r="O76" s="5">
        <f t="shared" si="102"/>
        <v>21</v>
      </c>
      <c r="P76" s="383">
        <f>'[12]Org.Structure (IT)'!$I$10</f>
        <v>21</v>
      </c>
      <c r="Q76" s="5">
        <f>AC76</f>
        <v>23</v>
      </c>
      <c r="R76" s="5">
        <f>Q76</f>
        <v>23</v>
      </c>
      <c r="S76" s="5">
        <f t="shared" ref="S76:AB76" si="103">R76</f>
        <v>23</v>
      </c>
      <c r="T76" s="5">
        <f t="shared" si="103"/>
        <v>23</v>
      </c>
      <c r="U76" s="5">
        <f t="shared" si="103"/>
        <v>23</v>
      </c>
      <c r="V76" s="5">
        <f t="shared" si="103"/>
        <v>23</v>
      </c>
      <c r="W76" s="5">
        <f t="shared" si="103"/>
        <v>23</v>
      </c>
      <c r="X76" s="5">
        <f t="shared" si="103"/>
        <v>23</v>
      </c>
      <c r="Y76" s="5">
        <f t="shared" si="103"/>
        <v>23</v>
      </c>
      <c r="Z76" s="5">
        <f t="shared" si="103"/>
        <v>23</v>
      </c>
      <c r="AA76" s="5">
        <f t="shared" si="103"/>
        <v>23</v>
      </c>
      <c r="AB76" s="5">
        <f t="shared" si="103"/>
        <v>23</v>
      </c>
      <c r="AC76" s="383">
        <f>'[12]Org.Structure (IT)'!$J$10</f>
        <v>23</v>
      </c>
      <c r="AD76" s="5">
        <f>AP76</f>
        <v>44</v>
      </c>
      <c r="AE76" s="5">
        <f>AD76</f>
        <v>44</v>
      </c>
      <c r="AF76" s="5">
        <f t="shared" ref="AF76:AO76" si="104">AE76</f>
        <v>44</v>
      </c>
      <c r="AG76" s="5">
        <f t="shared" si="104"/>
        <v>44</v>
      </c>
      <c r="AH76" s="5">
        <f t="shared" si="104"/>
        <v>44</v>
      </c>
      <c r="AI76" s="5">
        <f t="shared" si="104"/>
        <v>44</v>
      </c>
      <c r="AJ76" s="5">
        <f t="shared" si="104"/>
        <v>44</v>
      </c>
      <c r="AK76" s="5">
        <f t="shared" si="104"/>
        <v>44</v>
      </c>
      <c r="AL76" s="5">
        <f t="shared" si="104"/>
        <v>44</v>
      </c>
      <c r="AM76" s="5">
        <f t="shared" si="104"/>
        <v>44</v>
      </c>
      <c r="AN76" s="5">
        <f t="shared" si="104"/>
        <v>44</v>
      </c>
      <c r="AO76" s="5">
        <f t="shared" si="104"/>
        <v>44</v>
      </c>
      <c r="AP76" s="383">
        <f>'[12]Org.Structure (IT)'!$K$10</f>
        <v>44</v>
      </c>
      <c r="AQ76" s="5">
        <f>BC76</f>
        <v>51</v>
      </c>
      <c r="AR76" s="5">
        <f>AQ76</f>
        <v>51</v>
      </c>
      <c r="AS76" s="5">
        <f t="shared" ref="AS76:BB76" si="105">AR76</f>
        <v>51</v>
      </c>
      <c r="AT76" s="5">
        <f t="shared" si="105"/>
        <v>51</v>
      </c>
      <c r="AU76" s="5">
        <f t="shared" si="105"/>
        <v>51</v>
      </c>
      <c r="AV76" s="5">
        <f t="shared" si="105"/>
        <v>51</v>
      </c>
      <c r="AW76" s="5">
        <f t="shared" si="105"/>
        <v>51</v>
      </c>
      <c r="AX76" s="5">
        <f t="shared" si="105"/>
        <v>51</v>
      </c>
      <c r="AY76" s="5">
        <f t="shared" si="105"/>
        <v>51</v>
      </c>
      <c r="AZ76" s="5">
        <f t="shared" si="105"/>
        <v>51</v>
      </c>
      <c r="BA76" s="5">
        <f t="shared" si="105"/>
        <v>51</v>
      </c>
      <c r="BB76" s="5">
        <f t="shared" si="105"/>
        <v>51</v>
      </c>
      <c r="BC76" s="383">
        <f>'[12]Org.Structure (IT)'!$L$10</f>
        <v>51</v>
      </c>
      <c r="BD76" s="5">
        <f>BP76</f>
        <v>57</v>
      </c>
      <c r="BE76" s="5">
        <f>BD76</f>
        <v>57</v>
      </c>
      <c r="BF76" s="5">
        <f t="shared" ref="BF76:BO76" si="106">BE76</f>
        <v>57</v>
      </c>
      <c r="BG76" s="5">
        <f t="shared" si="106"/>
        <v>57</v>
      </c>
      <c r="BH76" s="5">
        <f t="shared" si="106"/>
        <v>57</v>
      </c>
      <c r="BI76" s="5">
        <f t="shared" si="106"/>
        <v>57</v>
      </c>
      <c r="BJ76" s="5">
        <f t="shared" si="106"/>
        <v>57</v>
      </c>
      <c r="BK76" s="5">
        <f t="shared" si="106"/>
        <v>57</v>
      </c>
      <c r="BL76" s="5">
        <f t="shared" si="106"/>
        <v>57</v>
      </c>
      <c r="BM76" s="5">
        <f t="shared" si="106"/>
        <v>57</v>
      </c>
      <c r="BN76" s="5">
        <f t="shared" si="106"/>
        <v>57</v>
      </c>
      <c r="BO76" s="5">
        <f t="shared" si="106"/>
        <v>57</v>
      </c>
      <c r="BP76" s="383">
        <f>'[12]Org.Structure (IT)'!$M$10</f>
        <v>57</v>
      </c>
      <c r="CE76" s="605" t="s">
        <v>820</v>
      </c>
      <c r="CF76" s="12" t="s">
        <v>1226</v>
      </c>
    </row>
    <row r="77" spans="1:84" s="5" customFormat="1" hidden="1" outlineLevel="1">
      <c r="A77" s="605" t="s">
        <v>821</v>
      </c>
      <c r="B77" s="12" t="s">
        <v>245</v>
      </c>
      <c r="D77" s="5">
        <f t="shared" ref="D77:D91" si="107">P77</f>
        <v>0</v>
      </c>
      <c r="E77" s="5">
        <f t="shared" ref="E77:O92" si="108">D77</f>
        <v>0</v>
      </c>
      <c r="F77" s="5">
        <f t="shared" si="108"/>
        <v>0</v>
      </c>
      <c r="G77" s="5">
        <f t="shared" si="108"/>
        <v>0</v>
      </c>
      <c r="H77" s="5">
        <f t="shared" si="108"/>
        <v>0</v>
      </c>
      <c r="I77" s="5">
        <f t="shared" si="108"/>
        <v>0</v>
      </c>
      <c r="J77" s="5">
        <f t="shared" si="108"/>
        <v>0</v>
      </c>
      <c r="K77" s="5">
        <f t="shared" si="108"/>
        <v>0</v>
      </c>
      <c r="L77" s="5">
        <f t="shared" si="108"/>
        <v>0</v>
      </c>
      <c r="M77" s="5">
        <f t="shared" si="108"/>
        <v>0</v>
      </c>
      <c r="N77" s="5">
        <f t="shared" si="108"/>
        <v>0</v>
      </c>
      <c r="O77" s="5">
        <f t="shared" si="108"/>
        <v>0</v>
      </c>
      <c r="P77" s="383">
        <f>'[12]Org.Structure (IT)'!$I$23</f>
        <v>0</v>
      </c>
      <c r="Q77" s="5">
        <f t="shared" ref="Q77:Q91" si="109">AC77</f>
        <v>12.5</v>
      </c>
      <c r="R77" s="5">
        <f t="shared" ref="R77:AB92" si="110">Q77</f>
        <v>12.5</v>
      </c>
      <c r="S77" s="5">
        <f t="shared" si="110"/>
        <v>12.5</v>
      </c>
      <c r="T77" s="5">
        <f t="shared" si="110"/>
        <v>12.5</v>
      </c>
      <c r="U77" s="5">
        <f t="shared" si="110"/>
        <v>12.5</v>
      </c>
      <c r="V77" s="5">
        <f t="shared" si="110"/>
        <v>12.5</v>
      </c>
      <c r="W77" s="5">
        <f t="shared" si="110"/>
        <v>12.5</v>
      </c>
      <c r="X77" s="5">
        <f t="shared" si="110"/>
        <v>12.5</v>
      </c>
      <c r="Y77" s="5">
        <f t="shared" si="110"/>
        <v>12.5</v>
      </c>
      <c r="Z77" s="5">
        <f t="shared" si="110"/>
        <v>12.5</v>
      </c>
      <c r="AA77" s="5">
        <f t="shared" si="110"/>
        <v>12.5</v>
      </c>
      <c r="AB77" s="5">
        <f t="shared" si="110"/>
        <v>12.5</v>
      </c>
      <c r="AC77" s="383">
        <f>'[12]Org.Structure (IT)'!$J$23</f>
        <v>12.5</v>
      </c>
      <c r="AD77" s="5">
        <f t="shared" ref="AD77:AD91" si="111">AP77</f>
        <v>12.5</v>
      </c>
      <c r="AE77" s="5">
        <f t="shared" ref="AE77:AO92" si="112">AD77</f>
        <v>12.5</v>
      </c>
      <c r="AF77" s="5">
        <f t="shared" si="112"/>
        <v>12.5</v>
      </c>
      <c r="AG77" s="5">
        <f t="shared" si="112"/>
        <v>12.5</v>
      </c>
      <c r="AH77" s="5">
        <f t="shared" si="112"/>
        <v>12.5</v>
      </c>
      <c r="AI77" s="5">
        <f t="shared" si="112"/>
        <v>12.5</v>
      </c>
      <c r="AJ77" s="5">
        <f t="shared" si="112"/>
        <v>12.5</v>
      </c>
      <c r="AK77" s="5">
        <f t="shared" si="112"/>
        <v>12.5</v>
      </c>
      <c r="AL77" s="5">
        <f t="shared" si="112"/>
        <v>12.5</v>
      </c>
      <c r="AM77" s="5">
        <f t="shared" si="112"/>
        <v>12.5</v>
      </c>
      <c r="AN77" s="5">
        <f t="shared" si="112"/>
        <v>12.5</v>
      </c>
      <c r="AO77" s="5">
        <f t="shared" si="112"/>
        <v>12.5</v>
      </c>
      <c r="AP77" s="383">
        <f>'[12]Org.Structure (IT)'!$K$23</f>
        <v>12.5</v>
      </c>
      <c r="AQ77" s="5">
        <f t="shared" ref="AQ77:AQ91" si="113">BC77</f>
        <v>31</v>
      </c>
      <c r="AR77" s="5">
        <f t="shared" ref="AR77:BB92" si="114">AQ77</f>
        <v>31</v>
      </c>
      <c r="AS77" s="5">
        <f t="shared" si="114"/>
        <v>31</v>
      </c>
      <c r="AT77" s="5">
        <f t="shared" si="114"/>
        <v>31</v>
      </c>
      <c r="AU77" s="5">
        <f t="shared" si="114"/>
        <v>31</v>
      </c>
      <c r="AV77" s="5">
        <f t="shared" si="114"/>
        <v>31</v>
      </c>
      <c r="AW77" s="5">
        <f t="shared" si="114"/>
        <v>31</v>
      </c>
      <c r="AX77" s="5">
        <f t="shared" si="114"/>
        <v>31</v>
      </c>
      <c r="AY77" s="5">
        <f t="shared" si="114"/>
        <v>31</v>
      </c>
      <c r="AZ77" s="5">
        <f t="shared" si="114"/>
        <v>31</v>
      </c>
      <c r="BA77" s="5">
        <f t="shared" si="114"/>
        <v>31</v>
      </c>
      <c r="BB77" s="5">
        <f t="shared" si="114"/>
        <v>31</v>
      </c>
      <c r="BC77" s="383">
        <f>'[12]Org.Structure (IT)'!$L$23</f>
        <v>31</v>
      </c>
      <c r="BD77" s="5">
        <f t="shared" ref="BD77:BD91" si="115">BP77</f>
        <v>31</v>
      </c>
      <c r="BE77" s="5">
        <f t="shared" ref="BE77:BO92" si="116">BD77</f>
        <v>31</v>
      </c>
      <c r="BF77" s="5">
        <f t="shared" si="116"/>
        <v>31</v>
      </c>
      <c r="BG77" s="5">
        <f t="shared" si="116"/>
        <v>31</v>
      </c>
      <c r="BH77" s="5">
        <f t="shared" si="116"/>
        <v>31</v>
      </c>
      <c r="BI77" s="5">
        <f t="shared" si="116"/>
        <v>31</v>
      </c>
      <c r="BJ77" s="5">
        <f t="shared" si="116"/>
        <v>31</v>
      </c>
      <c r="BK77" s="5">
        <f t="shared" si="116"/>
        <v>31</v>
      </c>
      <c r="BL77" s="5">
        <f t="shared" si="116"/>
        <v>31</v>
      </c>
      <c r="BM77" s="5">
        <f t="shared" si="116"/>
        <v>31</v>
      </c>
      <c r="BN77" s="5">
        <f t="shared" si="116"/>
        <v>31</v>
      </c>
      <c r="BO77" s="5">
        <f t="shared" si="116"/>
        <v>31</v>
      </c>
      <c r="BP77" s="383">
        <f>'[12]Org.Structure (IT)'!$M$23</f>
        <v>31</v>
      </c>
      <c r="CE77" s="605" t="s">
        <v>821</v>
      </c>
      <c r="CF77" s="12" t="s">
        <v>1226</v>
      </c>
    </row>
    <row r="78" spans="1:84" s="5" customFormat="1" hidden="1" outlineLevel="1">
      <c r="A78" s="605" t="s">
        <v>822</v>
      </c>
      <c r="B78" s="12" t="s">
        <v>245</v>
      </c>
      <c r="D78" s="5">
        <f t="shared" si="107"/>
        <v>18</v>
      </c>
      <c r="E78" s="5">
        <f t="shared" si="108"/>
        <v>18</v>
      </c>
      <c r="F78" s="5">
        <f t="shared" si="108"/>
        <v>18</v>
      </c>
      <c r="G78" s="5">
        <f t="shared" si="108"/>
        <v>18</v>
      </c>
      <c r="H78" s="5">
        <f t="shared" si="108"/>
        <v>18</v>
      </c>
      <c r="I78" s="5">
        <f t="shared" si="108"/>
        <v>18</v>
      </c>
      <c r="J78" s="5">
        <f t="shared" si="108"/>
        <v>18</v>
      </c>
      <c r="K78" s="5">
        <f t="shared" si="108"/>
        <v>18</v>
      </c>
      <c r="L78" s="5">
        <f t="shared" si="108"/>
        <v>18</v>
      </c>
      <c r="M78" s="5">
        <f t="shared" si="108"/>
        <v>18</v>
      </c>
      <c r="N78" s="5">
        <f t="shared" si="108"/>
        <v>18</v>
      </c>
      <c r="O78" s="5">
        <f t="shared" si="108"/>
        <v>18</v>
      </c>
      <c r="P78" s="383">
        <f>'[12]Org.Structure (IT)'!$I$35</f>
        <v>18</v>
      </c>
      <c r="Q78" s="5">
        <f t="shared" si="109"/>
        <v>21</v>
      </c>
      <c r="R78" s="5">
        <f t="shared" si="110"/>
        <v>21</v>
      </c>
      <c r="S78" s="5">
        <f t="shared" si="110"/>
        <v>21</v>
      </c>
      <c r="T78" s="5">
        <f t="shared" si="110"/>
        <v>21</v>
      </c>
      <c r="U78" s="5">
        <f t="shared" si="110"/>
        <v>21</v>
      </c>
      <c r="V78" s="5">
        <f t="shared" si="110"/>
        <v>21</v>
      </c>
      <c r="W78" s="5">
        <f t="shared" si="110"/>
        <v>21</v>
      </c>
      <c r="X78" s="5">
        <f t="shared" si="110"/>
        <v>21</v>
      </c>
      <c r="Y78" s="5">
        <f t="shared" si="110"/>
        <v>21</v>
      </c>
      <c r="Z78" s="5">
        <f t="shared" si="110"/>
        <v>21</v>
      </c>
      <c r="AA78" s="5">
        <f t="shared" si="110"/>
        <v>21</v>
      </c>
      <c r="AB78" s="5">
        <f t="shared" si="110"/>
        <v>21</v>
      </c>
      <c r="AC78" s="383">
        <f>'[12]Org.Structure (IT)'!$J$35</f>
        <v>21</v>
      </c>
      <c r="AD78" s="5">
        <f t="shared" si="111"/>
        <v>36</v>
      </c>
      <c r="AE78" s="5">
        <f t="shared" si="112"/>
        <v>36</v>
      </c>
      <c r="AF78" s="5">
        <f t="shared" si="112"/>
        <v>36</v>
      </c>
      <c r="AG78" s="5">
        <f t="shared" si="112"/>
        <v>36</v>
      </c>
      <c r="AH78" s="5">
        <f t="shared" si="112"/>
        <v>36</v>
      </c>
      <c r="AI78" s="5">
        <f t="shared" si="112"/>
        <v>36</v>
      </c>
      <c r="AJ78" s="5">
        <f t="shared" si="112"/>
        <v>36</v>
      </c>
      <c r="AK78" s="5">
        <f t="shared" si="112"/>
        <v>36</v>
      </c>
      <c r="AL78" s="5">
        <f t="shared" si="112"/>
        <v>36</v>
      </c>
      <c r="AM78" s="5">
        <f t="shared" si="112"/>
        <v>36</v>
      </c>
      <c r="AN78" s="5">
        <f t="shared" si="112"/>
        <v>36</v>
      </c>
      <c r="AO78" s="5">
        <f t="shared" si="112"/>
        <v>36</v>
      </c>
      <c r="AP78" s="383">
        <f>'[12]Org.Structure (IT)'!$K$35</f>
        <v>36</v>
      </c>
      <c r="AQ78" s="5">
        <f t="shared" si="113"/>
        <v>39</v>
      </c>
      <c r="AR78" s="5">
        <f t="shared" si="114"/>
        <v>39</v>
      </c>
      <c r="AS78" s="5">
        <f t="shared" si="114"/>
        <v>39</v>
      </c>
      <c r="AT78" s="5">
        <f t="shared" si="114"/>
        <v>39</v>
      </c>
      <c r="AU78" s="5">
        <f t="shared" si="114"/>
        <v>39</v>
      </c>
      <c r="AV78" s="5">
        <f t="shared" si="114"/>
        <v>39</v>
      </c>
      <c r="AW78" s="5">
        <f t="shared" si="114"/>
        <v>39</v>
      </c>
      <c r="AX78" s="5">
        <f t="shared" si="114"/>
        <v>39</v>
      </c>
      <c r="AY78" s="5">
        <f t="shared" si="114"/>
        <v>39</v>
      </c>
      <c r="AZ78" s="5">
        <f t="shared" si="114"/>
        <v>39</v>
      </c>
      <c r="BA78" s="5">
        <f t="shared" si="114"/>
        <v>39</v>
      </c>
      <c r="BB78" s="5">
        <f t="shared" si="114"/>
        <v>39</v>
      </c>
      <c r="BC78" s="383">
        <f>'[12]Org.Structure (IT)'!$L$35</f>
        <v>39</v>
      </c>
      <c r="BD78" s="5">
        <f t="shared" si="115"/>
        <v>39</v>
      </c>
      <c r="BE78" s="5">
        <f t="shared" si="116"/>
        <v>39</v>
      </c>
      <c r="BF78" s="5">
        <f t="shared" si="116"/>
        <v>39</v>
      </c>
      <c r="BG78" s="5">
        <f t="shared" si="116"/>
        <v>39</v>
      </c>
      <c r="BH78" s="5">
        <f t="shared" si="116"/>
        <v>39</v>
      </c>
      <c r="BI78" s="5">
        <f t="shared" si="116"/>
        <v>39</v>
      </c>
      <c r="BJ78" s="5">
        <f t="shared" si="116"/>
        <v>39</v>
      </c>
      <c r="BK78" s="5">
        <f t="shared" si="116"/>
        <v>39</v>
      </c>
      <c r="BL78" s="5">
        <f t="shared" si="116"/>
        <v>39</v>
      </c>
      <c r="BM78" s="5">
        <f t="shared" si="116"/>
        <v>39</v>
      </c>
      <c r="BN78" s="5">
        <f t="shared" si="116"/>
        <v>39</v>
      </c>
      <c r="BO78" s="5">
        <f t="shared" si="116"/>
        <v>39</v>
      </c>
      <c r="BP78" s="383">
        <f>'[12]Org.Structure (IT)'!$M$35</f>
        <v>39</v>
      </c>
      <c r="CE78" s="605" t="s">
        <v>822</v>
      </c>
      <c r="CF78" s="12" t="s">
        <v>1226</v>
      </c>
    </row>
    <row r="79" spans="1:84" s="5" customFormat="1" hidden="1" outlineLevel="1">
      <c r="A79" s="605" t="s">
        <v>823</v>
      </c>
      <c r="B79" s="12" t="s">
        <v>245</v>
      </c>
      <c r="D79" s="5">
        <f t="shared" si="107"/>
        <v>10.5</v>
      </c>
      <c r="E79" s="5">
        <f t="shared" si="108"/>
        <v>10.5</v>
      </c>
      <c r="F79" s="5">
        <f t="shared" si="108"/>
        <v>10.5</v>
      </c>
      <c r="G79" s="5">
        <f t="shared" si="108"/>
        <v>10.5</v>
      </c>
      <c r="H79" s="5">
        <f t="shared" si="108"/>
        <v>10.5</v>
      </c>
      <c r="I79" s="5">
        <f t="shared" si="108"/>
        <v>10.5</v>
      </c>
      <c r="J79" s="5">
        <f t="shared" si="108"/>
        <v>10.5</v>
      </c>
      <c r="K79" s="5">
        <f t="shared" si="108"/>
        <v>10.5</v>
      </c>
      <c r="L79" s="5">
        <f t="shared" si="108"/>
        <v>10.5</v>
      </c>
      <c r="M79" s="5">
        <f t="shared" si="108"/>
        <v>10.5</v>
      </c>
      <c r="N79" s="5">
        <f t="shared" si="108"/>
        <v>10.5</v>
      </c>
      <c r="O79" s="5">
        <f t="shared" si="108"/>
        <v>10.5</v>
      </c>
      <c r="P79" s="383">
        <f>'[12]Org.Structure (IT)'!$I$53</f>
        <v>10.5</v>
      </c>
      <c r="Q79" s="5">
        <f t="shared" si="109"/>
        <v>10.5</v>
      </c>
      <c r="R79" s="5">
        <f t="shared" si="110"/>
        <v>10.5</v>
      </c>
      <c r="S79" s="5">
        <f t="shared" si="110"/>
        <v>10.5</v>
      </c>
      <c r="T79" s="5">
        <f t="shared" si="110"/>
        <v>10.5</v>
      </c>
      <c r="U79" s="5">
        <f t="shared" si="110"/>
        <v>10.5</v>
      </c>
      <c r="V79" s="5">
        <f t="shared" si="110"/>
        <v>10.5</v>
      </c>
      <c r="W79" s="5">
        <f t="shared" si="110"/>
        <v>10.5</v>
      </c>
      <c r="X79" s="5">
        <f t="shared" si="110"/>
        <v>10.5</v>
      </c>
      <c r="Y79" s="5">
        <f t="shared" si="110"/>
        <v>10.5</v>
      </c>
      <c r="Z79" s="5">
        <f t="shared" si="110"/>
        <v>10.5</v>
      </c>
      <c r="AA79" s="5">
        <f t="shared" si="110"/>
        <v>10.5</v>
      </c>
      <c r="AB79" s="5">
        <f t="shared" si="110"/>
        <v>10.5</v>
      </c>
      <c r="AC79" s="383">
        <f>'[12]Org.Structure (IT)'!$J$53</f>
        <v>10.5</v>
      </c>
      <c r="AD79" s="5">
        <f t="shared" si="111"/>
        <v>16</v>
      </c>
      <c r="AE79" s="5">
        <f t="shared" si="112"/>
        <v>16</v>
      </c>
      <c r="AF79" s="5">
        <f t="shared" si="112"/>
        <v>16</v>
      </c>
      <c r="AG79" s="5">
        <f t="shared" si="112"/>
        <v>16</v>
      </c>
      <c r="AH79" s="5">
        <f t="shared" si="112"/>
        <v>16</v>
      </c>
      <c r="AI79" s="5">
        <f t="shared" si="112"/>
        <v>16</v>
      </c>
      <c r="AJ79" s="5">
        <f t="shared" si="112"/>
        <v>16</v>
      </c>
      <c r="AK79" s="5">
        <f t="shared" si="112"/>
        <v>16</v>
      </c>
      <c r="AL79" s="5">
        <f t="shared" si="112"/>
        <v>16</v>
      </c>
      <c r="AM79" s="5">
        <f t="shared" si="112"/>
        <v>16</v>
      </c>
      <c r="AN79" s="5">
        <f t="shared" si="112"/>
        <v>16</v>
      </c>
      <c r="AO79" s="5">
        <f t="shared" si="112"/>
        <v>16</v>
      </c>
      <c r="AP79" s="383">
        <f>'[12]Org.Structure (IT)'!$K$53</f>
        <v>16</v>
      </c>
      <c r="AQ79" s="5">
        <f t="shared" si="113"/>
        <v>16</v>
      </c>
      <c r="AR79" s="5">
        <f t="shared" si="114"/>
        <v>16</v>
      </c>
      <c r="AS79" s="5">
        <f t="shared" si="114"/>
        <v>16</v>
      </c>
      <c r="AT79" s="5">
        <f t="shared" si="114"/>
        <v>16</v>
      </c>
      <c r="AU79" s="5">
        <f t="shared" si="114"/>
        <v>16</v>
      </c>
      <c r="AV79" s="5">
        <f t="shared" si="114"/>
        <v>16</v>
      </c>
      <c r="AW79" s="5">
        <f t="shared" si="114"/>
        <v>16</v>
      </c>
      <c r="AX79" s="5">
        <f t="shared" si="114"/>
        <v>16</v>
      </c>
      <c r="AY79" s="5">
        <f t="shared" si="114"/>
        <v>16</v>
      </c>
      <c r="AZ79" s="5">
        <f t="shared" si="114"/>
        <v>16</v>
      </c>
      <c r="BA79" s="5">
        <f t="shared" si="114"/>
        <v>16</v>
      </c>
      <c r="BB79" s="5">
        <f t="shared" si="114"/>
        <v>16</v>
      </c>
      <c r="BC79" s="383">
        <f>'[12]Org.Structure (IT)'!$L$53</f>
        <v>16</v>
      </c>
      <c r="BD79" s="5">
        <f t="shared" si="115"/>
        <v>16</v>
      </c>
      <c r="BE79" s="5">
        <f t="shared" si="116"/>
        <v>16</v>
      </c>
      <c r="BF79" s="5">
        <f t="shared" si="116"/>
        <v>16</v>
      </c>
      <c r="BG79" s="5">
        <f t="shared" si="116"/>
        <v>16</v>
      </c>
      <c r="BH79" s="5">
        <f t="shared" si="116"/>
        <v>16</v>
      </c>
      <c r="BI79" s="5">
        <f t="shared" si="116"/>
        <v>16</v>
      </c>
      <c r="BJ79" s="5">
        <f t="shared" si="116"/>
        <v>16</v>
      </c>
      <c r="BK79" s="5">
        <f t="shared" si="116"/>
        <v>16</v>
      </c>
      <c r="BL79" s="5">
        <f t="shared" si="116"/>
        <v>16</v>
      </c>
      <c r="BM79" s="5">
        <f t="shared" si="116"/>
        <v>16</v>
      </c>
      <c r="BN79" s="5">
        <f t="shared" si="116"/>
        <v>16</v>
      </c>
      <c r="BO79" s="5">
        <f t="shared" si="116"/>
        <v>16</v>
      </c>
      <c r="BP79" s="383">
        <f>'[12]Org.Structure (IT)'!$M$53</f>
        <v>16</v>
      </c>
      <c r="CE79" s="605" t="s">
        <v>823</v>
      </c>
      <c r="CF79" s="12" t="s">
        <v>1226</v>
      </c>
    </row>
    <row r="80" spans="1:84" s="5" customFormat="1" hidden="1" outlineLevel="1">
      <c r="A80" s="605" t="s">
        <v>824</v>
      </c>
      <c r="B80" s="12" t="s">
        <v>245</v>
      </c>
      <c r="D80" s="5">
        <f t="shared" si="107"/>
        <v>11.5</v>
      </c>
      <c r="E80" s="5">
        <f t="shared" si="108"/>
        <v>11.5</v>
      </c>
      <c r="F80" s="5">
        <f t="shared" si="108"/>
        <v>11.5</v>
      </c>
      <c r="G80" s="5">
        <f t="shared" si="108"/>
        <v>11.5</v>
      </c>
      <c r="H80" s="5">
        <f t="shared" si="108"/>
        <v>11.5</v>
      </c>
      <c r="I80" s="5">
        <f t="shared" si="108"/>
        <v>11.5</v>
      </c>
      <c r="J80" s="5">
        <f t="shared" si="108"/>
        <v>11.5</v>
      </c>
      <c r="K80" s="5">
        <f t="shared" si="108"/>
        <v>11.5</v>
      </c>
      <c r="L80" s="5">
        <f t="shared" si="108"/>
        <v>11.5</v>
      </c>
      <c r="M80" s="5">
        <f t="shared" si="108"/>
        <v>11.5</v>
      </c>
      <c r="N80" s="5">
        <f t="shared" si="108"/>
        <v>11.5</v>
      </c>
      <c r="O80" s="5">
        <f t="shared" si="108"/>
        <v>11.5</v>
      </c>
      <c r="P80" s="383">
        <f>'[12]Org.Structure (IT)'!$I$64</f>
        <v>11.5</v>
      </c>
      <c r="Q80" s="5">
        <f t="shared" si="109"/>
        <v>12.5</v>
      </c>
      <c r="R80" s="5">
        <f t="shared" si="110"/>
        <v>12.5</v>
      </c>
      <c r="S80" s="5">
        <f t="shared" si="110"/>
        <v>12.5</v>
      </c>
      <c r="T80" s="5">
        <f t="shared" si="110"/>
        <v>12.5</v>
      </c>
      <c r="U80" s="5">
        <f t="shared" si="110"/>
        <v>12.5</v>
      </c>
      <c r="V80" s="5">
        <f t="shared" si="110"/>
        <v>12.5</v>
      </c>
      <c r="W80" s="5">
        <f t="shared" si="110"/>
        <v>12.5</v>
      </c>
      <c r="X80" s="5">
        <f t="shared" si="110"/>
        <v>12.5</v>
      </c>
      <c r="Y80" s="5">
        <f t="shared" si="110"/>
        <v>12.5</v>
      </c>
      <c r="Z80" s="5">
        <f t="shared" si="110"/>
        <v>12.5</v>
      </c>
      <c r="AA80" s="5">
        <f t="shared" si="110"/>
        <v>12.5</v>
      </c>
      <c r="AB80" s="5">
        <f t="shared" si="110"/>
        <v>12.5</v>
      </c>
      <c r="AC80" s="383">
        <f>'[12]Org.Structure (IT)'!$J$64</f>
        <v>12.5</v>
      </c>
      <c r="AD80" s="5">
        <f t="shared" si="111"/>
        <v>14.5</v>
      </c>
      <c r="AE80" s="5">
        <f t="shared" si="112"/>
        <v>14.5</v>
      </c>
      <c r="AF80" s="5">
        <f t="shared" si="112"/>
        <v>14.5</v>
      </c>
      <c r="AG80" s="5">
        <f t="shared" si="112"/>
        <v>14.5</v>
      </c>
      <c r="AH80" s="5">
        <f t="shared" si="112"/>
        <v>14.5</v>
      </c>
      <c r="AI80" s="5">
        <f t="shared" si="112"/>
        <v>14.5</v>
      </c>
      <c r="AJ80" s="5">
        <f t="shared" si="112"/>
        <v>14.5</v>
      </c>
      <c r="AK80" s="5">
        <f t="shared" si="112"/>
        <v>14.5</v>
      </c>
      <c r="AL80" s="5">
        <f t="shared" si="112"/>
        <v>14.5</v>
      </c>
      <c r="AM80" s="5">
        <f t="shared" si="112"/>
        <v>14.5</v>
      </c>
      <c r="AN80" s="5">
        <f t="shared" si="112"/>
        <v>14.5</v>
      </c>
      <c r="AO80" s="5">
        <f t="shared" si="112"/>
        <v>14.5</v>
      </c>
      <c r="AP80" s="383">
        <f>'[12]Org.Structure (IT)'!$K$64</f>
        <v>14.5</v>
      </c>
      <c r="AQ80" s="5">
        <f t="shared" si="113"/>
        <v>15.5</v>
      </c>
      <c r="AR80" s="5">
        <f t="shared" si="114"/>
        <v>15.5</v>
      </c>
      <c r="AS80" s="5">
        <f t="shared" si="114"/>
        <v>15.5</v>
      </c>
      <c r="AT80" s="5">
        <f t="shared" si="114"/>
        <v>15.5</v>
      </c>
      <c r="AU80" s="5">
        <f t="shared" si="114"/>
        <v>15.5</v>
      </c>
      <c r="AV80" s="5">
        <f t="shared" si="114"/>
        <v>15.5</v>
      </c>
      <c r="AW80" s="5">
        <f t="shared" si="114"/>
        <v>15.5</v>
      </c>
      <c r="AX80" s="5">
        <f t="shared" si="114"/>
        <v>15.5</v>
      </c>
      <c r="AY80" s="5">
        <f t="shared" si="114"/>
        <v>15.5</v>
      </c>
      <c r="AZ80" s="5">
        <f t="shared" si="114"/>
        <v>15.5</v>
      </c>
      <c r="BA80" s="5">
        <f t="shared" si="114"/>
        <v>15.5</v>
      </c>
      <c r="BB80" s="5">
        <f t="shared" si="114"/>
        <v>15.5</v>
      </c>
      <c r="BC80" s="383">
        <f>'[12]Org.Structure (IT)'!$L$64</f>
        <v>15.5</v>
      </c>
      <c r="BD80" s="5">
        <f t="shared" si="115"/>
        <v>16.5</v>
      </c>
      <c r="BE80" s="5">
        <f t="shared" si="116"/>
        <v>16.5</v>
      </c>
      <c r="BF80" s="5">
        <f t="shared" si="116"/>
        <v>16.5</v>
      </c>
      <c r="BG80" s="5">
        <f t="shared" si="116"/>
        <v>16.5</v>
      </c>
      <c r="BH80" s="5">
        <f t="shared" si="116"/>
        <v>16.5</v>
      </c>
      <c r="BI80" s="5">
        <f t="shared" si="116"/>
        <v>16.5</v>
      </c>
      <c r="BJ80" s="5">
        <f t="shared" si="116"/>
        <v>16.5</v>
      </c>
      <c r="BK80" s="5">
        <f t="shared" si="116"/>
        <v>16.5</v>
      </c>
      <c r="BL80" s="5">
        <f t="shared" si="116"/>
        <v>16.5</v>
      </c>
      <c r="BM80" s="5">
        <f t="shared" si="116"/>
        <v>16.5</v>
      </c>
      <c r="BN80" s="5">
        <f t="shared" si="116"/>
        <v>16.5</v>
      </c>
      <c r="BO80" s="5">
        <f t="shared" si="116"/>
        <v>16.5</v>
      </c>
      <c r="BP80" s="383">
        <f>'[12]Org.Structure (IT)'!$M$64</f>
        <v>16.5</v>
      </c>
      <c r="CE80" s="605" t="s">
        <v>824</v>
      </c>
      <c r="CF80" s="12" t="s">
        <v>1226</v>
      </c>
    </row>
    <row r="81" spans="1:84" s="5" customFormat="1" hidden="1" outlineLevel="1">
      <c r="A81" s="605" t="s">
        <v>825</v>
      </c>
      <c r="B81" s="12" t="s">
        <v>245</v>
      </c>
      <c r="D81" s="5">
        <f t="shared" si="107"/>
        <v>1</v>
      </c>
      <c r="E81" s="5">
        <f t="shared" si="108"/>
        <v>1</v>
      </c>
      <c r="F81" s="5">
        <f t="shared" si="108"/>
        <v>1</v>
      </c>
      <c r="G81" s="5">
        <f t="shared" si="108"/>
        <v>1</v>
      </c>
      <c r="H81" s="5">
        <f t="shared" si="108"/>
        <v>1</v>
      </c>
      <c r="I81" s="5">
        <f t="shared" si="108"/>
        <v>1</v>
      </c>
      <c r="J81" s="5">
        <f t="shared" si="108"/>
        <v>1</v>
      </c>
      <c r="K81" s="5">
        <f t="shared" si="108"/>
        <v>1</v>
      </c>
      <c r="L81" s="5">
        <f t="shared" si="108"/>
        <v>1</v>
      </c>
      <c r="M81" s="5">
        <f t="shared" si="108"/>
        <v>1</v>
      </c>
      <c r="N81" s="5">
        <f t="shared" si="108"/>
        <v>1</v>
      </c>
      <c r="O81" s="5">
        <f t="shared" si="108"/>
        <v>1</v>
      </c>
      <c r="P81" s="383">
        <f>'[12]Org.Structure (IT)'!$I$77</f>
        <v>1</v>
      </c>
      <c r="Q81" s="5">
        <f t="shared" si="109"/>
        <v>5</v>
      </c>
      <c r="R81" s="5">
        <f t="shared" si="110"/>
        <v>5</v>
      </c>
      <c r="S81" s="5">
        <f t="shared" si="110"/>
        <v>5</v>
      </c>
      <c r="T81" s="5">
        <f t="shared" si="110"/>
        <v>5</v>
      </c>
      <c r="U81" s="5">
        <f t="shared" si="110"/>
        <v>5</v>
      </c>
      <c r="V81" s="5">
        <f t="shared" si="110"/>
        <v>5</v>
      </c>
      <c r="W81" s="5">
        <f t="shared" si="110"/>
        <v>5</v>
      </c>
      <c r="X81" s="5">
        <f t="shared" si="110"/>
        <v>5</v>
      </c>
      <c r="Y81" s="5">
        <f t="shared" si="110"/>
        <v>5</v>
      </c>
      <c r="Z81" s="5">
        <f t="shared" si="110"/>
        <v>5</v>
      </c>
      <c r="AA81" s="5">
        <f t="shared" si="110"/>
        <v>5</v>
      </c>
      <c r="AB81" s="5">
        <f t="shared" si="110"/>
        <v>5</v>
      </c>
      <c r="AC81" s="383">
        <f>'[12]Org.Structure (IT)'!$J$77</f>
        <v>5</v>
      </c>
      <c r="AD81" s="5">
        <f t="shared" si="111"/>
        <v>5</v>
      </c>
      <c r="AE81" s="5">
        <f t="shared" si="112"/>
        <v>5</v>
      </c>
      <c r="AF81" s="5">
        <f t="shared" si="112"/>
        <v>5</v>
      </c>
      <c r="AG81" s="5">
        <f t="shared" si="112"/>
        <v>5</v>
      </c>
      <c r="AH81" s="5">
        <f t="shared" si="112"/>
        <v>5</v>
      </c>
      <c r="AI81" s="5">
        <f t="shared" si="112"/>
        <v>5</v>
      </c>
      <c r="AJ81" s="5">
        <f t="shared" si="112"/>
        <v>5</v>
      </c>
      <c r="AK81" s="5">
        <f t="shared" si="112"/>
        <v>5</v>
      </c>
      <c r="AL81" s="5">
        <f t="shared" si="112"/>
        <v>5</v>
      </c>
      <c r="AM81" s="5">
        <f t="shared" si="112"/>
        <v>5</v>
      </c>
      <c r="AN81" s="5">
        <f t="shared" si="112"/>
        <v>5</v>
      </c>
      <c r="AO81" s="5">
        <f t="shared" si="112"/>
        <v>5</v>
      </c>
      <c r="AP81" s="383">
        <f>'[12]Org.Structure (IT)'!$K$77</f>
        <v>5</v>
      </c>
      <c r="AQ81" s="5">
        <f t="shared" si="113"/>
        <v>5.5</v>
      </c>
      <c r="AR81" s="5">
        <f t="shared" si="114"/>
        <v>5.5</v>
      </c>
      <c r="AS81" s="5">
        <f t="shared" si="114"/>
        <v>5.5</v>
      </c>
      <c r="AT81" s="5">
        <f t="shared" si="114"/>
        <v>5.5</v>
      </c>
      <c r="AU81" s="5">
        <f t="shared" si="114"/>
        <v>5.5</v>
      </c>
      <c r="AV81" s="5">
        <f t="shared" si="114"/>
        <v>5.5</v>
      </c>
      <c r="AW81" s="5">
        <f t="shared" si="114"/>
        <v>5.5</v>
      </c>
      <c r="AX81" s="5">
        <f t="shared" si="114"/>
        <v>5.5</v>
      </c>
      <c r="AY81" s="5">
        <f t="shared" si="114"/>
        <v>5.5</v>
      </c>
      <c r="AZ81" s="5">
        <f t="shared" si="114"/>
        <v>5.5</v>
      </c>
      <c r="BA81" s="5">
        <f t="shared" si="114"/>
        <v>5.5</v>
      </c>
      <c r="BB81" s="5">
        <f t="shared" si="114"/>
        <v>5.5</v>
      </c>
      <c r="BC81" s="383">
        <f>'[12]Org.Structure (IT)'!$L$77</f>
        <v>5.5</v>
      </c>
      <c r="BD81" s="5">
        <f t="shared" si="115"/>
        <v>5.5</v>
      </c>
      <c r="BE81" s="5">
        <f t="shared" si="116"/>
        <v>5.5</v>
      </c>
      <c r="BF81" s="5">
        <f t="shared" si="116"/>
        <v>5.5</v>
      </c>
      <c r="BG81" s="5">
        <f t="shared" si="116"/>
        <v>5.5</v>
      </c>
      <c r="BH81" s="5">
        <f t="shared" si="116"/>
        <v>5.5</v>
      </c>
      <c r="BI81" s="5">
        <f t="shared" si="116"/>
        <v>5.5</v>
      </c>
      <c r="BJ81" s="5">
        <f t="shared" si="116"/>
        <v>5.5</v>
      </c>
      <c r="BK81" s="5">
        <f t="shared" si="116"/>
        <v>5.5</v>
      </c>
      <c r="BL81" s="5">
        <f t="shared" si="116"/>
        <v>5.5</v>
      </c>
      <c r="BM81" s="5">
        <f t="shared" si="116"/>
        <v>5.5</v>
      </c>
      <c r="BN81" s="5">
        <f t="shared" si="116"/>
        <v>5.5</v>
      </c>
      <c r="BO81" s="5">
        <f t="shared" si="116"/>
        <v>5.5</v>
      </c>
      <c r="BP81" s="383">
        <f>'[12]Org.Structure (IT)'!$M$77</f>
        <v>5.5</v>
      </c>
      <c r="CE81" s="605" t="s">
        <v>825</v>
      </c>
      <c r="CF81" s="12" t="s">
        <v>1226</v>
      </c>
    </row>
    <row r="82" spans="1:84" s="5" customFormat="1" hidden="1" outlineLevel="1">
      <c r="A82" s="605" t="s">
        <v>826</v>
      </c>
      <c r="B82" s="12" t="s">
        <v>245</v>
      </c>
      <c r="D82" s="5">
        <f t="shared" si="107"/>
        <v>5</v>
      </c>
      <c r="E82" s="5">
        <f t="shared" si="108"/>
        <v>5</v>
      </c>
      <c r="F82" s="5">
        <f t="shared" si="108"/>
        <v>5</v>
      </c>
      <c r="G82" s="5">
        <f t="shared" si="108"/>
        <v>5</v>
      </c>
      <c r="H82" s="5">
        <f t="shared" si="108"/>
        <v>5</v>
      </c>
      <c r="I82" s="5">
        <f t="shared" si="108"/>
        <v>5</v>
      </c>
      <c r="J82" s="5">
        <f t="shared" si="108"/>
        <v>5</v>
      </c>
      <c r="K82" s="5">
        <f t="shared" si="108"/>
        <v>5</v>
      </c>
      <c r="L82" s="5">
        <f t="shared" si="108"/>
        <v>5</v>
      </c>
      <c r="M82" s="5">
        <f t="shared" si="108"/>
        <v>5</v>
      </c>
      <c r="N82" s="5">
        <f t="shared" si="108"/>
        <v>5</v>
      </c>
      <c r="O82" s="5">
        <f t="shared" si="108"/>
        <v>5</v>
      </c>
      <c r="P82" s="383">
        <f>'[12]Org.Structure (IT)'!$I$86</f>
        <v>5</v>
      </c>
      <c r="Q82" s="5">
        <f t="shared" si="109"/>
        <v>5</v>
      </c>
      <c r="R82" s="5">
        <f t="shared" si="110"/>
        <v>5</v>
      </c>
      <c r="S82" s="5">
        <f t="shared" si="110"/>
        <v>5</v>
      </c>
      <c r="T82" s="5">
        <f t="shared" si="110"/>
        <v>5</v>
      </c>
      <c r="U82" s="5">
        <f t="shared" si="110"/>
        <v>5</v>
      </c>
      <c r="V82" s="5">
        <f t="shared" si="110"/>
        <v>5</v>
      </c>
      <c r="W82" s="5">
        <f t="shared" si="110"/>
        <v>5</v>
      </c>
      <c r="X82" s="5">
        <f t="shared" si="110"/>
        <v>5</v>
      </c>
      <c r="Y82" s="5">
        <f t="shared" si="110"/>
        <v>5</v>
      </c>
      <c r="Z82" s="5">
        <f t="shared" si="110"/>
        <v>5</v>
      </c>
      <c r="AA82" s="5">
        <f t="shared" si="110"/>
        <v>5</v>
      </c>
      <c r="AB82" s="5">
        <f t="shared" si="110"/>
        <v>5</v>
      </c>
      <c r="AC82" s="383">
        <f>'[12]Org.Structure (IT)'!$J$86</f>
        <v>5</v>
      </c>
      <c r="AD82" s="5">
        <f t="shared" si="111"/>
        <v>7</v>
      </c>
      <c r="AE82" s="5">
        <f t="shared" si="112"/>
        <v>7</v>
      </c>
      <c r="AF82" s="5">
        <f t="shared" si="112"/>
        <v>7</v>
      </c>
      <c r="AG82" s="5">
        <f t="shared" si="112"/>
        <v>7</v>
      </c>
      <c r="AH82" s="5">
        <f t="shared" si="112"/>
        <v>7</v>
      </c>
      <c r="AI82" s="5">
        <f t="shared" si="112"/>
        <v>7</v>
      </c>
      <c r="AJ82" s="5">
        <f t="shared" si="112"/>
        <v>7</v>
      </c>
      <c r="AK82" s="5">
        <f t="shared" si="112"/>
        <v>7</v>
      </c>
      <c r="AL82" s="5">
        <f t="shared" si="112"/>
        <v>7</v>
      </c>
      <c r="AM82" s="5">
        <f t="shared" si="112"/>
        <v>7</v>
      </c>
      <c r="AN82" s="5">
        <f t="shared" si="112"/>
        <v>7</v>
      </c>
      <c r="AO82" s="5">
        <f t="shared" si="112"/>
        <v>7</v>
      </c>
      <c r="AP82" s="383">
        <f>'[12]Org.Structure (IT)'!$K$86</f>
        <v>7</v>
      </c>
      <c r="AQ82" s="5">
        <f t="shared" si="113"/>
        <v>8</v>
      </c>
      <c r="AR82" s="5">
        <f t="shared" si="114"/>
        <v>8</v>
      </c>
      <c r="AS82" s="5">
        <f t="shared" si="114"/>
        <v>8</v>
      </c>
      <c r="AT82" s="5">
        <f t="shared" si="114"/>
        <v>8</v>
      </c>
      <c r="AU82" s="5">
        <f t="shared" si="114"/>
        <v>8</v>
      </c>
      <c r="AV82" s="5">
        <f t="shared" si="114"/>
        <v>8</v>
      </c>
      <c r="AW82" s="5">
        <f t="shared" si="114"/>
        <v>8</v>
      </c>
      <c r="AX82" s="5">
        <f t="shared" si="114"/>
        <v>8</v>
      </c>
      <c r="AY82" s="5">
        <f t="shared" si="114"/>
        <v>8</v>
      </c>
      <c r="AZ82" s="5">
        <f t="shared" si="114"/>
        <v>8</v>
      </c>
      <c r="BA82" s="5">
        <f t="shared" si="114"/>
        <v>8</v>
      </c>
      <c r="BB82" s="5">
        <f t="shared" si="114"/>
        <v>8</v>
      </c>
      <c r="BC82" s="383">
        <f>'[12]Org.Structure (IT)'!$L$86</f>
        <v>8</v>
      </c>
      <c r="BD82" s="5">
        <f t="shared" si="115"/>
        <v>8</v>
      </c>
      <c r="BE82" s="5">
        <f t="shared" si="116"/>
        <v>8</v>
      </c>
      <c r="BF82" s="5">
        <f t="shared" si="116"/>
        <v>8</v>
      </c>
      <c r="BG82" s="5">
        <f t="shared" si="116"/>
        <v>8</v>
      </c>
      <c r="BH82" s="5">
        <f t="shared" si="116"/>
        <v>8</v>
      </c>
      <c r="BI82" s="5">
        <f t="shared" si="116"/>
        <v>8</v>
      </c>
      <c r="BJ82" s="5">
        <f t="shared" si="116"/>
        <v>8</v>
      </c>
      <c r="BK82" s="5">
        <f t="shared" si="116"/>
        <v>8</v>
      </c>
      <c r="BL82" s="5">
        <f t="shared" si="116"/>
        <v>8</v>
      </c>
      <c r="BM82" s="5">
        <f t="shared" si="116"/>
        <v>8</v>
      </c>
      <c r="BN82" s="5">
        <f t="shared" si="116"/>
        <v>8</v>
      </c>
      <c r="BO82" s="5">
        <f t="shared" si="116"/>
        <v>8</v>
      </c>
      <c r="BP82" s="383">
        <f>'[12]Org.Structure (IT)'!$M$86</f>
        <v>8</v>
      </c>
      <c r="CE82" s="605" t="s">
        <v>826</v>
      </c>
      <c r="CF82" s="12" t="s">
        <v>1226</v>
      </c>
    </row>
    <row r="83" spans="1:84" s="5" customFormat="1" hidden="1" outlineLevel="1">
      <c r="A83" s="605" t="s">
        <v>827</v>
      </c>
      <c r="B83" s="12" t="s">
        <v>245</v>
      </c>
      <c r="D83" s="5">
        <f t="shared" si="107"/>
        <v>21</v>
      </c>
      <c r="E83" s="5">
        <f t="shared" si="108"/>
        <v>21</v>
      </c>
      <c r="F83" s="5">
        <f t="shared" si="108"/>
        <v>21</v>
      </c>
      <c r="G83" s="5">
        <f t="shared" si="108"/>
        <v>21</v>
      </c>
      <c r="H83" s="5">
        <f t="shared" si="108"/>
        <v>21</v>
      </c>
      <c r="I83" s="5">
        <f t="shared" si="108"/>
        <v>21</v>
      </c>
      <c r="J83" s="5">
        <f t="shared" si="108"/>
        <v>21</v>
      </c>
      <c r="K83" s="5">
        <f t="shared" si="108"/>
        <v>21</v>
      </c>
      <c r="L83" s="5">
        <f t="shared" si="108"/>
        <v>21</v>
      </c>
      <c r="M83" s="5">
        <f t="shared" si="108"/>
        <v>21</v>
      </c>
      <c r="N83" s="5">
        <f t="shared" si="108"/>
        <v>21</v>
      </c>
      <c r="O83" s="5">
        <f t="shared" si="108"/>
        <v>21</v>
      </c>
      <c r="P83" s="383">
        <f>'[12]Org.Structure (IT)'!$I$95</f>
        <v>21</v>
      </c>
      <c r="Q83" s="5">
        <f t="shared" si="109"/>
        <v>25</v>
      </c>
      <c r="R83" s="5">
        <f t="shared" si="110"/>
        <v>25</v>
      </c>
      <c r="S83" s="5">
        <f t="shared" si="110"/>
        <v>25</v>
      </c>
      <c r="T83" s="5">
        <f t="shared" si="110"/>
        <v>25</v>
      </c>
      <c r="U83" s="5">
        <f t="shared" si="110"/>
        <v>25</v>
      </c>
      <c r="V83" s="5">
        <f t="shared" si="110"/>
        <v>25</v>
      </c>
      <c r="W83" s="5">
        <f t="shared" si="110"/>
        <v>25</v>
      </c>
      <c r="X83" s="5">
        <f t="shared" si="110"/>
        <v>25</v>
      </c>
      <c r="Y83" s="5">
        <f t="shared" si="110"/>
        <v>25</v>
      </c>
      <c r="Z83" s="5">
        <f t="shared" si="110"/>
        <v>25</v>
      </c>
      <c r="AA83" s="5">
        <f t="shared" si="110"/>
        <v>25</v>
      </c>
      <c r="AB83" s="5">
        <f t="shared" si="110"/>
        <v>25</v>
      </c>
      <c r="AC83" s="383">
        <f>'[12]Org.Structure (IT)'!$J$95</f>
        <v>25</v>
      </c>
      <c r="AD83" s="5">
        <f t="shared" si="111"/>
        <v>28</v>
      </c>
      <c r="AE83" s="5">
        <f t="shared" si="112"/>
        <v>28</v>
      </c>
      <c r="AF83" s="5">
        <f t="shared" si="112"/>
        <v>28</v>
      </c>
      <c r="AG83" s="5">
        <f t="shared" si="112"/>
        <v>28</v>
      </c>
      <c r="AH83" s="5">
        <f t="shared" si="112"/>
        <v>28</v>
      </c>
      <c r="AI83" s="5">
        <f t="shared" si="112"/>
        <v>28</v>
      </c>
      <c r="AJ83" s="5">
        <f t="shared" si="112"/>
        <v>28</v>
      </c>
      <c r="AK83" s="5">
        <f t="shared" si="112"/>
        <v>28</v>
      </c>
      <c r="AL83" s="5">
        <f t="shared" si="112"/>
        <v>28</v>
      </c>
      <c r="AM83" s="5">
        <f t="shared" si="112"/>
        <v>28</v>
      </c>
      <c r="AN83" s="5">
        <f t="shared" si="112"/>
        <v>28</v>
      </c>
      <c r="AO83" s="5">
        <f t="shared" si="112"/>
        <v>28</v>
      </c>
      <c r="AP83" s="383">
        <f>'[12]Org.Structure (IT)'!$K$95</f>
        <v>28</v>
      </c>
      <c r="AQ83" s="5">
        <f t="shared" si="113"/>
        <v>32</v>
      </c>
      <c r="AR83" s="5">
        <f t="shared" si="114"/>
        <v>32</v>
      </c>
      <c r="AS83" s="5">
        <f t="shared" si="114"/>
        <v>32</v>
      </c>
      <c r="AT83" s="5">
        <f t="shared" si="114"/>
        <v>32</v>
      </c>
      <c r="AU83" s="5">
        <f t="shared" si="114"/>
        <v>32</v>
      </c>
      <c r="AV83" s="5">
        <f t="shared" si="114"/>
        <v>32</v>
      </c>
      <c r="AW83" s="5">
        <f t="shared" si="114"/>
        <v>32</v>
      </c>
      <c r="AX83" s="5">
        <f t="shared" si="114"/>
        <v>32</v>
      </c>
      <c r="AY83" s="5">
        <f t="shared" si="114"/>
        <v>32</v>
      </c>
      <c r="AZ83" s="5">
        <f t="shared" si="114"/>
        <v>32</v>
      </c>
      <c r="BA83" s="5">
        <f t="shared" si="114"/>
        <v>32</v>
      </c>
      <c r="BB83" s="5">
        <f t="shared" si="114"/>
        <v>32</v>
      </c>
      <c r="BC83" s="383">
        <f>'[12]Org.Structure (IT)'!$L$95</f>
        <v>32</v>
      </c>
      <c r="BD83" s="5">
        <f t="shared" si="115"/>
        <v>37</v>
      </c>
      <c r="BE83" s="5">
        <f t="shared" si="116"/>
        <v>37</v>
      </c>
      <c r="BF83" s="5">
        <f t="shared" si="116"/>
        <v>37</v>
      </c>
      <c r="BG83" s="5">
        <f t="shared" si="116"/>
        <v>37</v>
      </c>
      <c r="BH83" s="5">
        <f t="shared" si="116"/>
        <v>37</v>
      </c>
      <c r="BI83" s="5">
        <f t="shared" si="116"/>
        <v>37</v>
      </c>
      <c r="BJ83" s="5">
        <f t="shared" si="116"/>
        <v>37</v>
      </c>
      <c r="BK83" s="5">
        <f t="shared" si="116"/>
        <v>37</v>
      </c>
      <c r="BL83" s="5">
        <f t="shared" si="116"/>
        <v>37</v>
      </c>
      <c r="BM83" s="5">
        <f t="shared" si="116"/>
        <v>37</v>
      </c>
      <c r="BN83" s="5">
        <f t="shared" si="116"/>
        <v>37</v>
      </c>
      <c r="BO83" s="5">
        <f t="shared" si="116"/>
        <v>37</v>
      </c>
      <c r="BP83" s="383">
        <f>'[12]Org.Structure (IT)'!$M$95</f>
        <v>37</v>
      </c>
      <c r="CE83" s="605" t="s">
        <v>827</v>
      </c>
      <c r="CF83" s="12" t="s">
        <v>1226</v>
      </c>
    </row>
    <row r="84" spans="1:84" s="5" customFormat="1" hidden="1" outlineLevel="1">
      <c r="A84" s="605" t="s">
        <v>828</v>
      </c>
      <c r="B84" s="12" t="s">
        <v>245</v>
      </c>
      <c r="D84" s="5">
        <f t="shared" si="107"/>
        <v>10</v>
      </c>
      <c r="E84" s="5">
        <f t="shared" si="108"/>
        <v>10</v>
      </c>
      <c r="F84" s="5">
        <f t="shared" si="108"/>
        <v>10</v>
      </c>
      <c r="G84" s="5">
        <f t="shared" si="108"/>
        <v>10</v>
      </c>
      <c r="H84" s="5">
        <f t="shared" si="108"/>
        <v>10</v>
      </c>
      <c r="I84" s="5">
        <f t="shared" si="108"/>
        <v>10</v>
      </c>
      <c r="J84" s="5">
        <f t="shared" si="108"/>
        <v>10</v>
      </c>
      <c r="K84" s="5">
        <f t="shared" si="108"/>
        <v>10</v>
      </c>
      <c r="L84" s="5">
        <f t="shared" si="108"/>
        <v>10</v>
      </c>
      <c r="M84" s="5">
        <f t="shared" si="108"/>
        <v>10</v>
      </c>
      <c r="N84" s="5">
        <f t="shared" si="108"/>
        <v>10</v>
      </c>
      <c r="O84" s="5">
        <f t="shared" si="108"/>
        <v>10</v>
      </c>
      <c r="P84" s="383">
        <f>'[12]Org.Structure (IT)'!$I$105</f>
        <v>10</v>
      </c>
      <c r="Q84" s="5">
        <f t="shared" si="109"/>
        <v>11</v>
      </c>
      <c r="R84" s="5">
        <f t="shared" si="110"/>
        <v>11</v>
      </c>
      <c r="S84" s="5">
        <f t="shared" si="110"/>
        <v>11</v>
      </c>
      <c r="T84" s="5">
        <f t="shared" si="110"/>
        <v>11</v>
      </c>
      <c r="U84" s="5">
        <f t="shared" si="110"/>
        <v>11</v>
      </c>
      <c r="V84" s="5">
        <f t="shared" si="110"/>
        <v>11</v>
      </c>
      <c r="W84" s="5">
        <f t="shared" si="110"/>
        <v>11</v>
      </c>
      <c r="X84" s="5">
        <f t="shared" si="110"/>
        <v>11</v>
      </c>
      <c r="Y84" s="5">
        <f t="shared" si="110"/>
        <v>11</v>
      </c>
      <c r="Z84" s="5">
        <f t="shared" si="110"/>
        <v>11</v>
      </c>
      <c r="AA84" s="5">
        <f t="shared" si="110"/>
        <v>11</v>
      </c>
      <c r="AB84" s="5">
        <f t="shared" si="110"/>
        <v>11</v>
      </c>
      <c r="AC84" s="383">
        <f>'[12]Org.Structure (IT)'!$J$105</f>
        <v>11</v>
      </c>
      <c r="AD84" s="5">
        <f t="shared" si="111"/>
        <v>15</v>
      </c>
      <c r="AE84" s="5">
        <f t="shared" si="112"/>
        <v>15</v>
      </c>
      <c r="AF84" s="5">
        <f t="shared" si="112"/>
        <v>15</v>
      </c>
      <c r="AG84" s="5">
        <f t="shared" si="112"/>
        <v>15</v>
      </c>
      <c r="AH84" s="5">
        <f t="shared" si="112"/>
        <v>15</v>
      </c>
      <c r="AI84" s="5">
        <f t="shared" si="112"/>
        <v>15</v>
      </c>
      <c r="AJ84" s="5">
        <f t="shared" si="112"/>
        <v>15</v>
      </c>
      <c r="AK84" s="5">
        <f t="shared" si="112"/>
        <v>15</v>
      </c>
      <c r="AL84" s="5">
        <f t="shared" si="112"/>
        <v>15</v>
      </c>
      <c r="AM84" s="5">
        <f t="shared" si="112"/>
        <v>15</v>
      </c>
      <c r="AN84" s="5">
        <f t="shared" si="112"/>
        <v>15</v>
      </c>
      <c r="AO84" s="5">
        <f t="shared" si="112"/>
        <v>15</v>
      </c>
      <c r="AP84" s="383">
        <f>'[12]Org.Structure (IT)'!$K$105</f>
        <v>15</v>
      </c>
      <c r="AQ84" s="5">
        <f t="shared" si="113"/>
        <v>15</v>
      </c>
      <c r="AR84" s="5">
        <f t="shared" si="114"/>
        <v>15</v>
      </c>
      <c r="AS84" s="5">
        <f t="shared" si="114"/>
        <v>15</v>
      </c>
      <c r="AT84" s="5">
        <f t="shared" si="114"/>
        <v>15</v>
      </c>
      <c r="AU84" s="5">
        <f t="shared" si="114"/>
        <v>15</v>
      </c>
      <c r="AV84" s="5">
        <f t="shared" si="114"/>
        <v>15</v>
      </c>
      <c r="AW84" s="5">
        <f t="shared" si="114"/>
        <v>15</v>
      </c>
      <c r="AX84" s="5">
        <f t="shared" si="114"/>
        <v>15</v>
      </c>
      <c r="AY84" s="5">
        <f t="shared" si="114"/>
        <v>15</v>
      </c>
      <c r="AZ84" s="5">
        <f t="shared" si="114"/>
        <v>15</v>
      </c>
      <c r="BA84" s="5">
        <f t="shared" si="114"/>
        <v>15</v>
      </c>
      <c r="BB84" s="5">
        <f t="shared" si="114"/>
        <v>15</v>
      </c>
      <c r="BC84" s="383">
        <f>'[12]Org.Structure (IT)'!$L$105</f>
        <v>15</v>
      </c>
      <c r="BD84" s="5">
        <f t="shared" si="115"/>
        <v>15</v>
      </c>
      <c r="BE84" s="5">
        <f t="shared" si="116"/>
        <v>15</v>
      </c>
      <c r="BF84" s="5">
        <f t="shared" si="116"/>
        <v>15</v>
      </c>
      <c r="BG84" s="5">
        <f t="shared" si="116"/>
        <v>15</v>
      </c>
      <c r="BH84" s="5">
        <f t="shared" si="116"/>
        <v>15</v>
      </c>
      <c r="BI84" s="5">
        <f t="shared" si="116"/>
        <v>15</v>
      </c>
      <c r="BJ84" s="5">
        <f t="shared" si="116"/>
        <v>15</v>
      </c>
      <c r="BK84" s="5">
        <f t="shared" si="116"/>
        <v>15</v>
      </c>
      <c r="BL84" s="5">
        <f t="shared" si="116"/>
        <v>15</v>
      </c>
      <c r="BM84" s="5">
        <f t="shared" si="116"/>
        <v>15</v>
      </c>
      <c r="BN84" s="5">
        <f t="shared" si="116"/>
        <v>15</v>
      </c>
      <c r="BO84" s="5">
        <f t="shared" si="116"/>
        <v>15</v>
      </c>
      <c r="BP84" s="383">
        <f>'[12]Org.Structure (IT)'!$M$105</f>
        <v>15</v>
      </c>
      <c r="CE84" s="605" t="s">
        <v>828</v>
      </c>
      <c r="CF84" s="12" t="s">
        <v>1226</v>
      </c>
    </row>
    <row r="85" spans="1:84" s="5" customFormat="1" hidden="1" outlineLevel="1">
      <c r="A85" s="605" t="s">
        <v>829</v>
      </c>
      <c r="B85" s="12" t="s">
        <v>245</v>
      </c>
      <c r="D85" s="5">
        <f t="shared" si="107"/>
        <v>7</v>
      </c>
      <c r="E85" s="5">
        <f t="shared" si="108"/>
        <v>7</v>
      </c>
      <c r="F85" s="5">
        <f t="shared" si="108"/>
        <v>7</v>
      </c>
      <c r="G85" s="5">
        <f t="shared" si="108"/>
        <v>7</v>
      </c>
      <c r="H85" s="5">
        <f t="shared" si="108"/>
        <v>7</v>
      </c>
      <c r="I85" s="5">
        <f t="shared" si="108"/>
        <v>7</v>
      </c>
      <c r="J85" s="5">
        <f t="shared" si="108"/>
        <v>7</v>
      </c>
      <c r="K85" s="5">
        <f t="shared" si="108"/>
        <v>7</v>
      </c>
      <c r="L85" s="5">
        <f t="shared" si="108"/>
        <v>7</v>
      </c>
      <c r="M85" s="5">
        <f t="shared" si="108"/>
        <v>7</v>
      </c>
      <c r="N85" s="5">
        <f t="shared" si="108"/>
        <v>7</v>
      </c>
      <c r="O85" s="5">
        <f t="shared" si="108"/>
        <v>7</v>
      </c>
      <c r="P85" s="383">
        <f>'[12]Org.Structure (IT)'!$I$116</f>
        <v>7</v>
      </c>
      <c r="Q85" s="5">
        <f t="shared" si="109"/>
        <v>8</v>
      </c>
      <c r="R85" s="5">
        <f t="shared" si="110"/>
        <v>8</v>
      </c>
      <c r="S85" s="5">
        <f t="shared" si="110"/>
        <v>8</v>
      </c>
      <c r="T85" s="5">
        <f t="shared" si="110"/>
        <v>8</v>
      </c>
      <c r="U85" s="5">
        <f t="shared" si="110"/>
        <v>8</v>
      </c>
      <c r="V85" s="5">
        <f t="shared" si="110"/>
        <v>8</v>
      </c>
      <c r="W85" s="5">
        <f t="shared" si="110"/>
        <v>8</v>
      </c>
      <c r="X85" s="5">
        <f t="shared" si="110"/>
        <v>8</v>
      </c>
      <c r="Y85" s="5">
        <f t="shared" si="110"/>
        <v>8</v>
      </c>
      <c r="Z85" s="5">
        <f t="shared" si="110"/>
        <v>8</v>
      </c>
      <c r="AA85" s="5">
        <f t="shared" si="110"/>
        <v>8</v>
      </c>
      <c r="AB85" s="5">
        <f t="shared" si="110"/>
        <v>8</v>
      </c>
      <c r="AC85" s="383">
        <f>'[12]Org.Structure (IT)'!$J$116</f>
        <v>8</v>
      </c>
      <c r="AD85" s="5">
        <f t="shared" si="111"/>
        <v>9</v>
      </c>
      <c r="AE85" s="5">
        <f t="shared" si="112"/>
        <v>9</v>
      </c>
      <c r="AF85" s="5">
        <f t="shared" si="112"/>
        <v>9</v>
      </c>
      <c r="AG85" s="5">
        <f t="shared" si="112"/>
        <v>9</v>
      </c>
      <c r="AH85" s="5">
        <f t="shared" si="112"/>
        <v>9</v>
      </c>
      <c r="AI85" s="5">
        <f t="shared" si="112"/>
        <v>9</v>
      </c>
      <c r="AJ85" s="5">
        <f t="shared" si="112"/>
        <v>9</v>
      </c>
      <c r="AK85" s="5">
        <f t="shared" si="112"/>
        <v>9</v>
      </c>
      <c r="AL85" s="5">
        <f t="shared" si="112"/>
        <v>9</v>
      </c>
      <c r="AM85" s="5">
        <f t="shared" si="112"/>
        <v>9</v>
      </c>
      <c r="AN85" s="5">
        <f t="shared" si="112"/>
        <v>9</v>
      </c>
      <c r="AO85" s="5">
        <f t="shared" si="112"/>
        <v>9</v>
      </c>
      <c r="AP85" s="383">
        <f>'[12]Org.Structure (IT)'!$K$116</f>
        <v>9</v>
      </c>
      <c r="AQ85" s="5">
        <f t="shared" si="113"/>
        <v>10</v>
      </c>
      <c r="AR85" s="5">
        <f t="shared" si="114"/>
        <v>10</v>
      </c>
      <c r="AS85" s="5">
        <f t="shared" si="114"/>
        <v>10</v>
      </c>
      <c r="AT85" s="5">
        <f t="shared" si="114"/>
        <v>10</v>
      </c>
      <c r="AU85" s="5">
        <f t="shared" si="114"/>
        <v>10</v>
      </c>
      <c r="AV85" s="5">
        <f t="shared" si="114"/>
        <v>10</v>
      </c>
      <c r="AW85" s="5">
        <f t="shared" si="114"/>
        <v>10</v>
      </c>
      <c r="AX85" s="5">
        <f t="shared" si="114"/>
        <v>10</v>
      </c>
      <c r="AY85" s="5">
        <f t="shared" si="114"/>
        <v>10</v>
      </c>
      <c r="AZ85" s="5">
        <f t="shared" si="114"/>
        <v>10</v>
      </c>
      <c r="BA85" s="5">
        <f t="shared" si="114"/>
        <v>10</v>
      </c>
      <c r="BB85" s="5">
        <f t="shared" si="114"/>
        <v>10</v>
      </c>
      <c r="BC85" s="383">
        <f>'[12]Org.Structure (IT)'!$L$116</f>
        <v>10</v>
      </c>
      <c r="BD85" s="5">
        <f t="shared" si="115"/>
        <v>10</v>
      </c>
      <c r="BE85" s="5">
        <f t="shared" si="116"/>
        <v>10</v>
      </c>
      <c r="BF85" s="5">
        <f t="shared" si="116"/>
        <v>10</v>
      </c>
      <c r="BG85" s="5">
        <f t="shared" si="116"/>
        <v>10</v>
      </c>
      <c r="BH85" s="5">
        <f t="shared" si="116"/>
        <v>10</v>
      </c>
      <c r="BI85" s="5">
        <f t="shared" si="116"/>
        <v>10</v>
      </c>
      <c r="BJ85" s="5">
        <f t="shared" si="116"/>
        <v>10</v>
      </c>
      <c r="BK85" s="5">
        <f t="shared" si="116"/>
        <v>10</v>
      </c>
      <c r="BL85" s="5">
        <f t="shared" si="116"/>
        <v>10</v>
      </c>
      <c r="BM85" s="5">
        <f t="shared" si="116"/>
        <v>10</v>
      </c>
      <c r="BN85" s="5">
        <f t="shared" si="116"/>
        <v>10</v>
      </c>
      <c r="BO85" s="5">
        <f t="shared" si="116"/>
        <v>10</v>
      </c>
      <c r="BP85" s="383">
        <f>'[12]Org.Structure (IT)'!$M$116</f>
        <v>10</v>
      </c>
      <c r="CE85" s="605" t="s">
        <v>829</v>
      </c>
      <c r="CF85" s="12" t="s">
        <v>1226</v>
      </c>
    </row>
    <row r="86" spans="1:84" s="5" customFormat="1" hidden="1" outlineLevel="1">
      <c r="A86" s="605" t="s">
        <v>830</v>
      </c>
      <c r="B86" s="12" t="s">
        <v>245</v>
      </c>
      <c r="D86" s="5">
        <f t="shared" si="107"/>
        <v>3</v>
      </c>
      <c r="E86" s="5">
        <f t="shared" si="108"/>
        <v>3</v>
      </c>
      <c r="F86" s="5">
        <f t="shared" si="108"/>
        <v>3</v>
      </c>
      <c r="G86" s="5">
        <f t="shared" si="108"/>
        <v>3</v>
      </c>
      <c r="H86" s="5">
        <f t="shared" si="108"/>
        <v>3</v>
      </c>
      <c r="I86" s="5">
        <f t="shared" si="108"/>
        <v>3</v>
      </c>
      <c r="J86" s="5">
        <f t="shared" si="108"/>
        <v>3</v>
      </c>
      <c r="K86" s="5">
        <f t="shared" si="108"/>
        <v>3</v>
      </c>
      <c r="L86" s="5">
        <f t="shared" si="108"/>
        <v>3</v>
      </c>
      <c r="M86" s="5">
        <f t="shared" si="108"/>
        <v>3</v>
      </c>
      <c r="N86" s="5">
        <f t="shared" si="108"/>
        <v>3</v>
      </c>
      <c r="O86" s="5">
        <f t="shared" si="108"/>
        <v>3</v>
      </c>
      <c r="P86" s="383">
        <f>'[12]Org.Structure (IT)'!$I$125</f>
        <v>3</v>
      </c>
      <c r="Q86" s="5">
        <f t="shared" si="109"/>
        <v>3</v>
      </c>
      <c r="R86" s="5">
        <f t="shared" si="110"/>
        <v>3</v>
      </c>
      <c r="S86" s="5">
        <f t="shared" si="110"/>
        <v>3</v>
      </c>
      <c r="T86" s="5">
        <f t="shared" si="110"/>
        <v>3</v>
      </c>
      <c r="U86" s="5">
        <f t="shared" si="110"/>
        <v>3</v>
      </c>
      <c r="V86" s="5">
        <f t="shared" si="110"/>
        <v>3</v>
      </c>
      <c r="W86" s="5">
        <f t="shared" si="110"/>
        <v>3</v>
      </c>
      <c r="X86" s="5">
        <f t="shared" si="110"/>
        <v>3</v>
      </c>
      <c r="Y86" s="5">
        <f t="shared" si="110"/>
        <v>3</v>
      </c>
      <c r="Z86" s="5">
        <f t="shared" si="110"/>
        <v>3</v>
      </c>
      <c r="AA86" s="5">
        <f t="shared" si="110"/>
        <v>3</v>
      </c>
      <c r="AB86" s="5">
        <f t="shared" si="110"/>
        <v>3</v>
      </c>
      <c r="AC86" s="383">
        <f>'[12]Org.Structure (IT)'!$J$125</f>
        <v>3</v>
      </c>
      <c r="AD86" s="5">
        <f t="shared" si="111"/>
        <v>4</v>
      </c>
      <c r="AE86" s="5">
        <f t="shared" si="112"/>
        <v>4</v>
      </c>
      <c r="AF86" s="5">
        <f t="shared" si="112"/>
        <v>4</v>
      </c>
      <c r="AG86" s="5">
        <f t="shared" si="112"/>
        <v>4</v>
      </c>
      <c r="AH86" s="5">
        <f t="shared" si="112"/>
        <v>4</v>
      </c>
      <c r="AI86" s="5">
        <f t="shared" si="112"/>
        <v>4</v>
      </c>
      <c r="AJ86" s="5">
        <f t="shared" si="112"/>
        <v>4</v>
      </c>
      <c r="AK86" s="5">
        <f t="shared" si="112"/>
        <v>4</v>
      </c>
      <c r="AL86" s="5">
        <f t="shared" si="112"/>
        <v>4</v>
      </c>
      <c r="AM86" s="5">
        <f t="shared" si="112"/>
        <v>4</v>
      </c>
      <c r="AN86" s="5">
        <f t="shared" si="112"/>
        <v>4</v>
      </c>
      <c r="AO86" s="5">
        <f t="shared" si="112"/>
        <v>4</v>
      </c>
      <c r="AP86" s="383">
        <f>'[12]Org.Structure (IT)'!$K$125</f>
        <v>4</v>
      </c>
      <c r="AQ86" s="5">
        <f t="shared" si="113"/>
        <v>4</v>
      </c>
      <c r="AR86" s="5">
        <f t="shared" si="114"/>
        <v>4</v>
      </c>
      <c r="AS86" s="5">
        <f t="shared" si="114"/>
        <v>4</v>
      </c>
      <c r="AT86" s="5">
        <f t="shared" si="114"/>
        <v>4</v>
      </c>
      <c r="AU86" s="5">
        <f t="shared" si="114"/>
        <v>4</v>
      </c>
      <c r="AV86" s="5">
        <f t="shared" si="114"/>
        <v>4</v>
      </c>
      <c r="AW86" s="5">
        <f t="shared" si="114"/>
        <v>4</v>
      </c>
      <c r="AX86" s="5">
        <f t="shared" si="114"/>
        <v>4</v>
      </c>
      <c r="AY86" s="5">
        <f t="shared" si="114"/>
        <v>4</v>
      </c>
      <c r="AZ86" s="5">
        <f t="shared" si="114"/>
        <v>4</v>
      </c>
      <c r="BA86" s="5">
        <f t="shared" si="114"/>
        <v>4</v>
      </c>
      <c r="BB86" s="5">
        <f t="shared" si="114"/>
        <v>4</v>
      </c>
      <c r="BC86" s="383">
        <f>'[12]Org.Structure (IT)'!$L$125</f>
        <v>4</v>
      </c>
      <c r="BD86" s="5">
        <f t="shared" si="115"/>
        <v>4</v>
      </c>
      <c r="BE86" s="5">
        <f t="shared" si="116"/>
        <v>4</v>
      </c>
      <c r="BF86" s="5">
        <f t="shared" si="116"/>
        <v>4</v>
      </c>
      <c r="BG86" s="5">
        <f t="shared" si="116"/>
        <v>4</v>
      </c>
      <c r="BH86" s="5">
        <f t="shared" si="116"/>
        <v>4</v>
      </c>
      <c r="BI86" s="5">
        <f t="shared" si="116"/>
        <v>4</v>
      </c>
      <c r="BJ86" s="5">
        <f t="shared" si="116"/>
        <v>4</v>
      </c>
      <c r="BK86" s="5">
        <f t="shared" si="116"/>
        <v>4</v>
      </c>
      <c r="BL86" s="5">
        <f t="shared" si="116"/>
        <v>4</v>
      </c>
      <c r="BM86" s="5">
        <f t="shared" si="116"/>
        <v>4</v>
      </c>
      <c r="BN86" s="5">
        <f t="shared" si="116"/>
        <v>4</v>
      </c>
      <c r="BO86" s="5">
        <f t="shared" si="116"/>
        <v>4</v>
      </c>
      <c r="BP86" s="383">
        <f>'[12]Org.Structure (IT)'!$M$125</f>
        <v>4</v>
      </c>
      <c r="CE86" s="605" t="s">
        <v>830</v>
      </c>
      <c r="CF86" s="12" t="s">
        <v>1226</v>
      </c>
    </row>
    <row r="87" spans="1:84" s="5" customFormat="1" hidden="1" outlineLevel="1">
      <c r="A87" s="605" t="s">
        <v>831</v>
      </c>
      <c r="B87" s="12" t="s">
        <v>245</v>
      </c>
      <c r="D87" s="5">
        <f t="shared" si="107"/>
        <v>4.5</v>
      </c>
      <c r="E87" s="5">
        <f t="shared" si="108"/>
        <v>4.5</v>
      </c>
      <c r="F87" s="5">
        <f t="shared" si="108"/>
        <v>4.5</v>
      </c>
      <c r="G87" s="5">
        <f t="shared" si="108"/>
        <v>4.5</v>
      </c>
      <c r="H87" s="5">
        <f t="shared" si="108"/>
        <v>4.5</v>
      </c>
      <c r="I87" s="5">
        <f t="shared" si="108"/>
        <v>4.5</v>
      </c>
      <c r="J87" s="5">
        <f t="shared" si="108"/>
        <v>4.5</v>
      </c>
      <c r="K87" s="5">
        <f t="shared" si="108"/>
        <v>4.5</v>
      </c>
      <c r="L87" s="5">
        <f t="shared" si="108"/>
        <v>4.5</v>
      </c>
      <c r="M87" s="5">
        <f t="shared" si="108"/>
        <v>4.5</v>
      </c>
      <c r="N87" s="5">
        <f t="shared" si="108"/>
        <v>4.5</v>
      </c>
      <c r="O87" s="5">
        <f t="shared" si="108"/>
        <v>4.5</v>
      </c>
      <c r="P87" s="383">
        <f>'[12]Org.Structure (IT)'!$I$130</f>
        <v>4.5</v>
      </c>
      <c r="Q87" s="5">
        <f t="shared" si="109"/>
        <v>4.5</v>
      </c>
      <c r="R87" s="5">
        <f t="shared" si="110"/>
        <v>4.5</v>
      </c>
      <c r="S87" s="5">
        <f t="shared" si="110"/>
        <v>4.5</v>
      </c>
      <c r="T87" s="5">
        <f t="shared" si="110"/>
        <v>4.5</v>
      </c>
      <c r="U87" s="5">
        <f t="shared" si="110"/>
        <v>4.5</v>
      </c>
      <c r="V87" s="5">
        <f t="shared" si="110"/>
        <v>4.5</v>
      </c>
      <c r="W87" s="5">
        <f t="shared" si="110"/>
        <v>4.5</v>
      </c>
      <c r="X87" s="5">
        <f t="shared" si="110"/>
        <v>4.5</v>
      </c>
      <c r="Y87" s="5">
        <f t="shared" si="110"/>
        <v>4.5</v>
      </c>
      <c r="Z87" s="5">
        <f t="shared" si="110"/>
        <v>4.5</v>
      </c>
      <c r="AA87" s="5">
        <f t="shared" si="110"/>
        <v>4.5</v>
      </c>
      <c r="AB87" s="5">
        <f t="shared" si="110"/>
        <v>4.5</v>
      </c>
      <c r="AC87" s="383">
        <f>'[12]Org.Structure (IT)'!$J$130</f>
        <v>4.5</v>
      </c>
      <c r="AD87" s="5">
        <f t="shared" si="111"/>
        <v>6.5</v>
      </c>
      <c r="AE87" s="5">
        <f t="shared" si="112"/>
        <v>6.5</v>
      </c>
      <c r="AF87" s="5">
        <f t="shared" si="112"/>
        <v>6.5</v>
      </c>
      <c r="AG87" s="5">
        <f t="shared" si="112"/>
        <v>6.5</v>
      </c>
      <c r="AH87" s="5">
        <f t="shared" si="112"/>
        <v>6.5</v>
      </c>
      <c r="AI87" s="5">
        <f t="shared" si="112"/>
        <v>6.5</v>
      </c>
      <c r="AJ87" s="5">
        <f t="shared" si="112"/>
        <v>6.5</v>
      </c>
      <c r="AK87" s="5">
        <f t="shared" si="112"/>
        <v>6.5</v>
      </c>
      <c r="AL87" s="5">
        <f t="shared" si="112"/>
        <v>6.5</v>
      </c>
      <c r="AM87" s="5">
        <f t="shared" si="112"/>
        <v>6.5</v>
      </c>
      <c r="AN87" s="5">
        <f t="shared" si="112"/>
        <v>6.5</v>
      </c>
      <c r="AO87" s="5">
        <f t="shared" si="112"/>
        <v>6.5</v>
      </c>
      <c r="AP87" s="383">
        <f>'[12]Org.Structure (IT)'!$K$130</f>
        <v>6.5</v>
      </c>
      <c r="AQ87" s="5">
        <f t="shared" si="113"/>
        <v>11.5</v>
      </c>
      <c r="AR87" s="5">
        <f t="shared" si="114"/>
        <v>11.5</v>
      </c>
      <c r="AS87" s="5">
        <f t="shared" si="114"/>
        <v>11.5</v>
      </c>
      <c r="AT87" s="5">
        <f t="shared" si="114"/>
        <v>11.5</v>
      </c>
      <c r="AU87" s="5">
        <f t="shared" si="114"/>
        <v>11.5</v>
      </c>
      <c r="AV87" s="5">
        <f t="shared" si="114"/>
        <v>11.5</v>
      </c>
      <c r="AW87" s="5">
        <f t="shared" si="114"/>
        <v>11.5</v>
      </c>
      <c r="AX87" s="5">
        <f t="shared" si="114"/>
        <v>11.5</v>
      </c>
      <c r="AY87" s="5">
        <f t="shared" si="114"/>
        <v>11.5</v>
      </c>
      <c r="AZ87" s="5">
        <f t="shared" si="114"/>
        <v>11.5</v>
      </c>
      <c r="BA87" s="5">
        <f t="shared" si="114"/>
        <v>11.5</v>
      </c>
      <c r="BB87" s="5">
        <f t="shared" si="114"/>
        <v>11.5</v>
      </c>
      <c r="BC87" s="383">
        <f>'[12]Org.Structure (IT)'!$L$130</f>
        <v>11.5</v>
      </c>
      <c r="BD87" s="5">
        <f t="shared" si="115"/>
        <v>13.5</v>
      </c>
      <c r="BE87" s="5">
        <f t="shared" si="116"/>
        <v>13.5</v>
      </c>
      <c r="BF87" s="5">
        <f t="shared" si="116"/>
        <v>13.5</v>
      </c>
      <c r="BG87" s="5">
        <f t="shared" si="116"/>
        <v>13.5</v>
      </c>
      <c r="BH87" s="5">
        <f t="shared" si="116"/>
        <v>13.5</v>
      </c>
      <c r="BI87" s="5">
        <f t="shared" si="116"/>
        <v>13.5</v>
      </c>
      <c r="BJ87" s="5">
        <f t="shared" si="116"/>
        <v>13.5</v>
      </c>
      <c r="BK87" s="5">
        <f t="shared" si="116"/>
        <v>13.5</v>
      </c>
      <c r="BL87" s="5">
        <f t="shared" si="116"/>
        <v>13.5</v>
      </c>
      <c r="BM87" s="5">
        <f t="shared" si="116"/>
        <v>13.5</v>
      </c>
      <c r="BN87" s="5">
        <f t="shared" si="116"/>
        <v>13.5</v>
      </c>
      <c r="BO87" s="5">
        <f t="shared" si="116"/>
        <v>13.5</v>
      </c>
      <c r="BP87" s="383">
        <f>'[12]Org.Structure (IT)'!$M$130</f>
        <v>13.5</v>
      </c>
      <c r="CE87" s="605" t="s">
        <v>831</v>
      </c>
      <c r="CF87" s="12" t="s">
        <v>1226</v>
      </c>
    </row>
    <row r="88" spans="1:84" s="5" customFormat="1" hidden="1" outlineLevel="1">
      <c r="A88" s="605" t="s">
        <v>832</v>
      </c>
      <c r="B88" s="12" t="s">
        <v>245</v>
      </c>
      <c r="D88" s="5">
        <f t="shared" si="107"/>
        <v>4</v>
      </c>
      <c r="E88" s="5">
        <f t="shared" si="108"/>
        <v>4</v>
      </c>
      <c r="F88" s="5">
        <f t="shared" si="108"/>
        <v>4</v>
      </c>
      <c r="G88" s="5">
        <f t="shared" si="108"/>
        <v>4</v>
      </c>
      <c r="H88" s="5">
        <f t="shared" si="108"/>
        <v>4</v>
      </c>
      <c r="I88" s="5">
        <f t="shared" si="108"/>
        <v>4</v>
      </c>
      <c r="J88" s="5">
        <f t="shared" si="108"/>
        <v>4</v>
      </c>
      <c r="K88" s="5">
        <f t="shared" si="108"/>
        <v>4</v>
      </c>
      <c r="L88" s="5">
        <f t="shared" si="108"/>
        <v>4</v>
      </c>
      <c r="M88" s="5">
        <f t="shared" si="108"/>
        <v>4</v>
      </c>
      <c r="N88" s="5">
        <f t="shared" si="108"/>
        <v>4</v>
      </c>
      <c r="O88" s="5">
        <f t="shared" si="108"/>
        <v>4</v>
      </c>
      <c r="P88" s="383">
        <f>'[12]Org.Structure (IT)'!$I$137</f>
        <v>4</v>
      </c>
      <c r="Q88" s="5">
        <f t="shared" si="109"/>
        <v>4</v>
      </c>
      <c r="R88" s="5">
        <f t="shared" si="110"/>
        <v>4</v>
      </c>
      <c r="S88" s="5">
        <f t="shared" si="110"/>
        <v>4</v>
      </c>
      <c r="T88" s="5">
        <f t="shared" si="110"/>
        <v>4</v>
      </c>
      <c r="U88" s="5">
        <f t="shared" si="110"/>
        <v>4</v>
      </c>
      <c r="V88" s="5">
        <f t="shared" si="110"/>
        <v>4</v>
      </c>
      <c r="W88" s="5">
        <f t="shared" si="110"/>
        <v>4</v>
      </c>
      <c r="X88" s="5">
        <f t="shared" si="110"/>
        <v>4</v>
      </c>
      <c r="Y88" s="5">
        <f t="shared" si="110"/>
        <v>4</v>
      </c>
      <c r="Z88" s="5">
        <f t="shared" si="110"/>
        <v>4</v>
      </c>
      <c r="AA88" s="5">
        <f t="shared" si="110"/>
        <v>4</v>
      </c>
      <c r="AB88" s="5">
        <f t="shared" si="110"/>
        <v>4</v>
      </c>
      <c r="AC88" s="383">
        <f>'[12]Org.Structure (IT)'!$J$137</f>
        <v>4</v>
      </c>
      <c r="AD88" s="5">
        <f t="shared" si="111"/>
        <v>8</v>
      </c>
      <c r="AE88" s="5">
        <f t="shared" si="112"/>
        <v>8</v>
      </c>
      <c r="AF88" s="5">
        <f t="shared" si="112"/>
        <v>8</v>
      </c>
      <c r="AG88" s="5">
        <f t="shared" si="112"/>
        <v>8</v>
      </c>
      <c r="AH88" s="5">
        <f t="shared" si="112"/>
        <v>8</v>
      </c>
      <c r="AI88" s="5">
        <f t="shared" si="112"/>
        <v>8</v>
      </c>
      <c r="AJ88" s="5">
        <f t="shared" si="112"/>
        <v>8</v>
      </c>
      <c r="AK88" s="5">
        <f t="shared" si="112"/>
        <v>8</v>
      </c>
      <c r="AL88" s="5">
        <f t="shared" si="112"/>
        <v>8</v>
      </c>
      <c r="AM88" s="5">
        <f t="shared" si="112"/>
        <v>8</v>
      </c>
      <c r="AN88" s="5">
        <f t="shared" si="112"/>
        <v>8</v>
      </c>
      <c r="AO88" s="5">
        <f t="shared" si="112"/>
        <v>8</v>
      </c>
      <c r="AP88" s="383">
        <f>'[12]Org.Structure (IT)'!$K$137</f>
        <v>8</v>
      </c>
      <c r="AQ88" s="5">
        <f t="shared" si="113"/>
        <v>12</v>
      </c>
      <c r="AR88" s="5">
        <f t="shared" si="114"/>
        <v>12</v>
      </c>
      <c r="AS88" s="5">
        <f t="shared" si="114"/>
        <v>12</v>
      </c>
      <c r="AT88" s="5">
        <f t="shared" si="114"/>
        <v>12</v>
      </c>
      <c r="AU88" s="5">
        <f t="shared" si="114"/>
        <v>12</v>
      </c>
      <c r="AV88" s="5">
        <f t="shared" si="114"/>
        <v>12</v>
      </c>
      <c r="AW88" s="5">
        <f t="shared" si="114"/>
        <v>12</v>
      </c>
      <c r="AX88" s="5">
        <f t="shared" si="114"/>
        <v>12</v>
      </c>
      <c r="AY88" s="5">
        <f t="shared" si="114"/>
        <v>12</v>
      </c>
      <c r="AZ88" s="5">
        <f t="shared" si="114"/>
        <v>12</v>
      </c>
      <c r="BA88" s="5">
        <f t="shared" si="114"/>
        <v>12</v>
      </c>
      <c r="BB88" s="5">
        <f t="shared" si="114"/>
        <v>12</v>
      </c>
      <c r="BC88" s="383">
        <f>'[12]Org.Structure (IT)'!$L$137</f>
        <v>12</v>
      </c>
      <c r="BD88" s="5">
        <f t="shared" si="115"/>
        <v>12</v>
      </c>
      <c r="BE88" s="5">
        <f t="shared" si="116"/>
        <v>12</v>
      </c>
      <c r="BF88" s="5">
        <f t="shared" si="116"/>
        <v>12</v>
      </c>
      <c r="BG88" s="5">
        <f t="shared" si="116"/>
        <v>12</v>
      </c>
      <c r="BH88" s="5">
        <f t="shared" si="116"/>
        <v>12</v>
      </c>
      <c r="BI88" s="5">
        <f t="shared" si="116"/>
        <v>12</v>
      </c>
      <c r="BJ88" s="5">
        <f t="shared" si="116"/>
        <v>12</v>
      </c>
      <c r="BK88" s="5">
        <f t="shared" si="116"/>
        <v>12</v>
      </c>
      <c r="BL88" s="5">
        <f t="shared" si="116"/>
        <v>12</v>
      </c>
      <c r="BM88" s="5">
        <f t="shared" si="116"/>
        <v>12</v>
      </c>
      <c r="BN88" s="5">
        <f t="shared" si="116"/>
        <v>12</v>
      </c>
      <c r="BO88" s="5">
        <f t="shared" si="116"/>
        <v>12</v>
      </c>
      <c r="BP88" s="383">
        <f>'[12]Org.Structure (IT)'!$M$137</f>
        <v>12</v>
      </c>
      <c r="CE88" s="605" t="s">
        <v>832</v>
      </c>
      <c r="CF88" s="12" t="s">
        <v>1226</v>
      </c>
    </row>
    <row r="89" spans="1:84" s="5" customFormat="1" hidden="1" outlineLevel="1">
      <c r="A89" s="605" t="s">
        <v>833</v>
      </c>
      <c r="B89" s="12" t="s">
        <v>245</v>
      </c>
      <c r="D89" s="5">
        <f t="shared" si="107"/>
        <v>41</v>
      </c>
      <c r="E89" s="5">
        <f t="shared" si="108"/>
        <v>41</v>
      </c>
      <c r="F89" s="5">
        <f t="shared" si="108"/>
        <v>41</v>
      </c>
      <c r="G89" s="5">
        <f t="shared" si="108"/>
        <v>41</v>
      </c>
      <c r="H89" s="5">
        <f t="shared" si="108"/>
        <v>41</v>
      </c>
      <c r="I89" s="5">
        <f t="shared" si="108"/>
        <v>41</v>
      </c>
      <c r="J89" s="5">
        <f t="shared" si="108"/>
        <v>41</v>
      </c>
      <c r="K89" s="5">
        <f t="shared" si="108"/>
        <v>41</v>
      </c>
      <c r="L89" s="5">
        <f t="shared" si="108"/>
        <v>41</v>
      </c>
      <c r="M89" s="5">
        <f t="shared" si="108"/>
        <v>41</v>
      </c>
      <c r="N89" s="5">
        <f t="shared" si="108"/>
        <v>41</v>
      </c>
      <c r="O89" s="5">
        <f t="shared" si="108"/>
        <v>41</v>
      </c>
      <c r="P89" s="383">
        <f>'[12]Org.Structure (IT)'!$I$144</f>
        <v>41</v>
      </c>
      <c r="Q89" s="5">
        <f t="shared" si="109"/>
        <v>93</v>
      </c>
      <c r="R89" s="5">
        <f t="shared" si="110"/>
        <v>93</v>
      </c>
      <c r="S89" s="5">
        <f t="shared" si="110"/>
        <v>93</v>
      </c>
      <c r="T89" s="5">
        <f t="shared" si="110"/>
        <v>93</v>
      </c>
      <c r="U89" s="5">
        <f t="shared" si="110"/>
        <v>93</v>
      </c>
      <c r="V89" s="5">
        <f t="shared" si="110"/>
        <v>93</v>
      </c>
      <c r="W89" s="5">
        <f t="shared" si="110"/>
        <v>93</v>
      </c>
      <c r="X89" s="5">
        <f t="shared" si="110"/>
        <v>93</v>
      </c>
      <c r="Y89" s="5">
        <f t="shared" si="110"/>
        <v>93</v>
      </c>
      <c r="Z89" s="5">
        <f t="shared" si="110"/>
        <v>93</v>
      </c>
      <c r="AA89" s="5">
        <f t="shared" si="110"/>
        <v>93</v>
      </c>
      <c r="AB89" s="5">
        <f t="shared" si="110"/>
        <v>93</v>
      </c>
      <c r="AC89" s="383">
        <f>'[12]Org.Structure (IT)'!$J$144</f>
        <v>93</v>
      </c>
      <c r="AD89" s="5">
        <f t="shared" si="111"/>
        <v>142</v>
      </c>
      <c r="AE89" s="5">
        <f t="shared" si="112"/>
        <v>142</v>
      </c>
      <c r="AF89" s="5">
        <f t="shared" si="112"/>
        <v>142</v>
      </c>
      <c r="AG89" s="5">
        <f t="shared" si="112"/>
        <v>142</v>
      </c>
      <c r="AH89" s="5">
        <f t="shared" si="112"/>
        <v>142</v>
      </c>
      <c r="AI89" s="5">
        <f t="shared" si="112"/>
        <v>142</v>
      </c>
      <c r="AJ89" s="5">
        <f t="shared" si="112"/>
        <v>142</v>
      </c>
      <c r="AK89" s="5">
        <f t="shared" si="112"/>
        <v>142</v>
      </c>
      <c r="AL89" s="5">
        <f t="shared" si="112"/>
        <v>142</v>
      </c>
      <c r="AM89" s="5">
        <f t="shared" si="112"/>
        <v>142</v>
      </c>
      <c r="AN89" s="5">
        <f t="shared" si="112"/>
        <v>142</v>
      </c>
      <c r="AO89" s="5">
        <f t="shared" si="112"/>
        <v>142</v>
      </c>
      <c r="AP89" s="383">
        <f>'[12]Org.Structure (IT)'!$K$144</f>
        <v>142</v>
      </c>
      <c r="AQ89" s="5">
        <f t="shared" si="113"/>
        <v>185</v>
      </c>
      <c r="AR89" s="5">
        <f t="shared" si="114"/>
        <v>185</v>
      </c>
      <c r="AS89" s="5">
        <f t="shared" si="114"/>
        <v>185</v>
      </c>
      <c r="AT89" s="5">
        <f t="shared" si="114"/>
        <v>185</v>
      </c>
      <c r="AU89" s="5">
        <f t="shared" si="114"/>
        <v>185</v>
      </c>
      <c r="AV89" s="5">
        <f t="shared" si="114"/>
        <v>185</v>
      </c>
      <c r="AW89" s="5">
        <f t="shared" si="114"/>
        <v>185</v>
      </c>
      <c r="AX89" s="5">
        <f t="shared" si="114"/>
        <v>185</v>
      </c>
      <c r="AY89" s="5">
        <f t="shared" si="114"/>
        <v>185</v>
      </c>
      <c r="AZ89" s="5">
        <f t="shared" si="114"/>
        <v>185</v>
      </c>
      <c r="BA89" s="5">
        <f t="shared" si="114"/>
        <v>185</v>
      </c>
      <c r="BB89" s="5">
        <f t="shared" si="114"/>
        <v>185</v>
      </c>
      <c r="BC89" s="383">
        <f>'[12]Org.Structure (IT)'!$L$144</f>
        <v>185</v>
      </c>
      <c r="BD89" s="5">
        <f t="shared" si="115"/>
        <v>225</v>
      </c>
      <c r="BE89" s="5">
        <f t="shared" si="116"/>
        <v>225</v>
      </c>
      <c r="BF89" s="5">
        <f t="shared" si="116"/>
        <v>225</v>
      </c>
      <c r="BG89" s="5">
        <f t="shared" si="116"/>
        <v>225</v>
      </c>
      <c r="BH89" s="5">
        <f t="shared" si="116"/>
        <v>225</v>
      </c>
      <c r="BI89" s="5">
        <f t="shared" si="116"/>
        <v>225</v>
      </c>
      <c r="BJ89" s="5">
        <f t="shared" si="116"/>
        <v>225</v>
      </c>
      <c r="BK89" s="5">
        <f t="shared" si="116"/>
        <v>225</v>
      </c>
      <c r="BL89" s="5">
        <f t="shared" si="116"/>
        <v>225</v>
      </c>
      <c r="BM89" s="5">
        <f t="shared" si="116"/>
        <v>225</v>
      </c>
      <c r="BN89" s="5">
        <f t="shared" si="116"/>
        <v>225</v>
      </c>
      <c r="BO89" s="5">
        <f t="shared" si="116"/>
        <v>225</v>
      </c>
      <c r="BP89" s="383">
        <f>'[12]Org.Structure (IT)'!$M$144</f>
        <v>225</v>
      </c>
      <c r="CE89" s="605" t="s">
        <v>833</v>
      </c>
      <c r="CF89" s="12" t="s">
        <v>1226</v>
      </c>
    </row>
    <row r="90" spans="1:84" s="5" customFormat="1" hidden="1" outlineLevel="1">
      <c r="A90" s="605" t="s">
        <v>834</v>
      </c>
      <c r="B90" s="12" t="s">
        <v>245</v>
      </c>
      <c r="D90" s="5">
        <f t="shared" si="107"/>
        <v>2</v>
      </c>
      <c r="E90" s="5">
        <f t="shared" si="108"/>
        <v>2</v>
      </c>
      <c r="F90" s="5">
        <f t="shared" si="108"/>
        <v>2</v>
      </c>
      <c r="G90" s="5">
        <f t="shared" si="108"/>
        <v>2</v>
      </c>
      <c r="H90" s="5">
        <f t="shared" si="108"/>
        <v>2</v>
      </c>
      <c r="I90" s="5">
        <f t="shared" si="108"/>
        <v>2</v>
      </c>
      <c r="J90" s="5">
        <f t="shared" si="108"/>
        <v>2</v>
      </c>
      <c r="K90" s="5">
        <f t="shared" si="108"/>
        <v>2</v>
      </c>
      <c r="L90" s="5">
        <f t="shared" si="108"/>
        <v>2</v>
      </c>
      <c r="M90" s="5">
        <f t="shared" si="108"/>
        <v>2</v>
      </c>
      <c r="N90" s="5">
        <f t="shared" si="108"/>
        <v>2</v>
      </c>
      <c r="O90" s="5">
        <f t="shared" si="108"/>
        <v>2</v>
      </c>
      <c r="P90" s="383">
        <f>'[12]Org.Structure (IT)'!$I$155</f>
        <v>2</v>
      </c>
      <c r="Q90" s="5">
        <f t="shared" si="109"/>
        <v>4</v>
      </c>
      <c r="R90" s="5">
        <f t="shared" si="110"/>
        <v>4</v>
      </c>
      <c r="S90" s="5">
        <f t="shared" si="110"/>
        <v>4</v>
      </c>
      <c r="T90" s="5">
        <f t="shared" si="110"/>
        <v>4</v>
      </c>
      <c r="U90" s="5">
        <f t="shared" si="110"/>
        <v>4</v>
      </c>
      <c r="V90" s="5">
        <f t="shared" si="110"/>
        <v>4</v>
      </c>
      <c r="W90" s="5">
        <f t="shared" si="110"/>
        <v>4</v>
      </c>
      <c r="X90" s="5">
        <f t="shared" si="110"/>
        <v>4</v>
      </c>
      <c r="Y90" s="5">
        <f t="shared" si="110"/>
        <v>4</v>
      </c>
      <c r="Z90" s="5">
        <f t="shared" si="110"/>
        <v>4</v>
      </c>
      <c r="AA90" s="5">
        <f t="shared" si="110"/>
        <v>4</v>
      </c>
      <c r="AB90" s="5">
        <f t="shared" si="110"/>
        <v>4</v>
      </c>
      <c r="AC90" s="383">
        <f>'[12]Org.Structure (IT)'!$J$155</f>
        <v>4</v>
      </c>
      <c r="AD90" s="5">
        <f t="shared" si="111"/>
        <v>6</v>
      </c>
      <c r="AE90" s="5">
        <f t="shared" si="112"/>
        <v>6</v>
      </c>
      <c r="AF90" s="5">
        <f t="shared" si="112"/>
        <v>6</v>
      </c>
      <c r="AG90" s="5">
        <f t="shared" si="112"/>
        <v>6</v>
      </c>
      <c r="AH90" s="5">
        <f t="shared" si="112"/>
        <v>6</v>
      </c>
      <c r="AI90" s="5">
        <f t="shared" si="112"/>
        <v>6</v>
      </c>
      <c r="AJ90" s="5">
        <f t="shared" si="112"/>
        <v>6</v>
      </c>
      <c r="AK90" s="5">
        <f t="shared" si="112"/>
        <v>6</v>
      </c>
      <c r="AL90" s="5">
        <f t="shared" si="112"/>
        <v>6</v>
      </c>
      <c r="AM90" s="5">
        <f t="shared" si="112"/>
        <v>6</v>
      </c>
      <c r="AN90" s="5">
        <f t="shared" si="112"/>
        <v>6</v>
      </c>
      <c r="AO90" s="5">
        <f t="shared" si="112"/>
        <v>6</v>
      </c>
      <c r="AP90" s="383">
        <f>'[12]Org.Structure (IT)'!$K$155</f>
        <v>6</v>
      </c>
      <c r="AQ90" s="5">
        <f t="shared" si="113"/>
        <v>8</v>
      </c>
      <c r="AR90" s="5">
        <f t="shared" si="114"/>
        <v>8</v>
      </c>
      <c r="AS90" s="5">
        <f t="shared" si="114"/>
        <v>8</v>
      </c>
      <c r="AT90" s="5">
        <f t="shared" si="114"/>
        <v>8</v>
      </c>
      <c r="AU90" s="5">
        <f t="shared" si="114"/>
        <v>8</v>
      </c>
      <c r="AV90" s="5">
        <f t="shared" si="114"/>
        <v>8</v>
      </c>
      <c r="AW90" s="5">
        <f t="shared" si="114"/>
        <v>8</v>
      </c>
      <c r="AX90" s="5">
        <f t="shared" si="114"/>
        <v>8</v>
      </c>
      <c r="AY90" s="5">
        <f t="shared" si="114"/>
        <v>8</v>
      </c>
      <c r="AZ90" s="5">
        <f t="shared" si="114"/>
        <v>8</v>
      </c>
      <c r="BA90" s="5">
        <f t="shared" si="114"/>
        <v>8</v>
      </c>
      <c r="BB90" s="5">
        <f t="shared" si="114"/>
        <v>8</v>
      </c>
      <c r="BC90" s="383">
        <f>'[12]Org.Structure (IT)'!$L$155</f>
        <v>8</v>
      </c>
      <c r="BD90" s="5">
        <f t="shared" si="115"/>
        <v>8</v>
      </c>
      <c r="BE90" s="5">
        <f t="shared" si="116"/>
        <v>8</v>
      </c>
      <c r="BF90" s="5">
        <f t="shared" si="116"/>
        <v>8</v>
      </c>
      <c r="BG90" s="5">
        <f t="shared" si="116"/>
        <v>8</v>
      </c>
      <c r="BH90" s="5">
        <f t="shared" si="116"/>
        <v>8</v>
      </c>
      <c r="BI90" s="5">
        <f t="shared" si="116"/>
        <v>8</v>
      </c>
      <c r="BJ90" s="5">
        <f t="shared" si="116"/>
        <v>8</v>
      </c>
      <c r="BK90" s="5">
        <f t="shared" si="116"/>
        <v>8</v>
      </c>
      <c r="BL90" s="5">
        <f t="shared" si="116"/>
        <v>8</v>
      </c>
      <c r="BM90" s="5">
        <f t="shared" si="116"/>
        <v>8</v>
      </c>
      <c r="BN90" s="5">
        <f t="shared" si="116"/>
        <v>8</v>
      </c>
      <c r="BO90" s="5">
        <f t="shared" si="116"/>
        <v>8</v>
      </c>
      <c r="BP90" s="383">
        <f>'[12]Org.Structure (IT)'!$M$155</f>
        <v>8</v>
      </c>
      <c r="CE90" s="605" t="s">
        <v>834</v>
      </c>
      <c r="CF90" s="12" t="s">
        <v>1226</v>
      </c>
    </row>
    <row r="91" spans="1:84" s="5" customFormat="1" hidden="1" outlineLevel="1">
      <c r="A91" s="605" t="s">
        <v>835</v>
      </c>
      <c r="B91" s="12" t="s">
        <v>245</v>
      </c>
      <c r="D91" s="5">
        <f t="shared" si="107"/>
        <v>2</v>
      </c>
      <c r="E91" s="5">
        <f t="shared" si="108"/>
        <v>2</v>
      </c>
      <c r="F91" s="5">
        <f t="shared" si="108"/>
        <v>2</v>
      </c>
      <c r="G91" s="5">
        <f t="shared" si="108"/>
        <v>2</v>
      </c>
      <c r="H91" s="5">
        <f t="shared" si="108"/>
        <v>2</v>
      </c>
      <c r="I91" s="5">
        <f t="shared" si="108"/>
        <v>2</v>
      </c>
      <c r="J91" s="5">
        <f t="shared" si="108"/>
        <v>2</v>
      </c>
      <c r="K91" s="5">
        <f t="shared" si="108"/>
        <v>2</v>
      </c>
      <c r="L91" s="5">
        <f t="shared" si="108"/>
        <v>2</v>
      </c>
      <c r="M91" s="5">
        <f t="shared" si="108"/>
        <v>2</v>
      </c>
      <c r="N91" s="5">
        <f t="shared" si="108"/>
        <v>2</v>
      </c>
      <c r="O91" s="5">
        <f t="shared" si="108"/>
        <v>2</v>
      </c>
      <c r="P91" s="383">
        <f>'[12]Org.Structure (IT)'!$I$159</f>
        <v>2</v>
      </c>
      <c r="Q91" s="5">
        <f t="shared" si="109"/>
        <v>2</v>
      </c>
      <c r="R91" s="5">
        <f t="shared" si="110"/>
        <v>2</v>
      </c>
      <c r="S91" s="5">
        <f t="shared" si="110"/>
        <v>2</v>
      </c>
      <c r="T91" s="5">
        <f t="shared" si="110"/>
        <v>2</v>
      </c>
      <c r="U91" s="5">
        <f t="shared" si="110"/>
        <v>2</v>
      </c>
      <c r="V91" s="5">
        <f t="shared" si="110"/>
        <v>2</v>
      </c>
      <c r="W91" s="5">
        <f t="shared" si="110"/>
        <v>2</v>
      </c>
      <c r="X91" s="5">
        <f t="shared" si="110"/>
        <v>2</v>
      </c>
      <c r="Y91" s="5">
        <f t="shared" si="110"/>
        <v>2</v>
      </c>
      <c r="Z91" s="5">
        <f t="shared" si="110"/>
        <v>2</v>
      </c>
      <c r="AA91" s="5">
        <f t="shared" si="110"/>
        <v>2</v>
      </c>
      <c r="AB91" s="5">
        <f t="shared" si="110"/>
        <v>2</v>
      </c>
      <c r="AC91" s="383">
        <f>'[12]Org.Structure (IT)'!$J$159</f>
        <v>2</v>
      </c>
      <c r="AD91" s="5">
        <f t="shared" si="111"/>
        <v>2</v>
      </c>
      <c r="AE91" s="5">
        <f t="shared" si="112"/>
        <v>2</v>
      </c>
      <c r="AF91" s="5">
        <f t="shared" si="112"/>
        <v>2</v>
      </c>
      <c r="AG91" s="5">
        <f t="shared" si="112"/>
        <v>2</v>
      </c>
      <c r="AH91" s="5">
        <f t="shared" si="112"/>
        <v>2</v>
      </c>
      <c r="AI91" s="5">
        <f t="shared" si="112"/>
        <v>2</v>
      </c>
      <c r="AJ91" s="5">
        <f t="shared" si="112"/>
        <v>2</v>
      </c>
      <c r="AK91" s="5">
        <f t="shared" si="112"/>
        <v>2</v>
      </c>
      <c r="AL91" s="5">
        <f t="shared" si="112"/>
        <v>2</v>
      </c>
      <c r="AM91" s="5">
        <f t="shared" si="112"/>
        <v>2</v>
      </c>
      <c r="AN91" s="5">
        <f t="shared" si="112"/>
        <v>2</v>
      </c>
      <c r="AO91" s="5">
        <f t="shared" si="112"/>
        <v>2</v>
      </c>
      <c r="AP91" s="383">
        <f>'[12]Org.Structure (IT)'!$K$159</f>
        <v>2</v>
      </c>
      <c r="AQ91" s="5">
        <f t="shared" si="113"/>
        <v>2</v>
      </c>
      <c r="AR91" s="5">
        <f t="shared" si="114"/>
        <v>2</v>
      </c>
      <c r="AS91" s="5">
        <f t="shared" si="114"/>
        <v>2</v>
      </c>
      <c r="AT91" s="5">
        <f t="shared" si="114"/>
        <v>2</v>
      </c>
      <c r="AU91" s="5">
        <f t="shared" si="114"/>
        <v>2</v>
      </c>
      <c r="AV91" s="5">
        <f t="shared" si="114"/>
        <v>2</v>
      </c>
      <c r="AW91" s="5">
        <f t="shared" si="114"/>
        <v>2</v>
      </c>
      <c r="AX91" s="5">
        <f t="shared" si="114"/>
        <v>2</v>
      </c>
      <c r="AY91" s="5">
        <f t="shared" si="114"/>
        <v>2</v>
      </c>
      <c r="AZ91" s="5">
        <f t="shared" si="114"/>
        <v>2</v>
      </c>
      <c r="BA91" s="5">
        <f t="shared" si="114"/>
        <v>2</v>
      </c>
      <c r="BB91" s="5">
        <f t="shared" si="114"/>
        <v>2</v>
      </c>
      <c r="BC91" s="383">
        <f>'[12]Org.Structure (IT)'!$L$159</f>
        <v>2</v>
      </c>
      <c r="BD91" s="5">
        <f t="shared" si="115"/>
        <v>2</v>
      </c>
      <c r="BE91" s="5">
        <f t="shared" si="116"/>
        <v>2</v>
      </c>
      <c r="BF91" s="5">
        <f t="shared" si="116"/>
        <v>2</v>
      </c>
      <c r="BG91" s="5">
        <f t="shared" si="116"/>
        <v>2</v>
      </c>
      <c r="BH91" s="5">
        <f t="shared" si="116"/>
        <v>2</v>
      </c>
      <c r="BI91" s="5">
        <f t="shared" si="116"/>
        <v>2</v>
      </c>
      <c r="BJ91" s="5">
        <f t="shared" si="116"/>
        <v>2</v>
      </c>
      <c r="BK91" s="5">
        <f t="shared" si="116"/>
        <v>2</v>
      </c>
      <c r="BL91" s="5">
        <f t="shared" si="116"/>
        <v>2</v>
      </c>
      <c r="BM91" s="5">
        <f t="shared" si="116"/>
        <v>2</v>
      </c>
      <c r="BN91" s="5">
        <f t="shared" si="116"/>
        <v>2</v>
      </c>
      <c r="BO91" s="5">
        <f t="shared" si="116"/>
        <v>2</v>
      </c>
      <c r="BP91" s="383">
        <f>'[12]Org.Structure (IT)'!$M$159</f>
        <v>2</v>
      </c>
      <c r="CE91" s="605" t="s">
        <v>835</v>
      </c>
      <c r="CF91" s="12" t="s">
        <v>1226</v>
      </c>
    </row>
    <row r="92" spans="1:84" s="291" customFormat="1" collapsed="1">
      <c r="A92" s="291" t="s">
        <v>848</v>
      </c>
      <c r="B92" s="285" t="s">
        <v>231</v>
      </c>
      <c r="D92" s="291">
        <f>P92</f>
        <v>0.5</v>
      </c>
      <c r="E92" s="291">
        <f t="shared" si="108"/>
        <v>0.5</v>
      </c>
      <c r="F92" s="291">
        <f t="shared" si="108"/>
        <v>0.5</v>
      </c>
      <c r="G92" s="291">
        <f t="shared" si="108"/>
        <v>0.5</v>
      </c>
      <c r="H92" s="291">
        <f t="shared" si="108"/>
        <v>0.5</v>
      </c>
      <c r="I92" s="291">
        <f t="shared" si="108"/>
        <v>0.5</v>
      </c>
      <c r="J92" s="291">
        <f t="shared" si="108"/>
        <v>0.5</v>
      </c>
      <c r="K92" s="291">
        <f t="shared" si="108"/>
        <v>0.5</v>
      </c>
      <c r="L92" s="291">
        <f t="shared" si="108"/>
        <v>0.5</v>
      </c>
      <c r="M92" s="291">
        <f t="shared" si="108"/>
        <v>0.5</v>
      </c>
      <c r="N92" s="291">
        <f t="shared" si="108"/>
        <v>0.5</v>
      </c>
      <c r="O92" s="291">
        <f t="shared" si="108"/>
        <v>0.5</v>
      </c>
      <c r="P92" s="470">
        <v>0.5</v>
      </c>
      <c r="Q92" s="291">
        <f>AC92</f>
        <v>0.4</v>
      </c>
      <c r="R92" s="291">
        <f t="shared" si="110"/>
        <v>0.4</v>
      </c>
      <c r="S92" s="291">
        <f t="shared" si="110"/>
        <v>0.4</v>
      </c>
      <c r="T92" s="291">
        <f t="shared" si="110"/>
        <v>0.4</v>
      </c>
      <c r="U92" s="291">
        <f t="shared" si="110"/>
        <v>0.4</v>
      </c>
      <c r="V92" s="291">
        <f t="shared" si="110"/>
        <v>0.4</v>
      </c>
      <c r="W92" s="291">
        <f t="shared" si="110"/>
        <v>0.4</v>
      </c>
      <c r="X92" s="291">
        <f t="shared" si="110"/>
        <v>0.4</v>
      </c>
      <c r="Y92" s="291">
        <f t="shared" si="110"/>
        <v>0.4</v>
      </c>
      <c r="Z92" s="291">
        <f t="shared" si="110"/>
        <v>0.4</v>
      </c>
      <c r="AA92" s="291">
        <f t="shared" si="110"/>
        <v>0.4</v>
      </c>
      <c r="AB92" s="291">
        <f t="shared" si="110"/>
        <v>0.4</v>
      </c>
      <c r="AC92" s="470">
        <f>P92-10%</f>
        <v>0.4</v>
      </c>
      <c r="AD92" s="291">
        <f>AP92</f>
        <v>0.35000000000000003</v>
      </c>
      <c r="AE92" s="291">
        <f t="shared" si="112"/>
        <v>0.35000000000000003</v>
      </c>
      <c r="AF92" s="291">
        <f t="shared" si="112"/>
        <v>0.35000000000000003</v>
      </c>
      <c r="AG92" s="291">
        <f t="shared" si="112"/>
        <v>0.35000000000000003</v>
      </c>
      <c r="AH92" s="291">
        <f t="shared" si="112"/>
        <v>0.35000000000000003</v>
      </c>
      <c r="AI92" s="291">
        <f t="shared" si="112"/>
        <v>0.35000000000000003</v>
      </c>
      <c r="AJ92" s="291">
        <f t="shared" si="112"/>
        <v>0.35000000000000003</v>
      </c>
      <c r="AK92" s="291">
        <f t="shared" si="112"/>
        <v>0.35000000000000003</v>
      </c>
      <c r="AL92" s="291">
        <f t="shared" si="112"/>
        <v>0.35000000000000003</v>
      </c>
      <c r="AM92" s="291">
        <f t="shared" si="112"/>
        <v>0.35000000000000003</v>
      </c>
      <c r="AN92" s="291">
        <f t="shared" si="112"/>
        <v>0.35000000000000003</v>
      </c>
      <c r="AO92" s="291">
        <f t="shared" si="112"/>
        <v>0.35000000000000003</v>
      </c>
      <c r="AP92" s="470">
        <f>AC92-5%</f>
        <v>0.35000000000000003</v>
      </c>
      <c r="AQ92" s="291">
        <f>BC92</f>
        <v>0.30000000000000004</v>
      </c>
      <c r="AR92" s="291">
        <f t="shared" si="114"/>
        <v>0.30000000000000004</v>
      </c>
      <c r="AS92" s="291">
        <f t="shared" si="114"/>
        <v>0.30000000000000004</v>
      </c>
      <c r="AT92" s="291">
        <f t="shared" si="114"/>
        <v>0.30000000000000004</v>
      </c>
      <c r="AU92" s="291">
        <f t="shared" si="114"/>
        <v>0.30000000000000004</v>
      </c>
      <c r="AV92" s="291">
        <f t="shared" si="114"/>
        <v>0.30000000000000004</v>
      </c>
      <c r="AW92" s="291">
        <f t="shared" si="114"/>
        <v>0.30000000000000004</v>
      </c>
      <c r="AX92" s="291">
        <f t="shared" si="114"/>
        <v>0.30000000000000004</v>
      </c>
      <c r="AY92" s="291">
        <f t="shared" si="114"/>
        <v>0.30000000000000004</v>
      </c>
      <c r="AZ92" s="291">
        <f t="shared" si="114"/>
        <v>0.30000000000000004</v>
      </c>
      <c r="BA92" s="291">
        <f t="shared" si="114"/>
        <v>0.30000000000000004</v>
      </c>
      <c r="BB92" s="291">
        <f t="shared" si="114"/>
        <v>0.30000000000000004</v>
      </c>
      <c r="BC92" s="470">
        <f>AP92-5%</f>
        <v>0.30000000000000004</v>
      </c>
      <c r="BD92" s="291">
        <f>BP92</f>
        <v>0.25000000000000006</v>
      </c>
      <c r="BE92" s="291">
        <f t="shared" si="116"/>
        <v>0.25000000000000006</v>
      </c>
      <c r="BF92" s="291">
        <f t="shared" si="116"/>
        <v>0.25000000000000006</v>
      </c>
      <c r="BG92" s="291">
        <f t="shared" si="116"/>
        <v>0.25000000000000006</v>
      </c>
      <c r="BH92" s="291">
        <f t="shared" si="116"/>
        <v>0.25000000000000006</v>
      </c>
      <c r="BI92" s="291">
        <f t="shared" si="116"/>
        <v>0.25000000000000006</v>
      </c>
      <c r="BJ92" s="291">
        <f t="shared" si="116"/>
        <v>0.25000000000000006</v>
      </c>
      <c r="BK92" s="291">
        <f t="shared" si="116"/>
        <v>0.25000000000000006</v>
      </c>
      <c r="BL92" s="291">
        <f t="shared" si="116"/>
        <v>0.25000000000000006</v>
      </c>
      <c r="BM92" s="291">
        <f t="shared" si="116"/>
        <v>0.25000000000000006</v>
      </c>
      <c r="BN92" s="291">
        <f t="shared" si="116"/>
        <v>0.25000000000000006</v>
      </c>
      <c r="BO92" s="291">
        <f t="shared" si="116"/>
        <v>0.25000000000000006</v>
      </c>
      <c r="BP92" s="470">
        <f>BC92-5%</f>
        <v>0.25000000000000006</v>
      </c>
      <c r="CE92" s="291" t="s">
        <v>1235</v>
      </c>
      <c r="CF92" s="285" t="s">
        <v>231</v>
      </c>
    </row>
    <row r="93" spans="1:84" s="3" customFormat="1">
      <c r="A93" s="3" t="s">
        <v>849</v>
      </c>
      <c r="B93" s="12" t="s">
        <v>850</v>
      </c>
      <c r="C93" s="338">
        <v>8</v>
      </c>
      <c r="P93" s="397"/>
      <c r="AC93" s="397"/>
      <c r="AP93" s="397"/>
      <c r="BC93" s="397"/>
      <c r="BP93" s="397"/>
      <c r="CE93" s="3" t="s">
        <v>1236</v>
      </c>
      <c r="CF93" s="12" t="s">
        <v>1227</v>
      </c>
    </row>
    <row r="95" spans="1:84" hidden="1"/>
    <row r="96" spans="1:84" hidden="1"/>
    <row r="97" spans="4:68" hidden="1">
      <c r="D97" s="3">
        <v>-503.91406249999989</v>
      </c>
      <c r="E97" s="3">
        <v>-503.91406249999989</v>
      </c>
      <c r="F97" s="3">
        <v>-503.91406249999989</v>
      </c>
      <c r="G97" s="3">
        <v>-503.91406249999989</v>
      </c>
      <c r="H97" s="3">
        <v>-503.91406249999989</v>
      </c>
      <c r="I97" s="3">
        <v>-503.91406249999989</v>
      </c>
      <c r="J97" s="3">
        <v>-503.91406249999989</v>
      </c>
      <c r="K97" s="3">
        <v>-503.91406249999989</v>
      </c>
      <c r="L97" s="3">
        <v>-503.91406249999989</v>
      </c>
      <c r="M97" s="3">
        <v>-503.91406249999989</v>
      </c>
      <c r="N97" s="3">
        <v>-503.91406249999989</v>
      </c>
      <c r="O97" s="3">
        <v>-503.91406249999989</v>
      </c>
      <c r="P97" s="397">
        <v>-6046.9687499999991</v>
      </c>
      <c r="Q97" s="3">
        <v>-729.08203124999989</v>
      </c>
      <c r="R97" s="3">
        <v>-729.08203124999989</v>
      </c>
      <c r="S97" s="3">
        <v>-729.08203124999989</v>
      </c>
      <c r="T97" s="3">
        <v>-729.08203124999989</v>
      </c>
      <c r="U97" s="3">
        <v>-729.08203124999989</v>
      </c>
      <c r="V97" s="3">
        <v>-729.08203124999989</v>
      </c>
      <c r="W97" s="3">
        <v>-729.08203124999989</v>
      </c>
      <c r="X97" s="3">
        <v>-729.08203124999989</v>
      </c>
      <c r="Y97" s="3">
        <v>-729.08203124999989</v>
      </c>
      <c r="Z97" s="3">
        <v>-729.08203124999989</v>
      </c>
      <c r="AA97" s="3">
        <v>-729.08203124999989</v>
      </c>
      <c r="AB97" s="3">
        <v>-729.08203124999989</v>
      </c>
      <c r="AC97" s="397">
        <v>-8748.9843749999982</v>
      </c>
      <c r="AD97" s="3">
        <v>-1091.0343749999997</v>
      </c>
      <c r="AE97" s="3">
        <v>-1091.0343749999997</v>
      </c>
      <c r="AF97" s="3">
        <v>-1091.0343749999997</v>
      </c>
      <c r="AG97" s="3">
        <v>-1091.0343749999997</v>
      </c>
      <c r="AH97" s="3">
        <v>-1091.0343749999997</v>
      </c>
      <c r="AI97" s="3">
        <v>-1091.0343749999997</v>
      </c>
      <c r="AJ97" s="3">
        <v>-1091.0343749999997</v>
      </c>
      <c r="AK97" s="3">
        <v>-1091.0343749999997</v>
      </c>
      <c r="AL97" s="3">
        <v>-1091.0343749999997</v>
      </c>
      <c r="AM97" s="3">
        <v>-1091.0343749999997</v>
      </c>
      <c r="AN97" s="3">
        <v>-1091.0343749999997</v>
      </c>
      <c r="AO97" s="3">
        <v>-1091.0343749999997</v>
      </c>
      <c r="AP97" s="397">
        <v>-13092.412499999993</v>
      </c>
      <c r="AQ97" s="3">
        <v>-1376.6124999999993</v>
      </c>
      <c r="AR97" s="3">
        <v>-1376.6124999999993</v>
      </c>
      <c r="AS97" s="3">
        <v>-1376.6124999999993</v>
      </c>
      <c r="AT97" s="3">
        <v>-1376.6124999999993</v>
      </c>
      <c r="AU97" s="3">
        <v>-1376.6124999999993</v>
      </c>
      <c r="AV97" s="3">
        <v>-1376.6124999999993</v>
      </c>
      <c r="AW97" s="3">
        <v>-1376.6124999999993</v>
      </c>
      <c r="AX97" s="3">
        <v>-1376.6124999999993</v>
      </c>
      <c r="AY97" s="3">
        <v>-1376.6124999999993</v>
      </c>
      <c r="AZ97" s="3">
        <v>-1376.6124999999993</v>
      </c>
      <c r="BA97" s="3">
        <v>-1376.6124999999993</v>
      </c>
      <c r="BB97" s="3">
        <v>-1376.6124999999993</v>
      </c>
      <c r="BC97" s="397">
        <v>-16519.349999999991</v>
      </c>
      <c r="BD97" s="3">
        <v>-1599.076171875</v>
      </c>
      <c r="BE97" s="3">
        <v>-1599.076171875</v>
      </c>
      <c r="BF97" s="3">
        <v>-1599.076171875</v>
      </c>
      <c r="BG97" s="3">
        <v>-1599.076171875</v>
      </c>
      <c r="BH97" s="3">
        <v>-1599.076171875</v>
      </c>
      <c r="BI97" s="3">
        <v>-1599.076171875</v>
      </c>
      <c r="BJ97" s="3">
        <v>-1599.076171875</v>
      </c>
      <c r="BK97" s="3">
        <v>-1599.076171875</v>
      </c>
      <c r="BL97" s="3">
        <v>-1599.076171875</v>
      </c>
      <c r="BM97" s="3">
        <v>-1599.076171875</v>
      </c>
      <c r="BN97" s="3">
        <v>-1599.076171875</v>
      </c>
      <c r="BO97" s="3">
        <v>-1599.076171875</v>
      </c>
      <c r="BP97" s="397">
        <v>-19188.9140625</v>
      </c>
    </row>
    <row r="98" spans="4:68" hidden="1">
      <c r="P98" s="405">
        <f>P5/P97-1</f>
        <v>-0.4922962434690934</v>
      </c>
      <c r="AC98" s="405">
        <f>AC5/AC97-1</f>
        <v>-0.48401330868761538</v>
      </c>
      <c r="AP98" s="405">
        <f>AP5/AP97-1</f>
        <v>-0.31609269872913004</v>
      </c>
      <c r="BC98" s="405">
        <f>BC5/BC97-1</f>
        <v>-0.28616949214103438</v>
      </c>
      <c r="BP98" s="405">
        <f>BP5/BP97-1</f>
        <v>-0.27687895965321796</v>
      </c>
    </row>
    <row r="99" spans="4:68" hidden="1"/>
    <row r="100" spans="4:68" hidden="1"/>
  </sheetData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9" tint="0.79998168889431442"/>
  </sheetPr>
  <dimension ref="A1:X116"/>
  <sheetViews>
    <sheetView zoomScale="110" zoomScaleNormal="110" workbookViewId="0"/>
  </sheetViews>
  <sheetFormatPr defaultColWidth="8.88671875" defaultRowHeight="13.8" outlineLevelCol="1"/>
  <cols>
    <col min="1" max="1" width="66.33203125" style="143" customWidth="1"/>
    <col min="2" max="2" width="10.5546875" style="143" customWidth="1"/>
    <col min="3" max="3" width="10" style="143" hidden="1" customWidth="1" outlineLevel="1"/>
    <col min="4" max="16" width="17.33203125" style="143" hidden="1" customWidth="1" outlineLevel="1"/>
    <col min="17" max="17" width="3.6640625" style="143" customWidth="1" collapsed="1"/>
    <col min="18" max="18" width="8.88671875" style="143" hidden="1" customWidth="1"/>
    <col min="19" max="19" width="12.109375" style="143" bestFit="1" customWidth="1"/>
    <col min="20" max="21" width="13.5546875" style="143" bestFit="1" customWidth="1"/>
    <col min="22" max="23" width="15.88671875" style="143" bestFit="1" customWidth="1"/>
    <col min="24" max="24" width="10.6640625" style="143" bestFit="1" customWidth="1"/>
    <col min="25" max="16384" width="8.88671875" style="143"/>
  </cols>
  <sheetData>
    <row r="1" spans="1:24" s="105" customFormat="1" ht="19.8">
      <c r="A1" s="156" t="s">
        <v>1377</v>
      </c>
      <c r="B1" s="156"/>
      <c r="C1" s="156"/>
      <c r="D1" s="156"/>
      <c r="E1" s="156"/>
      <c r="F1" s="156"/>
      <c r="G1" s="157"/>
      <c r="H1" s="157"/>
      <c r="I1" s="157"/>
      <c r="J1" s="157"/>
      <c r="K1" s="157"/>
      <c r="L1" s="157"/>
      <c r="M1" s="157"/>
      <c r="N1" s="157"/>
      <c r="O1" s="157"/>
      <c r="P1" s="157"/>
      <c r="R1" s="104"/>
      <c r="S1" s="104"/>
      <c r="T1" s="104"/>
      <c r="U1" s="104"/>
      <c r="V1" s="104"/>
      <c r="W1" s="104"/>
    </row>
    <row r="2" spans="1:24" s="107" customFormat="1">
      <c r="A2" s="106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R2" s="109"/>
      <c r="S2" s="109"/>
      <c r="T2" s="109"/>
      <c r="U2" s="109"/>
      <c r="V2" s="109"/>
      <c r="W2" s="109"/>
    </row>
    <row r="3" spans="1:24" s="108" customFormat="1">
      <c r="A3" s="110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R3" s="111"/>
      <c r="S3" s="111"/>
      <c r="T3" s="111"/>
      <c r="U3" s="111"/>
      <c r="V3" s="111"/>
      <c r="W3" s="111"/>
    </row>
    <row r="4" spans="1:24" s="147" customFormat="1">
      <c r="D4" s="148">
        <v>2024</v>
      </c>
      <c r="E4" s="148">
        <v>2025</v>
      </c>
      <c r="F4" s="148">
        <v>2025</v>
      </c>
      <c r="G4" s="148">
        <v>2025</v>
      </c>
      <c r="H4" s="148">
        <v>2025</v>
      </c>
      <c r="I4" s="148">
        <v>2026</v>
      </c>
      <c r="J4" s="148">
        <v>2026</v>
      </c>
      <c r="K4" s="148">
        <v>2027</v>
      </c>
      <c r="L4" s="148">
        <v>2027</v>
      </c>
      <c r="M4" s="148">
        <v>2028</v>
      </c>
      <c r="N4" s="148">
        <v>2028</v>
      </c>
      <c r="O4" s="148">
        <v>2029</v>
      </c>
      <c r="P4" s="148">
        <v>2029</v>
      </c>
      <c r="R4" s="148">
        <v>2024</v>
      </c>
      <c r="S4" s="148">
        <v>2025</v>
      </c>
      <c r="T4" s="148">
        <v>2026</v>
      </c>
      <c r="U4" s="148">
        <v>2027</v>
      </c>
      <c r="V4" s="148">
        <v>2028</v>
      </c>
      <c r="W4" s="148">
        <v>2029</v>
      </c>
    </row>
    <row r="5" spans="1:24" s="149" customFormat="1">
      <c r="A5" s="150"/>
      <c r="B5" s="150"/>
      <c r="C5" s="150"/>
      <c r="D5" s="151" t="s">
        <v>294</v>
      </c>
      <c r="E5" s="151" t="s">
        <v>431</v>
      </c>
      <c r="F5" s="151" t="s">
        <v>432</v>
      </c>
      <c r="G5" s="151" t="s">
        <v>433</v>
      </c>
      <c r="H5" s="151" t="s">
        <v>434</v>
      </c>
      <c r="I5" s="151" t="s">
        <v>435</v>
      </c>
      <c r="J5" s="151" t="s">
        <v>436</v>
      </c>
      <c r="K5" s="151" t="s">
        <v>435</v>
      </c>
      <c r="L5" s="151" t="s">
        <v>436</v>
      </c>
      <c r="M5" s="151" t="s">
        <v>435</v>
      </c>
      <c r="N5" s="151" t="s">
        <v>436</v>
      </c>
      <c r="O5" s="151" t="s">
        <v>435</v>
      </c>
      <c r="P5" s="151" t="s">
        <v>436</v>
      </c>
      <c r="R5" s="151" t="s">
        <v>294</v>
      </c>
      <c r="S5" s="151" t="s">
        <v>308</v>
      </c>
      <c r="T5" s="151" t="s">
        <v>309</v>
      </c>
      <c r="U5" s="151" t="s">
        <v>311</v>
      </c>
      <c r="V5" s="151" t="s">
        <v>310</v>
      </c>
      <c r="W5" s="151" t="s">
        <v>312</v>
      </c>
    </row>
    <row r="6" spans="1:24" s="114" customFormat="1">
      <c r="D6" s="158">
        <v>0</v>
      </c>
      <c r="E6" s="115">
        <v>1</v>
      </c>
      <c r="F6" s="115">
        <v>2</v>
      </c>
      <c r="G6" s="115">
        <v>3</v>
      </c>
      <c r="H6" s="115">
        <v>4</v>
      </c>
      <c r="I6" s="115">
        <v>5</v>
      </c>
      <c r="J6" s="115">
        <v>6</v>
      </c>
      <c r="K6" s="115">
        <v>7</v>
      </c>
      <c r="L6" s="115">
        <v>8</v>
      </c>
      <c r="M6" s="115">
        <v>9</v>
      </c>
      <c r="N6" s="115">
        <v>10</v>
      </c>
      <c r="O6" s="115">
        <v>11</v>
      </c>
      <c r="P6" s="115">
        <v>12</v>
      </c>
    </row>
    <row r="7" spans="1:24" s="119" customFormat="1" ht="12.6">
      <c r="A7" s="494" t="s">
        <v>800</v>
      </c>
      <c r="B7" s="116"/>
      <c r="C7" s="117"/>
      <c r="D7" s="117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</row>
    <row r="8" spans="1:24" ht="16.2">
      <c r="A8" s="486" t="s">
        <v>1375</v>
      </c>
      <c r="B8" s="487" t="s">
        <v>803</v>
      </c>
      <c r="D8" s="509"/>
      <c r="E8" s="509">
        <f t="shared" ref="E8:P8" si="0">IF(E9+E19-E23-E27-E35&lt;0,-(E9+E19-E23-E27-E35),0)</f>
        <v>0</v>
      </c>
      <c r="F8" s="509">
        <f t="shared" si="0"/>
        <v>0</v>
      </c>
      <c r="G8" s="509">
        <f t="shared" si="0"/>
        <v>0</v>
      </c>
      <c r="H8" s="509">
        <f t="shared" si="0"/>
        <v>0</v>
      </c>
      <c r="I8" s="509">
        <f t="shared" si="0"/>
        <v>0</v>
      </c>
      <c r="J8" s="509">
        <f t="shared" si="0"/>
        <v>0</v>
      </c>
      <c r="K8" s="509">
        <f t="shared" si="0"/>
        <v>2265.8418355236136</v>
      </c>
      <c r="L8" s="509">
        <f t="shared" si="0"/>
        <v>0</v>
      </c>
      <c r="M8" s="509">
        <f t="shared" si="0"/>
        <v>82423.555025543741</v>
      </c>
      <c r="N8" s="509">
        <f t="shared" si="0"/>
        <v>79279.1560693715</v>
      </c>
      <c r="O8" s="509">
        <f t="shared" si="0"/>
        <v>262498.71798680117</v>
      </c>
      <c r="P8" s="509">
        <f t="shared" si="0"/>
        <v>182781.68021279847</v>
      </c>
      <c r="R8" s="542"/>
      <c r="S8" s="509">
        <f>H8</f>
        <v>0</v>
      </c>
      <c r="T8" s="509">
        <f>J8</f>
        <v>0</v>
      </c>
      <c r="U8" s="509">
        <f>L8</f>
        <v>0</v>
      </c>
      <c r="V8" s="509">
        <f>N8</f>
        <v>79279.1560693715</v>
      </c>
      <c r="W8" s="509">
        <f>P8</f>
        <v>182781.68021279847</v>
      </c>
    </row>
    <row r="9" spans="1:24" ht="15.6">
      <c r="A9" s="486" t="s">
        <v>880</v>
      </c>
      <c r="B9" s="487" t="s">
        <v>803</v>
      </c>
      <c r="D9" s="509">
        <f t="shared" ref="D9:P9" si="1">D42+D80</f>
        <v>0</v>
      </c>
      <c r="E9" s="509">
        <f t="shared" si="1"/>
        <v>0</v>
      </c>
      <c r="F9" s="509">
        <f t="shared" si="1"/>
        <v>0</v>
      </c>
      <c r="G9" s="509">
        <f t="shared" si="1"/>
        <v>8938.4446953023562</v>
      </c>
      <c r="H9" s="509">
        <f t="shared" si="1"/>
        <v>35413.155272745098</v>
      </c>
      <c r="I9" s="509">
        <f t="shared" si="1"/>
        <v>67070.70935603173</v>
      </c>
      <c r="J9" s="509">
        <f t="shared" si="1"/>
        <v>172382.70031982529</v>
      </c>
      <c r="K9" s="509">
        <f t="shared" si="1"/>
        <v>263624.00894348556</v>
      </c>
      <c r="L9" s="509">
        <f t="shared" si="1"/>
        <v>450388.02553854627</v>
      </c>
      <c r="M9" s="509">
        <f t="shared" si="1"/>
        <v>518685.17228774307</v>
      </c>
      <c r="N9" s="509">
        <f t="shared" si="1"/>
        <v>756409.23704480717</v>
      </c>
      <c r="O9" s="509">
        <f t="shared" si="1"/>
        <v>763503.15984616335</v>
      </c>
      <c r="P9" s="509">
        <f t="shared" si="1"/>
        <v>1037959.3146792927</v>
      </c>
      <c r="S9" s="509">
        <f t="shared" ref="S9:S21" si="2">H9</f>
        <v>35413.155272745098</v>
      </c>
      <c r="T9" s="509">
        <f t="shared" ref="T9:T21" si="3">J9</f>
        <v>172382.70031982529</v>
      </c>
      <c r="U9" s="509">
        <f t="shared" ref="U9:U21" si="4">L9</f>
        <v>450388.02553854627</v>
      </c>
      <c r="V9" s="509">
        <f t="shared" ref="V9:V21" si="5">N9</f>
        <v>756409.23704480717</v>
      </c>
      <c r="W9" s="509">
        <f t="shared" ref="W9:W21" si="6">P9</f>
        <v>1037959.3146792927</v>
      </c>
    </row>
    <row r="10" spans="1:24" s="554" customFormat="1">
      <c r="A10" s="553" t="s">
        <v>931</v>
      </c>
      <c r="B10" s="487" t="s">
        <v>803</v>
      </c>
      <c r="D10" s="555">
        <f t="shared" ref="D10:P10" si="7">SUM(D11:D14)</f>
        <v>0</v>
      </c>
      <c r="E10" s="555">
        <f t="shared" si="7"/>
        <v>0</v>
      </c>
      <c r="F10" s="555">
        <f t="shared" si="7"/>
        <v>0</v>
      </c>
      <c r="G10" s="555">
        <f t="shared" si="7"/>
        <v>8938.4446953023562</v>
      </c>
      <c r="H10" s="555">
        <f t="shared" si="7"/>
        <v>35413.155272745098</v>
      </c>
      <c r="I10" s="555">
        <f t="shared" si="7"/>
        <v>67070.70935603173</v>
      </c>
      <c r="J10" s="555">
        <f t="shared" si="7"/>
        <v>132946.95031982529</v>
      </c>
      <c r="K10" s="555">
        <f t="shared" si="7"/>
        <v>163856.73316223559</v>
      </c>
      <c r="L10" s="555">
        <f t="shared" si="7"/>
        <v>279939.3955385462</v>
      </c>
      <c r="M10" s="555">
        <f t="shared" si="7"/>
        <v>276588.16830336803</v>
      </c>
      <c r="N10" s="555">
        <f t="shared" si="7"/>
        <v>439273.62575867423</v>
      </c>
      <c r="O10" s="555">
        <f t="shared" si="7"/>
        <v>368850.04071375349</v>
      </c>
      <c r="P10" s="555">
        <f t="shared" si="7"/>
        <v>563890.76179878763</v>
      </c>
      <c r="S10" s="555">
        <f t="shared" si="2"/>
        <v>35413.155272745098</v>
      </c>
      <c r="T10" s="555">
        <f t="shared" si="3"/>
        <v>132946.95031982529</v>
      </c>
      <c r="U10" s="555">
        <f t="shared" si="4"/>
        <v>279939.3955385462</v>
      </c>
      <c r="V10" s="555">
        <f t="shared" si="5"/>
        <v>439273.62575867423</v>
      </c>
      <c r="W10" s="555">
        <f t="shared" si="6"/>
        <v>563890.76179878763</v>
      </c>
      <c r="X10" s="567"/>
    </row>
    <row r="11" spans="1:24" ht="14.4">
      <c r="A11" s="556" t="s">
        <v>935</v>
      </c>
      <c r="B11" s="487" t="s">
        <v>803</v>
      </c>
      <c r="D11" s="511">
        <f t="shared" ref="D11:P11" si="8">D44+D82</f>
        <v>0</v>
      </c>
      <c r="E11" s="511">
        <f t="shared" si="8"/>
        <v>0</v>
      </c>
      <c r="F11" s="511">
        <f t="shared" si="8"/>
        <v>0</v>
      </c>
      <c r="G11" s="511">
        <f t="shared" si="8"/>
        <v>39.915042769746101</v>
      </c>
      <c r="H11" s="511">
        <f t="shared" si="8"/>
        <v>83.385479265231069</v>
      </c>
      <c r="I11" s="511">
        <f t="shared" si="8"/>
        <v>316.00532933551915</v>
      </c>
      <c r="J11" s="511">
        <f t="shared" si="8"/>
        <v>599.69175740538992</v>
      </c>
      <c r="K11" s="511">
        <f t="shared" si="8"/>
        <v>907.8388316973269</v>
      </c>
      <c r="L11" s="511">
        <f t="shared" si="8"/>
        <v>1277.7214205317794</v>
      </c>
      <c r="M11" s="511">
        <f t="shared" si="8"/>
        <v>1527.3871117809276</v>
      </c>
      <c r="N11" s="511">
        <f t="shared" si="8"/>
        <v>1837.010298524812</v>
      </c>
      <c r="O11" s="511">
        <f t="shared" si="8"/>
        <v>2013.7114598124492</v>
      </c>
      <c r="P11" s="511">
        <f t="shared" si="8"/>
        <v>2260.5043997249036</v>
      </c>
      <c r="S11" s="511">
        <f t="shared" si="2"/>
        <v>83.385479265231069</v>
      </c>
      <c r="T11" s="511">
        <f t="shared" si="3"/>
        <v>599.69175740538992</v>
      </c>
      <c r="U11" s="511">
        <f t="shared" si="4"/>
        <v>1277.7214205317794</v>
      </c>
      <c r="V11" s="511">
        <f t="shared" si="5"/>
        <v>1837.010298524812</v>
      </c>
      <c r="W11" s="511">
        <f t="shared" si="6"/>
        <v>2260.5043997249036</v>
      </c>
    </row>
    <row r="12" spans="1:24" ht="14.4">
      <c r="A12" s="556" t="s">
        <v>934</v>
      </c>
      <c r="B12" s="487" t="s">
        <v>803</v>
      </c>
      <c r="D12" s="511">
        <f t="shared" ref="D12:P12" si="9">D45+D83</f>
        <v>0</v>
      </c>
      <c r="E12" s="511">
        <f t="shared" si="9"/>
        <v>0</v>
      </c>
      <c r="F12" s="511">
        <f t="shared" si="9"/>
        <v>0</v>
      </c>
      <c r="G12" s="511">
        <f t="shared" si="9"/>
        <v>104.86486750319999</v>
      </c>
      <c r="H12" s="511">
        <f t="shared" si="9"/>
        <v>446.07043392877341</v>
      </c>
      <c r="I12" s="511">
        <f t="shared" si="9"/>
        <v>6221.5409606105641</v>
      </c>
      <c r="J12" s="511">
        <f t="shared" si="9"/>
        <v>13215.579061550998</v>
      </c>
      <c r="K12" s="511">
        <f t="shared" si="9"/>
        <v>22903.28116204646</v>
      </c>
      <c r="L12" s="511">
        <f t="shared" si="9"/>
        <v>32933.382857179138</v>
      </c>
      <c r="M12" s="511">
        <f t="shared" si="9"/>
        <v>43730.265973450027</v>
      </c>
      <c r="N12" s="511">
        <f t="shared" si="9"/>
        <v>52999.143083321178</v>
      </c>
      <c r="O12" s="511">
        <f t="shared" si="9"/>
        <v>64188.185812723008</v>
      </c>
      <c r="P12" s="511">
        <f t="shared" si="9"/>
        <v>72336.051982564561</v>
      </c>
      <c r="S12" s="511">
        <f t="shared" si="2"/>
        <v>446.07043392877341</v>
      </c>
      <c r="T12" s="511">
        <f t="shared" si="3"/>
        <v>13215.579061550998</v>
      </c>
      <c r="U12" s="511">
        <f t="shared" si="4"/>
        <v>32933.382857179138</v>
      </c>
      <c r="V12" s="511">
        <f t="shared" si="5"/>
        <v>52999.143083321178</v>
      </c>
      <c r="W12" s="511">
        <f t="shared" si="6"/>
        <v>72336.051982564561</v>
      </c>
    </row>
    <row r="13" spans="1:24" ht="14.4">
      <c r="A13" s="556" t="s">
        <v>933</v>
      </c>
      <c r="B13" s="487" t="s">
        <v>803</v>
      </c>
      <c r="D13" s="511">
        <f t="shared" ref="D13:P13" si="10">D46+D84</f>
        <v>0</v>
      </c>
      <c r="E13" s="511">
        <f t="shared" si="10"/>
        <v>0</v>
      </c>
      <c r="F13" s="511">
        <f t="shared" si="10"/>
        <v>0</v>
      </c>
      <c r="G13" s="511">
        <f t="shared" si="10"/>
        <v>0</v>
      </c>
      <c r="H13" s="511">
        <f t="shared" si="10"/>
        <v>0</v>
      </c>
      <c r="I13" s="511">
        <f t="shared" si="10"/>
        <v>0</v>
      </c>
      <c r="J13" s="511">
        <f t="shared" si="10"/>
        <v>11215.711509866544</v>
      </c>
      <c r="K13" s="511">
        <f t="shared" si="10"/>
        <v>24639.399945450579</v>
      </c>
      <c r="L13" s="511">
        <f t="shared" si="10"/>
        <v>39986.965658141031</v>
      </c>
      <c r="M13" s="511">
        <f t="shared" si="10"/>
        <v>53272.403664526522</v>
      </c>
      <c r="N13" s="511">
        <f t="shared" si="10"/>
        <v>67002.986986069634</v>
      </c>
      <c r="O13" s="511">
        <f t="shared" si="10"/>
        <v>79068.626696706575</v>
      </c>
      <c r="P13" s="511">
        <f t="shared" si="10"/>
        <v>90706.080323753224</v>
      </c>
      <c r="S13" s="511">
        <f t="shared" si="2"/>
        <v>0</v>
      </c>
      <c r="T13" s="511">
        <f t="shared" si="3"/>
        <v>11215.711509866544</v>
      </c>
      <c r="U13" s="511">
        <f t="shared" si="4"/>
        <v>39986.965658141031</v>
      </c>
      <c r="V13" s="511">
        <f t="shared" si="5"/>
        <v>67002.986986069634</v>
      </c>
      <c r="W13" s="511">
        <f t="shared" si="6"/>
        <v>90706.080323753224</v>
      </c>
    </row>
    <row r="14" spans="1:24" ht="14.4">
      <c r="A14" s="556" t="s">
        <v>932</v>
      </c>
      <c r="B14" s="487" t="s">
        <v>803</v>
      </c>
      <c r="D14" s="511">
        <f t="shared" ref="D14:P14" si="11">D48+D86</f>
        <v>0</v>
      </c>
      <c r="E14" s="511">
        <f t="shared" si="11"/>
        <v>0</v>
      </c>
      <c r="F14" s="511">
        <f t="shared" si="11"/>
        <v>0</v>
      </c>
      <c r="G14" s="511">
        <f t="shared" si="11"/>
        <v>8793.6647850294103</v>
      </c>
      <c r="H14" s="511">
        <f t="shared" si="11"/>
        <v>34883.699359551094</v>
      </c>
      <c r="I14" s="511">
        <f t="shared" si="11"/>
        <v>60533.163066085639</v>
      </c>
      <c r="J14" s="511">
        <f t="shared" si="11"/>
        <v>107915.96799100237</v>
      </c>
      <c r="K14" s="511">
        <f t="shared" si="11"/>
        <v>115406.21322304121</v>
      </c>
      <c r="L14" s="511">
        <f t="shared" si="11"/>
        <v>205741.32560269427</v>
      </c>
      <c r="M14" s="511">
        <f t="shared" si="11"/>
        <v>178058.11155361054</v>
      </c>
      <c r="N14" s="511">
        <f t="shared" si="11"/>
        <v>317434.48539075861</v>
      </c>
      <c r="O14" s="511">
        <f t="shared" si="11"/>
        <v>223579.51674451146</v>
      </c>
      <c r="P14" s="511">
        <f t="shared" si="11"/>
        <v>398588.125092745</v>
      </c>
      <c r="S14" s="511">
        <f t="shared" si="2"/>
        <v>34883.699359551094</v>
      </c>
      <c r="T14" s="511">
        <f t="shared" si="3"/>
        <v>107915.96799100237</v>
      </c>
      <c r="U14" s="511">
        <f t="shared" si="4"/>
        <v>205741.32560269427</v>
      </c>
      <c r="V14" s="511">
        <f t="shared" si="5"/>
        <v>317434.48539075861</v>
      </c>
      <c r="W14" s="511">
        <f t="shared" si="6"/>
        <v>398588.125092745</v>
      </c>
    </row>
    <row r="15" spans="1:24" s="554" customFormat="1">
      <c r="A15" s="553" t="s">
        <v>923</v>
      </c>
      <c r="B15" s="487" t="s">
        <v>803</v>
      </c>
      <c r="D15" s="555">
        <f t="shared" ref="D15:P15" si="12">SUM(D16:D17)</f>
        <v>0</v>
      </c>
      <c r="E15" s="555">
        <f t="shared" si="12"/>
        <v>0</v>
      </c>
      <c r="F15" s="555">
        <f t="shared" si="12"/>
        <v>0</v>
      </c>
      <c r="G15" s="555">
        <f t="shared" si="12"/>
        <v>0</v>
      </c>
      <c r="H15" s="555">
        <f t="shared" si="12"/>
        <v>0</v>
      </c>
      <c r="I15" s="555">
        <f t="shared" si="12"/>
        <v>0</v>
      </c>
      <c r="J15" s="555">
        <f t="shared" si="12"/>
        <v>39435.75</v>
      </c>
      <c r="K15" s="555">
        <f t="shared" si="12"/>
        <v>99767.27578125002</v>
      </c>
      <c r="L15" s="555">
        <f t="shared" si="12"/>
        <v>170448.63000000006</v>
      </c>
      <c r="M15" s="555">
        <f t="shared" si="12"/>
        <v>242097.00398437507</v>
      </c>
      <c r="N15" s="555">
        <f t="shared" si="12"/>
        <v>317135.61128613295</v>
      </c>
      <c r="O15" s="555">
        <f t="shared" si="12"/>
        <v>394653.11913240975</v>
      </c>
      <c r="P15" s="555">
        <f t="shared" si="12"/>
        <v>474068.55288050498</v>
      </c>
      <c r="S15" s="555">
        <f t="shared" si="2"/>
        <v>0</v>
      </c>
      <c r="T15" s="555">
        <f t="shared" si="3"/>
        <v>39435.75</v>
      </c>
      <c r="U15" s="555">
        <f t="shared" si="4"/>
        <v>170448.63000000006</v>
      </c>
      <c r="V15" s="555">
        <f t="shared" si="5"/>
        <v>317135.61128613295</v>
      </c>
      <c r="W15" s="555">
        <f t="shared" si="6"/>
        <v>474068.55288050498</v>
      </c>
      <c r="X15" s="567"/>
    </row>
    <row r="16" spans="1:24" ht="14.4">
      <c r="A16" s="556" t="s">
        <v>925</v>
      </c>
      <c r="B16" s="487" t="s">
        <v>803</v>
      </c>
      <c r="D16" s="511">
        <f t="shared" ref="D16:P16" si="13">D50+D88</f>
        <v>0</v>
      </c>
      <c r="E16" s="511">
        <f t="shared" si="13"/>
        <v>0</v>
      </c>
      <c r="F16" s="511">
        <f t="shared" si="13"/>
        <v>0</v>
      </c>
      <c r="G16" s="511">
        <f t="shared" si="13"/>
        <v>0</v>
      </c>
      <c r="H16" s="511">
        <f t="shared" si="13"/>
        <v>0</v>
      </c>
      <c r="I16" s="511">
        <f t="shared" si="13"/>
        <v>0</v>
      </c>
      <c r="J16" s="511">
        <f t="shared" si="13"/>
        <v>30600</v>
      </c>
      <c r="K16" s="511">
        <f t="shared" si="13"/>
        <v>80503.500000000015</v>
      </c>
      <c r="L16" s="511">
        <f t="shared" si="13"/>
        <v>136592.98125000007</v>
      </c>
      <c r="M16" s="511">
        <f t="shared" si="13"/>
        <v>196626.02554687505</v>
      </c>
      <c r="N16" s="511">
        <f t="shared" si="13"/>
        <v>259173.09128613293</v>
      </c>
      <c r="O16" s="511">
        <f t="shared" si="13"/>
        <v>323322.84569490975</v>
      </c>
      <c r="P16" s="511">
        <f t="shared" si="13"/>
        <v>388494.31413050496</v>
      </c>
      <c r="S16" s="511">
        <f t="shared" si="2"/>
        <v>0</v>
      </c>
      <c r="T16" s="511">
        <f t="shared" si="3"/>
        <v>30600</v>
      </c>
      <c r="U16" s="511">
        <f t="shared" si="4"/>
        <v>136592.98125000007</v>
      </c>
      <c r="V16" s="511">
        <f t="shared" si="5"/>
        <v>259173.09128613293</v>
      </c>
      <c r="W16" s="511">
        <f t="shared" si="6"/>
        <v>388494.31413050496</v>
      </c>
    </row>
    <row r="17" spans="1:24" ht="14.4">
      <c r="A17" s="556" t="s">
        <v>924</v>
      </c>
      <c r="B17" s="487" t="s">
        <v>803</v>
      </c>
      <c r="D17" s="511">
        <f>D49+D89</f>
        <v>0</v>
      </c>
      <c r="E17" s="511">
        <f t="shared" ref="E17:P17" si="14">E49+E87</f>
        <v>0</v>
      </c>
      <c r="F17" s="511">
        <f t="shared" si="14"/>
        <v>0</v>
      </c>
      <c r="G17" s="511">
        <f t="shared" si="14"/>
        <v>0</v>
      </c>
      <c r="H17" s="511">
        <f t="shared" si="14"/>
        <v>0</v>
      </c>
      <c r="I17" s="511">
        <f t="shared" si="14"/>
        <v>0</v>
      </c>
      <c r="J17" s="511">
        <f t="shared" si="14"/>
        <v>8835.75</v>
      </c>
      <c r="K17" s="511">
        <f t="shared" si="14"/>
        <v>19263.775781250002</v>
      </c>
      <c r="L17" s="511">
        <f t="shared" si="14"/>
        <v>33855.64875</v>
      </c>
      <c r="M17" s="511">
        <f t="shared" si="14"/>
        <v>45470.978437500009</v>
      </c>
      <c r="N17" s="511">
        <f t="shared" si="14"/>
        <v>57962.520000000011</v>
      </c>
      <c r="O17" s="511">
        <f t="shared" si="14"/>
        <v>71330.273437500015</v>
      </c>
      <c r="P17" s="511">
        <f t="shared" si="14"/>
        <v>85574.238750000019</v>
      </c>
      <c r="S17" s="511">
        <f t="shared" si="2"/>
        <v>0</v>
      </c>
      <c r="T17" s="511">
        <f t="shared" si="3"/>
        <v>8835.75</v>
      </c>
      <c r="U17" s="511">
        <f t="shared" si="4"/>
        <v>33855.64875</v>
      </c>
      <c r="V17" s="511">
        <f t="shared" si="5"/>
        <v>57962.520000000011</v>
      </c>
      <c r="W17" s="511">
        <f t="shared" si="6"/>
        <v>85574.238750000019</v>
      </c>
    </row>
    <row r="18" spans="1:24" ht="15.6">
      <c r="A18" s="496"/>
      <c r="B18" s="495"/>
      <c r="D18" s="509"/>
      <c r="E18" s="509"/>
      <c r="F18" s="509"/>
      <c r="G18" s="509"/>
      <c r="H18" s="509"/>
      <c r="I18" s="509"/>
      <c r="J18" s="509"/>
      <c r="K18" s="509"/>
      <c r="L18" s="509"/>
      <c r="M18" s="509"/>
      <c r="N18" s="509"/>
      <c r="O18" s="509"/>
      <c r="P18" s="509"/>
      <c r="S18" s="509">
        <f t="shared" si="2"/>
        <v>0</v>
      </c>
      <c r="T18" s="509">
        <f t="shared" si="3"/>
        <v>0</v>
      </c>
      <c r="U18" s="509">
        <f t="shared" si="4"/>
        <v>0</v>
      </c>
      <c r="V18" s="509">
        <f t="shared" si="5"/>
        <v>0</v>
      </c>
      <c r="W18" s="509">
        <f t="shared" si="6"/>
        <v>0</v>
      </c>
    </row>
    <row r="19" spans="1:24" ht="14.4">
      <c r="A19" s="487" t="s">
        <v>1376</v>
      </c>
      <c r="B19" s="487" t="s">
        <v>803</v>
      </c>
      <c r="D19" s="511">
        <f t="shared" ref="D19" si="15">D53+D91</f>
        <v>0</v>
      </c>
      <c r="E19" s="511">
        <f>OPEX_CAPEX!BR61-SUM(OPEX_CAPEX!$BR$38:'OPEX_CAPEX'!BR38)</f>
        <v>6076.3828125</v>
      </c>
      <c r="F19" s="511">
        <f>E19+OPEX_CAPEX!BS61-SUM(OPEX_CAPEX!$BR$38:'OPEX_CAPEX'!BS38)</f>
        <v>6444.6484375</v>
      </c>
      <c r="G19" s="511">
        <f>F19+OPEX_CAPEX!BT61-SUM(OPEX_CAPEX!$BR$38:'OPEX_CAPEX'!BT38)</f>
        <v>6997.046875</v>
      </c>
      <c r="H19" s="511">
        <f>G19+OPEX_CAPEX!BU61-SUM(OPEX_CAPEX!$BR$38:'OPEX_CAPEX'!BU38)</f>
        <v>7733.578125</v>
      </c>
      <c r="I19" s="511">
        <f>H19+OPEX_CAPEX!BV61-SUM(OPEX_CAPEX!$BR$38:'OPEX_CAPEX'!BV38)</f>
        <v>10297.984375</v>
      </c>
      <c r="J19" s="511">
        <f>I19+OPEX_CAPEX!BW61-SUM(OPEX_CAPEX!$BR$38:'OPEX_CAPEX'!BW38)</f>
        <v>11942.765625</v>
      </c>
      <c r="K19" s="511">
        <f>J19+OPEX_CAPEX!BX61-SUM(OPEX_CAPEX!$BR$38:'OPEX_CAPEX'!BX38)</f>
        <v>15388.125</v>
      </c>
      <c r="L19" s="511">
        <f>K19+OPEX_CAPEX!BY61-SUM(OPEX_CAPEX!$BR$38:'OPEX_CAPEX'!BY38)</f>
        <v>18099.5625</v>
      </c>
      <c r="M19" s="511">
        <f>L19+OPEX_CAPEX!BZ61-SUM(OPEX_CAPEX!$BR$38:'OPEX_CAPEX'!BZ38)</f>
        <v>21726.828125</v>
      </c>
      <c r="N19" s="511">
        <f>M19+OPEX_CAPEX!CA61-SUM(OPEX_CAPEX!$BR$38:'OPEX_CAPEX'!CA38)</f>
        <v>25549.921875</v>
      </c>
      <c r="O19" s="511">
        <f>N19+OPEX_CAPEX!CB61-SUM(OPEX_CAPEX!$BR$38:'OPEX_CAPEX'!CB38)</f>
        <v>30014.90625</v>
      </c>
      <c r="P19" s="511">
        <f>O19+OPEX_CAPEX!CC61-SUM(OPEX_CAPEX!$BR$38:'OPEX_CAPEX'!CC38)</f>
        <v>34959.78125</v>
      </c>
      <c r="Q19" s="511"/>
      <c r="R19" s="511"/>
      <c r="S19" s="511">
        <f t="shared" si="2"/>
        <v>7733.578125</v>
      </c>
      <c r="T19" s="511">
        <f t="shared" si="3"/>
        <v>11942.765625</v>
      </c>
      <c r="U19" s="511">
        <f t="shared" si="4"/>
        <v>18099.5625</v>
      </c>
      <c r="V19" s="511">
        <f t="shared" si="5"/>
        <v>25549.921875</v>
      </c>
      <c r="W19" s="511">
        <f t="shared" si="6"/>
        <v>34959.78125</v>
      </c>
    </row>
    <row r="20" spans="1:24" ht="15.6">
      <c r="A20" s="249"/>
      <c r="B20" s="495"/>
      <c r="D20" s="509"/>
      <c r="E20" s="509"/>
      <c r="F20" s="509"/>
      <c r="G20" s="509"/>
      <c r="H20" s="509"/>
      <c r="I20" s="509"/>
      <c r="J20" s="509"/>
      <c r="K20" s="509"/>
      <c r="L20" s="509"/>
      <c r="M20" s="509"/>
      <c r="N20" s="509"/>
      <c r="O20" s="509"/>
      <c r="P20" s="509"/>
      <c r="S20" s="509">
        <f t="shared" si="2"/>
        <v>0</v>
      </c>
      <c r="T20" s="509">
        <f t="shared" si="3"/>
        <v>0</v>
      </c>
      <c r="U20" s="509">
        <f t="shared" si="4"/>
        <v>0</v>
      </c>
      <c r="V20" s="509">
        <f t="shared" si="5"/>
        <v>0</v>
      </c>
      <c r="W20" s="509">
        <f t="shared" si="6"/>
        <v>0</v>
      </c>
    </row>
    <row r="21" spans="1:24" ht="15.6">
      <c r="A21" s="496" t="s">
        <v>885</v>
      </c>
      <c r="B21" s="487" t="s">
        <v>803</v>
      </c>
      <c r="D21" s="549">
        <f t="shared" ref="D21:P21" si="16">D8+D9+D19</f>
        <v>0</v>
      </c>
      <c r="E21" s="549">
        <f t="shared" si="16"/>
        <v>6076.3828125</v>
      </c>
      <c r="F21" s="549">
        <f t="shared" si="16"/>
        <v>6444.6484375</v>
      </c>
      <c r="G21" s="549">
        <f t="shared" si="16"/>
        <v>15935.491570302356</v>
      </c>
      <c r="H21" s="549">
        <f t="shared" si="16"/>
        <v>43146.733397745098</v>
      </c>
      <c r="I21" s="549">
        <f t="shared" si="16"/>
        <v>77368.69373103173</v>
      </c>
      <c r="J21" s="549">
        <f t="shared" si="16"/>
        <v>184325.46594482529</v>
      </c>
      <c r="K21" s="549">
        <f t="shared" si="16"/>
        <v>281277.97577900917</v>
      </c>
      <c r="L21" s="549">
        <f t="shared" si="16"/>
        <v>468487.58803854627</v>
      </c>
      <c r="M21" s="549">
        <f t="shared" si="16"/>
        <v>622835.55543828686</v>
      </c>
      <c r="N21" s="549">
        <f t="shared" si="16"/>
        <v>861238.31498917867</v>
      </c>
      <c r="O21" s="549">
        <f t="shared" si="16"/>
        <v>1056016.7840829645</v>
      </c>
      <c r="P21" s="549">
        <f t="shared" si="16"/>
        <v>1255700.7761420913</v>
      </c>
      <c r="S21" s="549">
        <f t="shared" si="2"/>
        <v>43146.733397745098</v>
      </c>
      <c r="T21" s="549">
        <f t="shared" si="3"/>
        <v>184325.46594482529</v>
      </c>
      <c r="U21" s="549">
        <f t="shared" si="4"/>
        <v>468487.58803854627</v>
      </c>
      <c r="V21" s="549">
        <f t="shared" si="5"/>
        <v>861238.31498917867</v>
      </c>
      <c r="W21" s="549">
        <f t="shared" si="6"/>
        <v>1255700.7761420913</v>
      </c>
    </row>
    <row r="22" spans="1:24" ht="15.6">
      <c r="A22" s="249"/>
      <c r="B22" s="495"/>
      <c r="D22" s="509"/>
      <c r="E22" s="509"/>
      <c r="F22" s="509"/>
      <c r="G22" s="509"/>
      <c r="H22" s="509"/>
      <c r="I22" s="509"/>
      <c r="J22" s="509"/>
      <c r="K22" s="509"/>
      <c r="L22" s="509"/>
      <c r="M22" s="509"/>
      <c r="N22" s="509"/>
      <c r="O22" s="509"/>
      <c r="P22" s="509"/>
    </row>
    <row r="23" spans="1:24" s="554" customFormat="1">
      <c r="A23" s="553" t="s">
        <v>931</v>
      </c>
      <c r="B23" s="487" t="s">
        <v>803</v>
      </c>
      <c r="D23" s="555">
        <f>SUM(D24:D26)</f>
        <v>0</v>
      </c>
      <c r="E23" s="555">
        <f t="shared" ref="E23:P23" si="17">SUM(E24:E26)</f>
        <v>653.93380339829991</v>
      </c>
      <c r="F23" s="555">
        <f t="shared" si="17"/>
        <v>696.10598453675686</v>
      </c>
      <c r="G23" s="555">
        <f t="shared" si="17"/>
        <v>24450.836894952474</v>
      </c>
      <c r="H23" s="555">
        <f t="shared" si="17"/>
        <v>30885.678659840483</v>
      </c>
      <c r="I23" s="555">
        <f t="shared" si="17"/>
        <v>42151.130689359416</v>
      </c>
      <c r="J23" s="555">
        <f t="shared" si="17"/>
        <v>55806.342581197256</v>
      </c>
      <c r="K23" s="555">
        <f t="shared" si="17"/>
        <v>133562.21595559103</v>
      </c>
      <c r="L23" s="555">
        <f t="shared" si="17"/>
        <v>192396.39569153573</v>
      </c>
      <c r="M23" s="555">
        <f t="shared" si="17"/>
        <v>301522.86902466597</v>
      </c>
      <c r="N23" s="555">
        <f t="shared" si="17"/>
        <v>424901.57140594034</v>
      </c>
      <c r="O23" s="555">
        <f t="shared" si="17"/>
        <v>505948.35521683469</v>
      </c>
      <c r="P23" s="555">
        <f t="shared" si="17"/>
        <v>558987.83747914282</v>
      </c>
      <c r="S23" s="555">
        <f t="shared" ref="S23" si="18">H23</f>
        <v>30885.678659840483</v>
      </c>
      <c r="T23" s="555">
        <f t="shared" ref="T23" si="19">J23</f>
        <v>55806.342581197256</v>
      </c>
      <c r="U23" s="555">
        <f t="shared" ref="U23" si="20">L23</f>
        <v>192396.39569153573</v>
      </c>
      <c r="V23" s="555">
        <f t="shared" ref="V23" si="21">N23</f>
        <v>424901.57140594034</v>
      </c>
      <c r="W23" s="555">
        <f t="shared" ref="W23" si="22">P23</f>
        <v>558987.83747914282</v>
      </c>
      <c r="X23" s="567"/>
    </row>
    <row r="24" spans="1:24" ht="14.4">
      <c r="A24" s="556" t="s">
        <v>930</v>
      </c>
      <c r="B24" s="487" t="s">
        <v>803</v>
      </c>
      <c r="D24" s="511"/>
      <c r="E24" s="511">
        <f t="shared" ref="E24:P24" si="23">E61+E97</f>
        <v>653.93380339829991</v>
      </c>
      <c r="F24" s="511">
        <f t="shared" si="23"/>
        <v>696.10598453675686</v>
      </c>
      <c r="G24" s="511">
        <f t="shared" si="23"/>
        <v>762.05207030263841</v>
      </c>
      <c r="H24" s="511">
        <f t="shared" si="23"/>
        <v>1005.04362758901</v>
      </c>
      <c r="I24" s="511">
        <f t="shared" si="23"/>
        <v>1482.4097289309379</v>
      </c>
      <c r="J24" s="511">
        <f t="shared" si="23"/>
        <v>1887.95755908316</v>
      </c>
      <c r="K24" s="511">
        <f t="shared" si="23"/>
        <v>2130.9915075031604</v>
      </c>
      <c r="L24" s="511">
        <f t="shared" si="23"/>
        <v>2426.07240988376</v>
      </c>
      <c r="M24" s="511">
        <f t="shared" si="23"/>
        <v>2583.3178438577074</v>
      </c>
      <c r="N24" s="511">
        <f t="shared" si="23"/>
        <v>3117.5633740715598</v>
      </c>
      <c r="O24" s="511">
        <f t="shared" si="23"/>
        <v>3250.995086481822</v>
      </c>
      <c r="P24" s="511">
        <f t="shared" si="23"/>
        <v>4006.1464578537002</v>
      </c>
      <c r="Q24" s="511"/>
      <c r="R24" s="511"/>
      <c r="S24" s="511">
        <f t="shared" ref="S24:S33" si="24">H24</f>
        <v>1005.04362758901</v>
      </c>
      <c r="T24" s="511">
        <f t="shared" ref="T24:T33" si="25">J24</f>
        <v>1887.95755908316</v>
      </c>
      <c r="U24" s="511">
        <f t="shared" ref="U24:U33" si="26">L24</f>
        <v>2426.07240988376</v>
      </c>
      <c r="V24" s="511">
        <f t="shared" ref="V24:V33" si="27">N24</f>
        <v>3117.5633740715598</v>
      </c>
      <c r="W24" s="511">
        <f t="shared" ref="W24:W33" si="28">P24</f>
        <v>4006.1464578537002</v>
      </c>
    </row>
    <row r="25" spans="1:24" ht="14.4">
      <c r="A25" s="556" t="s">
        <v>929</v>
      </c>
      <c r="B25" s="487" t="s">
        <v>803</v>
      </c>
      <c r="D25" s="511"/>
      <c r="E25" s="511">
        <f>E60</f>
        <v>0</v>
      </c>
      <c r="F25" s="511">
        <f t="shared" ref="F25:P25" si="29">F60</f>
        <v>0</v>
      </c>
      <c r="G25" s="511">
        <f t="shared" si="29"/>
        <v>212.88022810531257</v>
      </c>
      <c r="H25" s="511">
        <f t="shared" si="29"/>
        <v>444.72255608123231</v>
      </c>
      <c r="I25" s="511">
        <f t="shared" si="29"/>
        <v>3370.7235129122041</v>
      </c>
      <c r="J25" s="511">
        <f t="shared" si="29"/>
        <v>6396.7120789908267</v>
      </c>
      <c r="K25" s="511">
        <f t="shared" si="29"/>
        <v>19367.228409542975</v>
      </c>
      <c r="L25" s="511">
        <f t="shared" si="29"/>
        <v>27258.056971344628</v>
      </c>
      <c r="M25" s="511">
        <f t="shared" si="29"/>
        <v>57022.452173154634</v>
      </c>
      <c r="N25" s="511">
        <f t="shared" si="29"/>
        <v>68581.717811592986</v>
      </c>
      <c r="O25" s="511">
        <f t="shared" si="29"/>
        <v>107397.94452333065</v>
      </c>
      <c r="P25" s="511">
        <f t="shared" si="29"/>
        <v>120560.23465199486</v>
      </c>
      <c r="Q25" s="511"/>
      <c r="R25" s="511"/>
      <c r="S25" s="511">
        <f t="shared" si="24"/>
        <v>444.72255608123231</v>
      </c>
      <c r="T25" s="511">
        <f t="shared" si="25"/>
        <v>6396.7120789908267</v>
      </c>
      <c r="U25" s="511">
        <f t="shared" si="26"/>
        <v>27258.056971344628</v>
      </c>
      <c r="V25" s="511">
        <f t="shared" si="27"/>
        <v>68581.717811592986</v>
      </c>
      <c r="W25" s="511">
        <f t="shared" si="28"/>
        <v>120560.23465199486</v>
      </c>
    </row>
    <row r="26" spans="1:24" ht="14.4">
      <c r="A26" s="556" t="s">
        <v>892</v>
      </c>
      <c r="B26" s="487" t="s">
        <v>803</v>
      </c>
      <c r="D26" s="511">
        <f t="shared" ref="D26:P26" si="30">D62+D98</f>
        <v>0</v>
      </c>
      <c r="E26" s="511">
        <f t="shared" si="30"/>
        <v>0</v>
      </c>
      <c r="F26" s="511">
        <f t="shared" si="30"/>
        <v>0</v>
      </c>
      <c r="G26" s="511">
        <f t="shared" si="30"/>
        <v>23475.904596544522</v>
      </c>
      <c r="H26" s="511">
        <f t="shared" si="30"/>
        <v>29435.912476170241</v>
      </c>
      <c r="I26" s="511">
        <f t="shared" si="30"/>
        <v>37297.997447516274</v>
      </c>
      <c r="J26" s="511">
        <f t="shared" si="30"/>
        <v>47521.672943123267</v>
      </c>
      <c r="K26" s="511">
        <f t="shared" si="30"/>
        <v>112063.99603854489</v>
      </c>
      <c r="L26" s="511">
        <f t="shared" si="30"/>
        <v>162712.26631030734</v>
      </c>
      <c r="M26" s="511">
        <f t="shared" si="30"/>
        <v>241917.09900765363</v>
      </c>
      <c r="N26" s="511">
        <f t="shared" si="30"/>
        <v>353202.29022027581</v>
      </c>
      <c r="O26" s="511">
        <f t="shared" si="30"/>
        <v>395299.41560702224</v>
      </c>
      <c r="P26" s="511">
        <f t="shared" si="30"/>
        <v>434421.45636929426</v>
      </c>
      <c r="Q26" s="511"/>
      <c r="R26" s="511"/>
      <c r="S26" s="511">
        <f t="shared" si="24"/>
        <v>29435.912476170241</v>
      </c>
      <c r="T26" s="511">
        <f t="shared" si="25"/>
        <v>47521.672943123267</v>
      </c>
      <c r="U26" s="511">
        <f t="shared" si="26"/>
        <v>162712.26631030734</v>
      </c>
      <c r="V26" s="511">
        <f t="shared" si="27"/>
        <v>353202.29022027581</v>
      </c>
      <c r="W26" s="511">
        <f t="shared" si="28"/>
        <v>434421.45636929426</v>
      </c>
    </row>
    <row r="27" spans="1:24" s="554" customFormat="1">
      <c r="A27" s="553" t="s">
        <v>923</v>
      </c>
      <c r="B27" s="487" t="s">
        <v>803</v>
      </c>
      <c r="D27" s="555">
        <f t="shared" ref="D27:P27" si="31">SUM(D28:D29)</f>
        <v>0</v>
      </c>
      <c r="E27" s="555">
        <f t="shared" si="31"/>
        <v>0</v>
      </c>
      <c r="F27" s="555">
        <f t="shared" si="31"/>
        <v>0</v>
      </c>
      <c r="G27" s="555">
        <f t="shared" si="31"/>
        <v>0</v>
      </c>
      <c r="H27" s="555">
        <f t="shared" si="31"/>
        <v>0</v>
      </c>
      <c r="I27" s="555">
        <f t="shared" si="31"/>
        <v>0</v>
      </c>
      <c r="J27" s="555">
        <f t="shared" si="31"/>
        <v>112440</v>
      </c>
      <c r="K27" s="555">
        <f t="shared" si="31"/>
        <v>187253.73333333334</v>
      </c>
      <c r="L27" s="555">
        <f t="shared" si="31"/>
        <v>262582.02666666667</v>
      </c>
      <c r="M27" s="555">
        <f t="shared" si="31"/>
        <v>338573.48800000001</v>
      </c>
      <c r="N27" s="555">
        <f t="shared" si="31"/>
        <v>415415.58613333339</v>
      </c>
      <c r="O27" s="555">
        <f t="shared" si="31"/>
        <v>493344.25066666666</v>
      </c>
      <c r="P27" s="555">
        <f t="shared" si="31"/>
        <v>572655.757568</v>
      </c>
      <c r="S27" s="555">
        <f t="shared" si="24"/>
        <v>0</v>
      </c>
      <c r="T27" s="555">
        <f t="shared" si="25"/>
        <v>112440</v>
      </c>
      <c r="U27" s="555">
        <f t="shared" si="26"/>
        <v>262582.02666666667</v>
      </c>
      <c r="V27" s="555">
        <f t="shared" si="27"/>
        <v>415415.58613333339</v>
      </c>
      <c r="W27" s="555">
        <f t="shared" si="28"/>
        <v>572655.757568</v>
      </c>
      <c r="X27" s="567"/>
    </row>
    <row r="28" spans="1:24" ht="14.4">
      <c r="A28" s="556" t="s">
        <v>883</v>
      </c>
      <c r="B28" s="487" t="s">
        <v>803</v>
      </c>
      <c r="D28" s="511">
        <f t="shared" ref="D28:P28" si="32">D57+D95</f>
        <v>0</v>
      </c>
      <c r="E28" s="511">
        <f t="shared" si="32"/>
        <v>0</v>
      </c>
      <c r="F28" s="511">
        <f t="shared" si="32"/>
        <v>0</v>
      </c>
      <c r="G28" s="511">
        <f t="shared" si="32"/>
        <v>0</v>
      </c>
      <c r="H28" s="511">
        <f t="shared" si="32"/>
        <v>0</v>
      </c>
      <c r="I28" s="511">
        <f t="shared" si="32"/>
        <v>0</v>
      </c>
      <c r="J28" s="511">
        <f t="shared" si="32"/>
        <v>111000</v>
      </c>
      <c r="K28" s="511">
        <f t="shared" si="32"/>
        <v>184383.33333333334</v>
      </c>
      <c r="L28" s="511">
        <f t="shared" si="32"/>
        <v>257766.66666666669</v>
      </c>
      <c r="M28" s="511">
        <f t="shared" si="32"/>
        <v>331150</v>
      </c>
      <c r="N28" s="511">
        <f t="shared" si="32"/>
        <v>404533.33333333337</v>
      </c>
      <c r="O28" s="511">
        <f t="shared" si="32"/>
        <v>477916.66666666669</v>
      </c>
      <c r="P28" s="511">
        <f t="shared" si="32"/>
        <v>551300</v>
      </c>
      <c r="Q28" s="511"/>
      <c r="R28" s="511"/>
      <c r="S28" s="511">
        <f t="shared" si="24"/>
        <v>0</v>
      </c>
      <c r="T28" s="511">
        <f t="shared" si="25"/>
        <v>111000</v>
      </c>
      <c r="U28" s="511">
        <f t="shared" si="26"/>
        <v>257766.66666666669</v>
      </c>
      <c r="V28" s="511">
        <f t="shared" si="27"/>
        <v>404533.33333333337</v>
      </c>
      <c r="W28" s="511">
        <f t="shared" si="28"/>
        <v>551300</v>
      </c>
    </row>
    <row r="29" spans="1:24" ht="14.4">
      <c r="A29" s="556" t="s">
        <v>892</v>
      </c>
      <c r="B29" s="487" t="s">
        <v>803</v>
      </c>
      <c r="D29" s="511">
        <f>D58</f>
        <v>0</v>
      </c>
      <c r="E29" s="511">
        <f t="shared" ref="E29:P29" si="33">E58</f>
        <v>0</v>
      </c>
      <c r="F29" s="511">
        <f t="shared" si="33"/>
        <v>0</v>
      </c>
      <c r="G29" s="511">
        <f t="shared" si="33"/>
        <v>0</v>
      </c>
      <c r="H29" s="511">
        <f t="shared" si="33"/>
        <v>0</v>
      </c>
      <c r="I29" s="511">
        <f t="shared" si="33"/>
        <v>0</v>
      </c>
      <c r="J29" s="511">
        <f t="shared" si="33"/>
        <v>1440</v>
      </c>
      <c r="K29" s="511">
        <f t="shared" si="33"/>
        <v>2870.4</v>
      </c>
      <c r="L29" s="511">
        <f t="shared" si="33"/>
        <v>4815.3599999999997</v>
      </c>
      <c r="M29" s="511">
        <f t="shared" si="33"/>
        <v>7423.4880000000012</v>
      </c>
      <c r="N29" s="511">
        <f t="shared" si="33"/>
        <v>10882.2528</v>
      </c>
      <c r="O29" s="511">
        <f t="shared" si="33"/>
        <v>15427.584000000003</v>
      </c>
      <c r="P29" s="511">
        <f t="shared" si="33"/>
        <v>21355.757568000001</v>
      </c>
      <c r="Q29" s="511"/>
      <c r="R29" s="511"/>
      <c r="S29" s="511">
        <f t="shared" ref="S29" si="34">H29</f>
        <v>0</v>
      </c>
      <c r="T29" s="511">
        <f t="shared" ref="T29" si="35">J29</f>
        <v>1440</v>
      </c>
      <c r="U29" s="511">
        <f t="shared" ref="U29" si="36">L29</f>
        <v>4815.3599999999997</v>
      </c>
      <c r="V29" s="511">
        <f t="shared" ref="V29" si="37">N29</f>
        <v>10882.2528</v>
      </c>
      <c r="W29" s="511">
        <f t="shared" ref="W29" si="38">P29</f>
        <v>21355.757568000001</v>
      </c>
    </row>
    <row r="30" spans="1:24" ht="14.4">
      <c r="A30" s="487"/>
      <c r="B30" s="487"/>
      <c r="D30" s="511"/>
      <c r="E30" s="511"/>
      <c r="F30" s="511"/>
      <c r="G30" s="511"/>
      <c r="H30" s="511"/>
      <c r="I30" s="511"/>
      <c r="J30" s="511"/>
      <c r="K30" s="511"/>
      <c r="L30" s="511"/>
      <c r="M30" s="511"/>
      <c r="N30" s="511"/>
      <c r="O30" s="511"/>
      <c r="P30" s="511"/>
      <c r="Q30" s="511"/>
      <c r="R30" s="511"/>
      <c r="S30" s="511">
        <f t="shared" si="24"/>
        <v>0</v>
      </c>
      <c r="T30" s="511">
        <f t="shared" si="25"/>
        <v>0</v>
      </c>
      <c r="U30" s="511">
        <f t="shared" si="26"/>
        <v>0</v>
      </c>
      <c r="V30" s="511">
        <f t="shared" si="27"/>
        <v>0</v>
      </c>
      <c r="W30" s="511">
        <f t="shared" si="28"/>
        <v>0</v>
      </c>
    </row>
    <row r="31" spans="1:24" ht="14.4">
      <c r="A31" s="487" t="s">
        <v>1378</v>
      </c>
      <c r="B31" s="487" t="s">
        <v>803</v>
      </c>
      <c r="D31" s="511">
        <f>D63+D99</f>
        <v>0</v>
      </c>
      <c r="E31" s="511">
        <f t="shared" ref="E31:P31" si="39">IF(E9+E19-E23-E27-E35&gt;0,E9+E19-E23-E27-E35,0)</f>
        <v>9141.4192118806277</v>
      </c>
      <c r="F31" s="511">
        <f t="shared" si="39"/>
        <v>13527.766570742649</v>
      </c>
      <c r="G31" s="511">
        <f t="shared" si="39"/>
        <v>3554.8824472621436</v>
      </c>
      <c r="H31" s="511">
        <f t="shared" si="39"/>
        <v>28808.900847612698</v>
      </c>
      <c r="I31" s="511">
        <f t="shared" si="39"/>
        <v>60810.128564962957</v>
      </c>
      <c r="J31" s="511">
        <f t="shared" si="39"/>
        <v>49023.082865117998</v>
      </c>
      <c r="K31" s="511">
        <f t="shared" si="39"/>
        <v>0</v>
      </c>
      <c r="L31" s="511">
        <f t="shared" si="39"/>
        <v>45305.103219831886</v>
      </c>
      <c r="M31" s="511">
        <f t="shared" si="39"/>
        <v>0</v>
      </c>
      <c r="N31" s="511">
        <f t="shared" si="39"/>
        <v>0</v>
      </c>
      <c r="O31" s="511">
        <f t="shared" si="39"/>
        <v>0</v>
      </c>
      <c r="P31" s="511">
        <f t="shared" si="39"/>
        <v>0</v>
      </c>
      <c r="Q31" s="511"/>
      <c r="R31" s="511"/>
      <c r="S31" s="511">
        <f t="shared" si="24"/>
        <v>28808.900847612698</v>
      </c>
      <c r="T31" s="511">
        <f t="shared" si="25"/>
        <v>49023.082865117998</v>
      </c>
      <c r="U31" s="511">
        <f t="shared" si="26"/>
        <v>45305.103219831886</v>
      </c>
      <c r="V31" s="511">
        <f t="shared" si="27"/>
        <v>0</v>
      </c>
      <c r="W31" s="511">
        <f t="shared" si="28"/>
        <v>0</v>
      </c>
    </row>
    <row r="32" spans="1:24" ht="15.6">
      <c r="A32" s="486"/>
      <c r="B32" s="495"/>
      <c r="D32" s="511"/>
      <c r="E32" s="511"/>
      <c r="F32" s="511"/>
      <c r="G32" s="511"/>
      <c r="H32" s="511"/>
      <c r="I32" s="511"/>
      <c r="J32" s="511"/>
      <c r="K32" s="511"/>
      <c r="L32" s="511"/>
      <c r="M32" s="511"/>
      <c r="N32" s="511"/>
      <c r="O32" s="511"/>
      <c r="P32" s="511"/>
      <c r="Q32" s="511"/>
      <c r="R32" s="511"/>
      <c r="S32" s="511">
        <f t="shared" si="24"/>
        <v>0</v>
      </c>
      <c r="T32" s="511">
        <f t="shared" si="25"/>
        <v>0</v>
      </c>
      <c r="U32" s="511">
        <f t="shared" si="26"/>
        <v>0</v>
      </c>
      <c r="V32" s="511">
        <f t="shared" si="27"/>
        <v>0</v>
      </c>
      <c r="W32" s="511">
        <f t="shared" si="28"/>
        <v>0</v>
      </c>
    </row>
    <row r="33" spans="1:24" ht="15.6">
      <c r="A33" s="496" t="s">
        <v>886</v>
      </c>
      <c r="B33" s="487" t="s">
        <v>803</v>
      </c>
      <c r="D33" s="549">
        <f>D65+D101</f>
        <v>0</v>
      </c>
      <c r="E33" s="549">
        <f t="shared" ref="E33:P33" si="40">E65+E101+E31</f>
        <v>9795.3530152789281</v>
      </c>
      <c r="F33" s="549">
        <f t="shared" si="40"/>
        <v>14223.872555279406</v>
      </c>
      <c r="G33" s="549">
        <f t="shared" si="40"/>
        <v>28005.719342214616</v>
      </c>
      <c r="H33" s="549">
        <f t="shared" si="40"/>
        <v>59694.579507453178</v>
      </c>
      <c r="I33" s="549">
        <f t="shared" si="40"/>
        <v>102961.25925432237</v>
      </c>
      <c r="J33" s="549">
        <f t="shared" si="40"/>
        <v>217269.42544631526</v>
      </c>
      <c r="K33" s="549">
        <f t="shared" si="40"/>
        <v>320815.94928892434</v>
      </c>
      <c r="L33" s="549">
        <f t="shared" si="40"/>
        <v>500283.52557803428</v>
      </c>
      <c r="M33" s="549">
        <f t="shared" si="40"/>
        <v>640096.35702466592</v>
      </c>
      <c r="N33" s="549">
        <f t="shared" si="40"/>
        <v>840317.15753927373</v>
      </c>
      <c r="O33" s="549">
        <f t="shared" si="40"/>
        <v>999292.60588350135</v>
      </c>
      <c r="P33" s="549">
        <f t="shared" si="40"/>
        <v>1131643.5950471428</v>
      </c>
      <c r="S33" s="549">
        <f t="shared" si="24"/>
        <v>59694.579507453178</v>
      </c>
      <c r="T33" s="549">
        <f t="shared" si="25"/>
        <v>217269.42544631526</v>
      </c>
      <c r="U33" s="549">
        <f t="shared" si="26"/>
        <v>500283.52557803428</v>
      </c>
      <c r="V33" s="549">
        <f t="shared" si="27"/>
        <v>840317.15753927373</v>
      </c>
      <c r="W33" s="549">
        <f t="shared" si="28"/>
        <v>1131643.5950471428</v>
      </c>
      <c r="X33" s="510"/>
    </row>
    <row r="34" spans="1:24" ht="15.6">
      <c r="A34" s="249"/>
      <c r="B34" s="495"/>
      <c r="D34" s="509"/>
      <c r="E34" s="509"/>
      <c r="F34" s="509"/>
      <c r="G34" s="509"/>
      <c r="H34" s="509"/>
      <c r="I34" s="509"/>
      <c r="J34" s="509"/>
      <c r="K34" s="509"/>
      <c r="L34" s="509"/>
      <c r="M34" s="509"/>
      <c r="N34" s="509"/>
      <c r="O34" s="509"/>
      <c r="P34" s="509"/>
    </row>
    <row r="35" spans="1:24" s="201" customFormat="1" ht="15.6">
      <c r="A35" s="633" t="s">
        <v>1379</v>
      </c>
      <c r="B35" s="487" t="s">
        <v>803</v>
      </c>
      <c r="D35" s="594">
        <f t="shared" ref="D35" si="41">D74+D104</f>
        <v>0</v>
      </c>
      <c r="E35" s="594">
        <f>SUM('PL (Ecosystem)'!$E$28:'PL (Ecosystem)'!E28)</f>
        <v>-3718.9702027789281</v>
      </c>
      <c r="F35" s="594">
        <f>SUM('PL (Ecosystem)'!$E$28:'PL (Ecosystem)'!F28)</f>
        <v>-7779.2241177794058</v>
      </c>
      <c r="G35" s="594">
        <f>SUM('PL (Ecosystem)'!$E$28:'PL (Ecosystem)'!G28)</f>
        <v>-12070.227771912261</v>
      </c>
      <c r="H35" s="594">
        <f>SUM('PL (Ecosystem)'!$E$28:'PL (Ecosystem)'!H28)</f>
        <v>-16547.846109708084</v>
      </c>
      <c r="I35" s="594">
        <f>SUM('PL (Ecosystem)'!$E$28:'PL (Ecosystem)'!I28)</f>
        <v>-25592.565523290647</v>
      </c>
      <c r="J35" s="594">
        <f>SUM('PL (Ecosystem)'!$E$28:'PL (Ecosystem)'!J28)</f>
        <v>-32943.959501489961</v>
      </c>
      <c r="K35" s="594">
        <f>SUM('PL (Ecosystem)'!$E$28:'PL (Ecosystem)'!K28)</f>
        <v>-39537.973509915195</v>
      </c>
      <c r="L35" s="594">
        <f>SUM('PL (Ecosystem)'!$E$28:'PL (Ecosystem)'!L28)</f>
        <v>-31795.937539488019</v>
      </c>
      <c r="M35" s="594">
        <f>SUM('PL (Ecosystem)'!$E$28:'PL (Ecosystem)'!M28)</f>
        <v>-17260.801586379166</v>
      </c>
      <c r="N35" s="594">
        <f>SUM('PL (Ecosystem)'!$E$28:'PL (Ecosystem)'!N28)</f>
        <v>20921.157449904946</v>
      </c>
      <c r="O35" s="594">
        <f>SUM('PL (Ecosystem)'!$E$28:'PL (Ecosystem)'!O28)</f>
        <v>56724.178199463189</v>
      </c>
      <c r="P35" s="594">
        <f>SUM('PL (Ecosystem)'!$E$28:'PL (Ecosystem)'!P28)</f>
        <v>124057.18109494836</v>
      </c>
      <c r="Q35" s="594"/>
      <c r="R35" s="594"/>
      <c r="S35" s="594">
        <f t="shared" ref="S35:S37" si="42">H35</f>
        <v>-16547.846109708084</v>
      </c>
      <c r="T35" s="594">
        <f t="shared" ref="T35:T38" si="43">J35</f>
        <v>-32943.959501489961</v>
      </c>
      <c r="U35" s="594">
        <f t="shared" ref="U35:U38" si="44">L35</f>
        <v>-31795.937539488019</v>
      </c>
      <c r="V35" s="594">
        <f t="shared" ref="V35:V38" si="45">N35</f>
        <v>20921.157449904946</v>
      </c>
      <c r="W35" s="594">
        <f t="shared" ref="W35:W38" si="46">P35</f>
        <v>124057.18109494836</v>
      </c>
    </row>
    <row r="36" spans="1:24" ht="15.6">
      <c r="A36" s="496"/>
      <c r="B36" s="487"/>
      <c r="D36" s="509"/>
      <c r="E36" s="509"/>
      <c r="F36" s="509"/>
      <c r="G36" s="509"/>
      <c r="H36" s="509"/>
      <c r="I36" s="509"/>
      <c r="J36" s="509"/>
      <c r="K36" s="509"/>
      <c r="L36" s="509"/>
      <c r="M36" s="509"/>
      <c r="N36" s="509"/>
      <c r="O36" s="509"/>
      <c r="P36" s="509"/>
      <c r="S36" s="570"/>
      <c r="T36" s="570"/>
      <c r="U36" s="570"/>
      <c r="V36" s="570"/>
      <c r="W36" s="570"/>
    </row>
    <row r="37" spans="1:24" ht="15.6">
      <c r="A37" s="496"/>
      <c r="B37" s="487"/>
      <c r="D37" s="509"/>
      <c r="E37" s="509"/>
      <c r="F37" s="509"/>
      <c r="G37" s="509"/>
      <c r="H37" s="509"/>
      <c r="I37" s="509"/>
      <c r="J37" s="509"/>
      <c r="K37" s="509"/>
      <c r="L37" s="509"/>
      <c r="M37" s="509"/>
      <c r="N37" s="509"/>
      <c r="O37" s="509"/>
      <c r="P37" s="509"/>
      <c r="S37" s="509">
        <f t="shared" si="42"/>
        <v>0</v>
      </c>
      <c r="T37" s="509">
        <f t="shared" si="43"/>
        <v>0</v>
      </c>
      <c r="U37" s="509">
        <f t="shared" si="44"/>
        <v>0</v>
      </c>
      <c r="V37" s="509">
        <f t="shared" si="45"/>
        <v>0</v>
      </c>
      <c r="W37" s="509">
        <f t="shared" si="46"/>
        <v>0</v>
      </c>
    </row>
    <row r="38" spans="1:24" s="548" customFormat="1" ht="13.2">
      <c r="A38" s="548" t="s">
        <v>913</v>
      </c>
      <c r="B38" s="487" t="s">
        <v>803</v>
      </c>
      <c r="D38" s="570">
        <f>D21-D33-D36</f>
        <v>0</v>
      </c>
      <c r="E38" s="570">
        <f t="shared" ref="E38:P38" si="47">-E21+E33+E35</f>
        <v>0</v>
      </c>
      <c r="F38" s="570">
        <f t="shared" si="47"/>
        <v>0</v>
      </c>
      <c r="G38" s="570">
        <f t="shared" si="47"/>
        <v>0</v>
      </c>
      <c r="H38" s="570">
        <f t="shared" si="47"/>
        <v>0</v>
      </c>
      <c r="I38" s="570">
        <f t="shared" si="47"/>
        <v>0</v>
      </c>
      <c r="J38" s="570">
        <f t="shared" si="47"/>
        <v>0</v>
      </c>
      <c r="K38" s="570">
        <f t="shared" si="47"/>
        <v>0</v>
      </c>
      <c r="L38" s="570">
        <f t="shared" si="47"/>
        <v>0</v>
      </c>
      <c r="M38" s="570">
        <f t="shared" si="47"/>
        <v>-1.0186340659856796E-10</v>
      </c>
      <c r="N38" s="570">
        <f t="shared" si="47"/>
        <v>0</v>
      </c>
      <c r="O38" s="570">
        <f t="shared" si="47"/>
        <v>0</v>
      </c>
      <c r="P38" s="570">
        <f t="shared" si="47"/>
        <v>0</v>
      </c>
      <c r="S38" s="570">
        <f>H38</f>
        <v>0</v>
      </c>
      <c r="T38" s="570">
        <f t="shared" si="43"/>
        <v>0</v>
      </c>
      <c r="U38" s="570">
        <f t="shared" si="44"/>
        <v>0</v>
      </c>
      <c r="V38" s="570">
        <f t="shared" si="45"/>
        <v>0</v>
      </c>
      <c r="W38" s="570">
        <f t="shared" si="46"/>
        <v>0</v>
      </c>
    </row>
    <row r="39" spans="1:24" ht="15.6">
      <c r="B39" s="495"/>
    </row>
    <row r="40" spans="1:24" s="119" customFormat="1" ht="12.6" hidden="1">
      <c r="A40" s="494" t="s">
        <v>801</v>
      </c>
      <c r="B40" s="116"/>
      <c r="C40" s="117"/>
      <c r="D40" s="117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</row>
    <row r="41" spans="1:24" ht="15.6" hidden="1">
      <c r="A41" s="486" t="s">
        <v>476</v>
      </c>
      <c r="B41" s="487" t="s">
        <v>803</v>
      </c>
      <c r="D41" s="510"/>
      <c r="E41" s="510"/>
      <c r="F41" s="510"/>
      <c r="G41" s="510"/>
      <c r="H41" s="510"/>
      <c r="I41" s="510"/>
      <c r="J41" s="510"/>
      <c r="K41" s="510"/>
      <c r="L41" s="510"/>
      <c r="M41" s="510"/>
      <c r="N41" s="510"/>
      <c r="O41" s="510"/>
      <c r="P41" s="510"/>
    </row>
    <row r="42" spans="1:24" ht="15.6" hidden="1">
      <c r="A42" s="486" t="s">
        <v>648</v>
      </c>
      <c r="B42" s="487" t="s">
        <v>803</v>
      </c>
      <c r="D42" s="510">
        <f t="shared" ref="D42:P42" si="48">SUM(D43:D51)</f>
        <v>0</v>
      </c>
      <c r="E42" s="510">
        <f t="shared" si="48"/>
        <v>0</v>
      </c>
      <c r="F42" s="510">
        <f t="shared" si="48"/>
        <v>0</v>
      </c>
      <c r="G42" s="510">
        <f t="shared" si="48"/>
        <v>144.7799102729461</v>
      </c>
      <c r="H42" s="510">
        <f t="shared" si="48"/>
        <v>529.45591319400444</v>
      </c>
      <c r="I42" s="510">
        <f t="shared" si="48"/>
        <v>6537.5462899460836</v>
      </c>
      <c r="J42" s="510">
        <f t="shared" si="48"/>
        <v>55630.982328822931</v>
      </c>
      <c r="K42" s="510">
        <f t="shared" si="48"/>
        <v>128954.01993919438</v>
      </c>
      <c r="L42" s="510">
        <f t="shared" si="48"/>
        <v>210791.05118585203</v>
      </c>
      <c r="M42" s="510">
        <f t="shared" si="48"/>
        <v>295156.08229663252</v>
      </c>
      <c r="N42" s="510">
        <f t="shared" si="48"/>
        <v>381012.23165404855</v>
      </c>
      <c r="O42" s="510">
        <f t="shared" si="48"/>
        <v>468593.3696641518</v>
      </c>
      <c r="P42" s="510">
        <f t="shared" si="48"/>
        <v>553796.95083654765</v>
      </c>
    </row>
    <row r="43" spans="1:24" ht="14.4" hidden="1">
      <c r="A43" s="487" t="s">
        <v>468</v>
      </c>
      <c r="B43" s="487" t="s">
        <v>803</v>
      </c>
      <c r="D43" s="511"/>
      <c r="E43" s="511"/>
      <c r="F43" s="511"/>
      <c r="G43" s="511"/>
      <c r="H43" s="511"/>
      <c r="I43" s="511"/>
      <c r="J43" s="511"/>
      <c r="K43" s="511"/>
      <c r="L43" s="511"/>
      <c r="M43" s="511"/>
      <c r="N43" s="511"/>
      <c r="O43" s="511"/>
      <c r="P43" s="511"/>
    </row>
    <row r="44" spans="1:24" ht="14.4" hidden="1">
      <c r="A44" s="487" t="s">
        <v>467</v>
      </c>
      <c r="B44" s="487" t="s">
        <v>803</v>
      </c>
      <c r="D44" s="511"/>
      <c r="E44" s="511">
        <f>'packages (indiv)'!BR42</f>
        <v>0</v>
      </c>
      <c r="F44" s="511">
        <f>'packages (indiv)'!BS42</f>
        <v>0</v>
      </c>
      <c r="G44" s="511">
        <f>'packages (indiv)'!BT42</f>
        <v>39.915042769746101</v>
      </c>
      <c r="H44" s="511">
        <f>'packages (indiv)'!BU42</f>
        <v>83.385479265231069</v>
      </c>
      <c r="I44" s="511">
        <f>'packages (indiv)'!BV42</f>
        <v>316.00532933551915</v>
      </c>
      <c r="J44" s="511">
        <f>'packages (indiv)'!BW42</f>
        <v>599.69175740538992</v>
      </c>
      <c r="K44" s="511">
        <f>'packages (indiv)'!BX42</f>
        <v>907.8388316973269</v>
      </c>
      <c r="L44" s="511">
        <f>'packages (indiv)'!BY42</f>
        <v>1277.7214205317794</v>
      </c>
      <c r="M44" s="511">
        <f>'packages (indiv)'!BZ42</f>
        <v>1527.3871117809276</v>
      </c>
      <c r="N44" s="511">
        <f>'packages (indiv)'!CA42</f>
        <v>1837.010298524812</v>
      </c>
      <c r="O44" s="511">
        <f>'packages (indiv)'!CB42</f>
        <v>2013.7114598124492</v>
      </c>
      <c r="P44" s="511">
        <f>'packages (indiv)'!CC42</f>
        <v>2260.5043997249036</v>
      </c>
    </row>
    <row r="45" spans="1:24" ht="14.4" hidden="1">
      <c r="A45" s="487" t="s">
        <v>284</v>
      </c>
      <c r="B45" s="487" t="s">
        <v>803</v>
      </c>
      <c r="D45" s="511"/>
      <c r="E45" s="511">
        <f>'packages (indiv)'!BR43</f>
        <v>0</v>
      </c>
      <c r="F45" s="511">
        <f>'packages (indiv)'!BS43</f>
        <v>0</v>
      </c>
      <c r="G45" s="511">
        <f>'packages (indiv)'!BT43</f>
        <v>104.86486750319999</v>
      </c>
      <c r="H45" s="511">
        <f>'packages (indiv)'!BU43</f>
        <v>446.07043392877341</v>
      </c>
      <c r="I45" s="511">
        <f>'packages (indiv)'!BV43</f>
        <v>6221.5409606105641</v>
      </c>
      <c r="J45" s="511">
        <f>'packages (indiv)'!BW43</f>
        <v>13215.579061550998</v>
      </c>
      <c r="K45" s="511">
        <f>'packages (indiv)'!BX43</f>
        <v>22903.28116204646</v>
      </c>
      <c r="L45" s="511">
        <f>'packages (indiv)'!BY43</f>
        <v>32933.382857179138</v>
      </c>
      <c r="M45" s="511">
        <f>'packages (indiv)'!BZ43</f>
        <v>43730.265973450027</v>
      </c>
      <c r="N45" s="511">
        <f>'packages (indiv)'!CA43</f>
        <v>52999.143083321178</v>
      </c>
      <c r="O45" s="511">
        <f>'packages (indiv)'!CB43</f>
        <v>64188.185812723008</v>
      </c>
      <c r="P45" s="511">
        <f>'packages (indiv)'!CC43</f>
        <v>72336.051982564561</v>
      </c>
    </row>
    <row r="46" spans="1:24" ht="14.4" hidden="1">
      <c r="A46" s="487" t="s">
        <v>283</v>
      </c>
      <c r="B46" s="487" t="s">
        <v>803</v>
      </c>
      <c r="D46" s="511"/>
      <c r="E46" s="511">
        <f>'packages (indiv)'!BR44</f>
        <v>0</v>
      </c>
      <c r="F46" s="511">
        <f>'packages (indiv)'!BS44</f>
        <v>0</v>
      </c>
      <c r="G46" s="511">
        <f>'packages (indiv)'!BT44</f>
        <v>0</v>
      </c>
      <c r="H46" s="511">
        <f>'packages (indiv)'!BU44</f>
        <v>0</v>
      </c>
      <c r="I46" s="511">
        <f>'packages (indiv)'!BV44</f>
        <v>0</v>
      </c>
      <c r="J46" s="511">
        <f>'packages (indiv)'!BW44</f>
        <v>11215.711509866544</v>
      </c>
      <c r="K46" s="511">
        <f>'packages (indiv)'!BX44</f>
        <v>24639.399945450579</v>
      </c>
      <c r="L46" s="511">
        <f>'packages (indiv)'!BY44</f>
        <v>39986.965658141031</v>
      </c>
      <c r="M46" s="511">
        <f>'packages (indiv)'!BZ44</f>
        <v>53272.403664526522</v>
      </c>
      <c r="N46" s="511">
        <f>'packages (indiv)'!CA44</f>
        <v>67002.986986069634</v>
      </c>
      <c r="O46" s="511">
        <f>'packages (indiv)'!CB44</f>
        <v>79068.626696706575</v>
      </c>
      <c r="P46" s="511">
        <f>'packages (indiv)'!CC44</f>
        <v>90706.080323753224</v>
      </c>
    </row>
    <row r="47" spans="1:24" ht="14.4" hidden="1">
      <c r="A47" s="487" t="s">
        <v>469</v>
      </c>
      <c r="B47" s="487" t="s">
        <v>803</v>
      </c>
      <c r="D47" s="511"/>
      <c r="E47" s="511"/>
      <c r="F47" s="511"/>
      <c r="G47" s="511"/>
      <c r="H47" s="511"/>
      <c r="I47" s="511"/>
      <c r="J47" s="511"/>
      <c r="K47" s="511"/>
      <c r="L47" s="511"/>
      <c r="M47" s="511"/>
      <c r="N47" s="511"/>
      <c r="O47" s="511"/>
      <c r="P47" s="511"/>
    </row>
    <row r="48" spans="1:24" ht="14.4" hidden="1">
      <c r="A48" s="487" t="s">
        <v>465</v>
      </c>
      <c r="B48" s="487" t="s">
        <v>803</v>
      </c>
      <c r="D48" s="511"/>
      <c r="E48" s="511"/>
      <c r="F48" s="511"/>
      <c r="G48" s="511"/>
      <c r="H48" s="511"/>
      <c r="I48" s="511"/>
      <c r="J48" s="511"/>
      <c r="K48" s="511"/>
      <c r="L48" s="511"/>
      <c r="M48" s="511"/>
      <c r="N48" s="511"/>
      <c r="O48" s="511"/>
      <c r="P48" s="511"/>
    </row>
    <row r="49" spans="1:23" ht="14.4" hidden="1">
      <c r="A49" s="487" t="s">
        <v>470</v>
      </c>
      <c r="B49" s="487" t="s">
        <v>803</v>
      </c>
      <c r="D49" s="511"/>
      <c r="E49" s="511"/>
      <c r="F49" s="511"/>
      <c r="G49" s="511"/>
      <c r="H49" s="511"/>
      <c r="I49" s="511"/>
      <c r="J49" s="511"/>
      <c r="K49" s="511"/>
      <c r="L49" s="511"/>
      <c r="M49" s="511"/>
      <c r="N49" s="511"/>
      <c r="O49" s="511"/>
      <c r="P49" s="511"/>
    </row>
    <row r="50" spans="1:23" ht="14.4" hidden="1">
      <c r="A50" s="487" t="s">
        <v>807</v>
      </c>
      <c r="B50" s="487" t="s">
        <v>803</v>
      </c>
      <c r="D50" s="511"/>
      <c r="E50" s="511"/>
      <c r="F50" s="511"/>
      <c r="G50" s="511"/>
      <c r="H50" s="511"/>
      <c r="I50" s="511">
        <f>'Merchants(corp)'!I81/500</f>
        <v>0</v>
      </c>
      <c r="J50" s="511">
        <f>'Merchants(corp)'!J81/500</f>
        <v>30600</v>
      </c>
      <c r="K50" s="511">
        <f>'Merchants(corp)'!K81/500</f>
        <v>80503.500000000015</v>
      </c>
      <c r="L50" s="511">
        <f>'Merchants(corp)'!L81/500</f>
        <v>136592.98125000007</v>
      </c>
      <c r="M50" s="511">
        <f>'Merchants(corp)'!M81/500</f>
        <v>196626.02554687505</v>
      </c>
      <c r="N50" s="511">
        <f>'Merchants(corp)'!N81/500</f>
        <v>259173.09128613293</v>
      </c>
      <c r="O50" s="511">
        <f>'Merchants(corp)'!O81/500</f>
        <v>323322.84569490975</v>
      </c>
      <c r="P50" s="511">
        <f>'Merchants(corp)'!P81/500</f>
        <v>388494.31413050496</v>
      </c>
    </row>
    <row r="51" spans="1:23" ht="14.4" hidden="1">
      <c r="A51" s="487" t="s">
        <v>459</v>
      </c>
      <c r="B51" s="487" t="s">
        <v>803</v>
      </c>
      <c r="D51" s="511"/>
      <c r="E51" s="511"/>
      <c r="F51" s="511"/>
      <c r="G51" s="511"/>
      <c r="H51" s="511"/>
      <c r="I51" s="511">
        <f>'Криейтеры (ЮЛ)'!I29/500</f>
        <v>0</v>
      </c>
      <c r="J51" s="511">
        <f>'Криейтеры (ЮЛ)'!J29/500</f>
        <v>0</v>
      </c>
      <c r="K51" s="511">
        <f>'Криейтеры (ЮЛ)'!K29/500</f>
        <v>0</v>
      </c>
      <c r="L51" s="511">
        <f>'Криейтеры (ЮЛ)'!L29/500</f>
        <v>0</v>
      </c>
      <c r="M51" s="511">
        <f>'Криейтеры (ЮЛ)'!M29/500</f>
        <v>0</v>
      </c>
      <c r="N51" s="511">
        <f>'Криейтеры (ЮЛ)'!N29/500</f>
        <v>0</v>
      </c>
      <c r="O51" s="511">
        <f>'Криейтеры (ЮЛ)'!O29/500</f>
        <v>0</v>
      </c>
      <c r="P51" s="511">
        <f>'Криейтеры (ЮЛ)'!P29/500</f>
        <v>0</v>
      </c>
    </row>
    <row r="52" spans="1:23" ht="15.6" hidden="1">
      <c r="A52" s="496"/>
      <c r="B52" s="495"/>
      <c r="D52" s="510"/>
      <c r="E52" s="510"/>
      <c r="F52" s="510"/>
      <c r="G52" s="510"/>
      <c r="H52" s="510"/>
      <c r="I52" s="510"/>
      <c r="J52" s="510"/>
      <c r="K52" s="510"/>
      <c r="L52" s="510"/>
      <c r="M52" s="510"/>
      <c r="N52" s="510"/>
      <c r="O52" s="510"/>
      <c r="P52" s="510"/>
    </row>
    <row r="53" spans="1:23" ht="15.6" hidden="1">
      <c r="A53" s="497" t="s">
        <v>480</v>
      </c>
      <c r="B53" s="487" t="s">
        <v>803</v>
      </c>
      <c r="D53" s="510"/>
      <c r="E53" s="510"/>
      <c r="F53" s="510"/>
      <c r="G53" s="510"/>
      <c r="H53" s="510"/>
      <c r="I53" s="510"/>
      <c r="J53" s="510"/>
      <c r="K53" s="510"/>
      <c r="L53" s="510"/>
      <c r="M53" s="510"/>
      <c r="N53" s="510"/>
      <c r="O53" s="510"/>
      <c r="P53" s="510"/>
    </row>
    <row r="54" spans="1:23" ht="15.6" hidden="1">
      <c r="A54" s="249"/>
      <c r="B54" s="495"/>
      <c r="D54" s="510"/>
      <c r="E54" s="510"/>
      <c r="F54" s="510"/>
      <c r="G54" s="510"/>
      <c r="H54" s="510"/>
      <c r="I54" s="510"/>
      <c r="J54" s="510"/>
      <c r="K54" s="510"/>
      <c r="L54" s="510"/>
      <c r="M54" s="510"/>
      <c r="N54" s="510"/>
      <c r="O54" s="510"/>
      <c r="P54" s="510"/>
    </row>
    <row r="55" spans="1:23" ht="15.6" hidden="1">
      <c r="A55" s="496" t="s">
        <v>477</v>
      </c>
      <c r="B55" s="487" t="s">
        <v>803</v>
      </c>
      <c r="D55" s="510">
        <f t="shared" ref="D55:P55" si="49">D41+D42+D53</f>
        <v>0</v>
      </c>
      <c r="E55" s="510">
        <f t="shared" si="49"/>
        <v>0</v>
      </c>
      <c r="F55" s="510">
        <f t="shared" si="49"/>
        <v>0</v>
      </c>
      <c r="G55" s="510">
        <f t="shared" si="49"/>
        <v>144.7799102729461</v>
      </c>
      <c r="H55" s="510">
        <f t="shared" si="49"/>
        <v>529.45591319400444</v>
      </c>
      <c r="I55" s="510">
        <f t="shared" si="49"/>
        <v>6537.5462899460836</v>
      </c>
      <c r="J55" s="510">
        <f t="shared" si="49"/>
        <v>55630.982328822931</v>
      </c>
      <c r="K55" s="510">
        <f t="shared" si="49"/>
        <v>128954.01993919438</v>
      </c>
      <c r="L55" s="510">
        <f t="shared" si="49"/>
        <v>210791.05118585203</v>
      </c>
      <c r="M55" s="510">
        <f t="shared" si="49"/>
        <v>295156.08229663252</v>
      </c>
      <c r="N55" s="510">
        <f t="shared" si="49"/>
        <v>381012.23165404855</v>
      </c>
      <c r="O55" s="510">
        <f t="shared" si="49"/>
        <v>468593.3696641518</v>
      </c>
      <c r="P55" s="510">
        <f t="shared" si="49"/>
        <v>553796.95083654765</v>
      </c>
    </row>
    <row r="56" spans="1:23" ht="15.6" hidden="1">
      <c r="A56" s="249"/>
      <c r="B56" s="495"/>
      <c r="D56" s="510"/>
      <c r="E56" s="510"/>
      <c r="F56" s="510"/>
      <c r="G56" s="510"/>
      <c r="H56" s="510"/>
      <c r="I56" s="510"/>
      <c r="J56" s="510"/>
      <c r="K56" s="510"/>
      <c r="L56" s="510"/>
      <c r="M56" s="510"/>
      <c r="N56" s="510"/>
      <c r="O56" s="510"/>
      <c r="P56" s="510"/>
    </row>
    <row r="57" spans="1:23" hidden="1">
      <c r="A57" s="487" t="s">
        <v>473</v>
      </c>
      <c r="B57" s="487" t="s">
        <v>803</v>
      </c>
      <c r="D57" s="510"/>
      <c r="E57" s="510"/>
      <c r="F57" s="510"/>
      <c r="G57" s="510"/>
      <c r="H57" s="510"/>
      <c r="I57" s="510"/>
      <c r="J57" s="510">
        <f>'Merchants(corp)'!J125/500</f>
        <v>111000</v>
      </c>
      <c r="K57" s="510">
        <f>'Merchants(corp)'!K125/500</f>
        <v>184383.33333333334</v>
      </c>
      <c r="L57" s="510">
        <f>'Merchants(corp)'!L125/500</f>
        <v>257766.66666666669</v>
      </c>
      <c r="M57" s="510">
        <f>'Merchants(corp)'!M125/500</f>
        <v>331150</v>
      </c>
      <c r="N57" s="510">
        <f>'Merchants(corp)'!N125/500</f>
        <v>404533.33333333337</v>
      </c>
      <c r="O57" s="510">
        <f>'Merchants(corp)'!O125/500</f>
        <v>477916.66666666669</v>
      </c>
      <c r="P57" s="510">
        <f>'Merchants(corp)'!P125/500</f>
        <v>551300</v>
      </c>
    </row>
    <row r="58" spans="1:23" ht="14.4" hidden="1">
      <c r="A58" s="487" t="s">
        <v>856</v>
      </c>
      <c r="B58" s="487" t="s">
        <v>803</v>
      </c>
      <c r="D58" s="511"/>
      <c r="E58" s="511"/>
      <c r="F58" s="511"/>
      <c r="G58" s="511"/>
      <c r="H58" s="511"/>
      <c r="I58" s="511"/>
      <c r="J58" s="510">
        <f>'Merchants(corp)'!J296/500</f>
        <v>1440</v>
      </c>
      <c r="K58" s="510">
        <f>'Merchants(corp)'!K296/500</f>
        <v>2870.4</v>
      </c>
      <c r="L58" s="510">
        <f>'Merchants(corp)'!L296/500</f>
        <v>4815.3599999999997</v>
      </c>
      <c r="M58" s="510">
        <f>'Merchants(corp)'!M296/500</f>
        <v>7423.4880000000012</v>
      </c>
      <c r="N58" s="510">
        <f>'Merchants(corp)'!N296/500</f>
        <v>10882.2528</v>
      </c>
      <c r="O58" s="510">
        <f>'Merchants(corp)'!O296/500</f>
        <v>15427.584000000003</v>
      </c>
      <c r="P58" s="510">
        <f>'Merchants(corp)'!P296/500</f>
        <v>21355.757568000001</v>
      </c>
      <c r="Q58" s="511"/>
      <c r="R58" s="511"/>
      <c r="S58" s="511"/>
      <c r="T58" s="511"/>
      <c r="U58" s="511"/>
      <c r="V58" s="511"/>
      <c r="W58" s="511"/>
    </row>
    <row r="59" spans="1:23" hidden="1">
      <c r="A59" s="487" t="s">
        <v>484</v>
      </c>
      <c r="B59" s="487" t="s">
        <v>803</v>
      </c>
      <c r="D59" s="510"/>
      <c r="E59" s="510"/>
      <c r="F59" s="510"/>
      <c r="G59" s="510"/>
      <c r="H59" s="510"/>
      <c r="I59" s="510"/>
      <c r="J59" s="510"/>
      <c r="K59" s="510"/>
      <c r="L59" s="510"/>
      <c r="M59" s="510"/>
      <c r="N59" s="510"/>
      <c r="O59" s="510"/>
      <c r="P59" s="510"/>
    </row>
    <row r="60" spans="1:23" hidden="1">
      <c r="A60" s="487" t="s">
        <v>817</v>
      </c>
      <c r="B60" s="487" t="s">
        <v>803</v>
      </c>
      <c r="D60" s="510"/>
      <c r="E60" s="510">
        <f>'Debit card (indiv)'!BR18</f>
        <v>0</v>
      </c>
      <c r="F60" s="510">
        <f>'Debit card (indiv)'!BS18</f>
        <v>0</v>
      </c>
      <c r="G60" s="510">
        <f>'Debit card (indiv)'!BT18</f>
        <v>212.88022810531257</v>
      </c>
      <c r="H60" s="510">
        <f>'Debit card (indiv)'!BU18</f>
        <v>444.72255608123231</v>
      </c>
      <c r="I60" s="510">
        <f>'Debit card (indiv)'!BV18</f>
        <v>3370.7235129122041</v>
      </c>
      <c r="J60" s="510">
        <f>'Debit card (indiv)'!BW18</f>
        <v>6396.7120789908267</v>
      </c>
      <c r="K60" s="510">
        <f>'Debit card (indiv)'!BX18</f>
        <v>19367.228409542975</v>
      </c>
      <c r="L60" s="510">
        <f>'Debit card (indiv)'!BY18</f>
        <v>27258.056971344628</v>
      </c>
      <c r="M60" s="510">
        <f>'Debit card (indiv)'!BZ18</f>
        <v>57022.452173154634</v>
      </c>
      <c r="N60" s="510">
        <f>'Debit card (indiv)'!CA18</f>
        <v>68581.717811592986</v>
      </c>
      <c r="O60" s="510">
        <f>'Debit card (indiv)'!CB18</f>
        <v>107397.94452333065</v>
      </c>
      <c r="P60" s="510">
        <f>'Debit card (indiv)'!CC18</f>
        <v>120560.23465199486</v>
      </c>
    </row>
    <row r="61" spans="1:23" hidden="1">
      <c r="A61" s="487" t="s">
        <v>816</v>
      </c>
      <c r="B61" s="487" t="s">
        <v>803</v>
      </c>
      <c r="D61" s="510"/>
      <c r="E61" s="510">
        <f>Goals!E18</f>
        <v>653.93380339829991</v>
      </c>
      <c r="F61" s="510">
        <f>Goals!F18</f>
        <v>696.10598453675686</v>
      </c>
      <c r="G61" s="510">
        <f>Goals!G18</f>
        <v>762.05207030263841</v>
      </c>
      <c r="H61" s="510">
        <f>Goals!H18</f>
        <v>1005.04362758901</v>
      </c>
      <c r="I61" s="510">
        <f>Goals!I18</f>
        <v>1482.4097289309379</v>
      </c>
      <c r="J61" s="510">
        <f>Goals!J18</f>
        <v>1887.95755908316</v>
      </c>
      <c r="K61" s="510">
        <f>Goals!K18</f>
        <v>2130.9915075031604</v>
      </c>
      <c r="L61" s="510">
        <f>Goals!L18</f>
        <v>2426.07240988376</v>
      </c>
      <c r="M61" s="510">
        <f>Goals!M18</f>
        <v>2583.3178438577074</v>
      </c>
      <c r="N61" s="510">
        <f>Goals!N18</f>
        <v>3117.5633740715598</v>
      </c>
      <c r="O61" s="510">
        <f>Goals!O18</f>
        <v>3250.995086481822</v>
      </c>
      <c r="P61" s="510">
        <f>Goals!P18</f>
        <v>4006.1464578537002</v>
      </c>
    </row>
    <row r="62" spans="1:23" hidden="1">
      <c r="A62" s="487" t="s">
        <v>799</v>
      </c>
      <c r="B62" s="487" t="s">
        <v>803</v>
      </c>
      <c r="D62" s="510">
        <f>'Deposits (indiv)'!D13</f>
        <v>0</v>
      </c>
      <c r="E62" s="510">
        <f>'Deposits (indiv)'!E13</f>
        <v>0</v>
      </c>
      <c r="F62" s="510">
        <f>'Deposits (indiv)'!F13</f>
        <v>0</v>
      </c>
      <c r="G62" s="510">
        <f>'Deposits (indiv)'!G13</f>
        <v>23475.904596544522</v>
      </c>
      <c r="H62" s="510">
        <f>'Deposits (indiv)'!H13</f>
        <v>29435.912476170241</v>
      </c>
      <c r="I62" s="510">
        <f>'Deposits (indiv)'!I13</f>
        <v>37297.997447516274</v>
      </c>
      <c r="J62" s="510">
        <f>'Deposits (indiv)'!J13</f>
        <v>47521.672943123267</v>
      </c>
      <c r="K62" s="510">
        <f>'Deposits (indiv)'!K13</f>
        <v>112063.99603854489</v>
      </c>
      <c r="L62" s="510">
        <f>'Deposits (indiv)'!L13</f>
        <v>162712.26631030734</v>
      </c>
      <c r="M62" s="510">
        <f>'Deposits (indiv)'!M13</f>
        <v>241917.09900765363</v>
      </c>
      <c r="N62" s="510">
        <f>'Deposits (indiv)'!N13</f>
        <v>353202.29022027581</v>
      </c>
      <c r="O62" s="510">
        <f>'Deposits (indiv)'!O13</f>
        <v>395299.41560702224</v>
      </c>
      <c r="P62" s="510">
        <f>'Deposits (indiv)'!P13</f>
        <v>434421.45636929426</v>
      </c>
    </row>
    <row r="63" spans="1:23" hidden="1">
      <c r="A63" s="487" t="s">
        <v>474</v>
      </c>
      <c r="B63" s="487" t="s">
        <v>803</v>
      </c>
      <c r="D63" s="510"/>
      <c r="E63" s="510"/>
      <c r="F63" s="510"/>
      <c r="G63" s="510"/>
      <c r="H63" s="510"/>
      <c r="I63" s="510"/>
      <c r="J63" s="510"/>
      <c r="K63" s="510"/>
      <c r="L63" s="510"/>
      <c r="M63" s="510"/>
      <c r="N63" s="510"/>
      <c r="O63" s="510"/>
      <c r="P63" s="510"/>
    </row>
    <row r="64" spans="1:23" ht="15.6" hidden="1">
      <c r="A64" s="486"/>
      <c r="B64" s="495"/>
      <c r="D64" s="510"/>
      <c r="E64" s="510"/>
      <c r="F64" s="510"/>
      <c r="G64" s="510"/>
      <c r="H64" s="510"/>
      <c r="I64" s="510"/>
      <c r="J64" s="510"/>
      <c r="K64" s="510"/>
      <c r="L64" s="510"/>
      <c r="M64" s="510"/>
      <c r="N64" s="510"/>
      <c r="O64" s="510"/>
      <c r="P64" s="510"/>
    </row>
    <row r="65" spans="1:16" ht="15.6" hidden="1">
      <c r="A65" s="496" t="s">
        <v>478</v>
      </c>
      <c r="B65" s="487" t="s">
        <v>803</v>
      </c>
      <c r="D65" s="510">
        <f>SUM(D57:D63)</f>
        <v>0</v>
      </c>
      <c r="E65" s="510">
        <f t="shared" ref="E65:O65" si="50">SUM(E57:E63)</f>
        <v>653.93380339829991</v>
      </c>
      <c r="F65" s="510">
        <f t="shared" si="50"/>
        <v>696.10598453675686</v>
      </c>
      <c r="G65" s="510">
        <f t="shared" si="50"/>
        <v>24450.836894952474</v>
      </c>
      <c r="H65" s="510">
        <f t="shared" si="50"/>
        <v>30885.678659840483</v>
      </c>
      <c r="I65" s="510">
        <f t="shared" si="50"/>
        <v>42151.130689359416</v>
      </c>
      <c r="J65" s="510">
        <f t="shared" si="50"/>
        <v>168246.34258119727</v>
      </c>
      <c r="K65" s="510">
        <f t="shared" si="50"/>
        <v>320815.94928892434</v>
      </c>
      <c r="L65" s="510">
        <f t="shared" si="50"/>
        <v>454978.4223582024</v>
      </c>
      <c r="M65" s="510">
        <f t="shared" si="50"/>
        <v>640096.35702466592</v>
      </c>
      <c r="N65" s="510">
        <f t="shared" si="50"/>
        <v>840317.15753927373</v>
      </c>
      <c r="O65" s="510">
        <f t="shared" si="50"/>
        <v>999292.60588350135</v>
      </c>
      <c r="P65" s="510">
        <f>SUM(P57:P63)</f>
        <v>1131643.5950471428</v>
      </c>
    </row>
    <row r="66" spans="1:16" ht="15.6" hidden="1">
      <c r="A66" s="249"/>
      <c r="B66" s="495"/>
      <c r="D66" s="510"/>
      <c r="E66" s="510"/>
      <c r="F66" s="510"/>
      <c r="G66" s="510"/>
      <c r="H66" s="510"/>
      <c r="I66" s="510"/>
      <c r="J66" s="510"/>
      <c r="K66" s="510"/>
      <c r="L66" s="510"/>
      <c r="M66" s="510"/>
      <c r="N66" s="510"/>
      <c r="O66" s="510"/>
      <c r="P66" s="510"/>
    </row>
    <row r="67" spans="1:16" ht="15.6" hidden="1">
      <c r="A67" s="498" t="s">
        <v>481</v>
      </c>
      <c r="B67" s="487" t="s">
        <v>803</v>
      </c>
      <c r="D67" s="510"/>
      <c r="E67" s="510"/>
      <c r="F67" s="510"/>
      <c r="G67" s="510"/>
      <c r="H67" s="510"/>
      <c r="I67" s="510"/>
      <c r="J67" s="510"/>
      <c r="K67" s="510"/>
      <c r="L67" s="510"/>
      <c r="M67" s="510"/>
      <c r="N67" s="510"/>
      <c r="O67" s="510"/>
      <c r="P67" s="510"/>
    </row>
    <row r="68" spans="1:16" ht="15.6" hidden="1">
      <c r="A68" s="498"/>
      <c r="B68" s="487"/>
      <c r="D68" s="510"/>
      <c r="E68" s="510"/>
      <c r="F68" s="510"/>
      <c r="G68" s="510"/>
      <c r="H68" s="510"/>
      <c r="I68" s="510"/>
      <c r="J68" s="510"/>
      <c r="K68" s="510"/>
      <c r="L68" s="510"/>
      <c r="M68" s="510"/>
      <c r="N68" s="510"/>
      <c r="O68" s="510"/>
      <c r="P68" s="510"/>
    </row>
    <row r="69" spans="1:16" ht="15.6" hidden="1">
      <c r="A69" s="498"/>
      <c r="B69" s="487"/>
      <c r="D69" s="510"/>
      <c r="E69" s="510"/>
      <c r="F69" s="510"/>
      <c r="G69" s="510"/>
      <c r="H69" s="510"/>
      <c r="I69" s="510"/>
      <c r="J69" s="510"/>
      <c r="K69" s="510"/>
      <c r="L69" s="510"/>
      <c r="M69" s="510"/>
      <c r="N69" s="510"/>
      <c r="O69" s="510"/>
      <c r="P69" s="510"/>
    </row>
    <row r="70" spans="1:16" ht="15.6" hidden="1">
      <c r="A70" s="498"/>
      <c r="B70" s="487"/>
      <c r="D70" s="510"/>
      <c r="E70" s="510"/>
      <c r="F70" s="510"/>
      <c r="G70" s="510"/>
      <c r="H70" s="510"/>
      <c r="I70" s="510"/>
      <c r="J70" s="510"/>
      <c r="K70" s="510"/>
      <c r="L70" s="510"/>
      <c r="M70" s="510"/>
      <c r="N70" s="510"/>
      <c r="O70" s="510"/>
      <c r="P70" s="510"/>
    </row>
    <row r="71" spans="1:16" ht="15.6" hidden="1">
      <c r="A71" s="498"/>
      <c r="B71" s="487"/>
      <c r="D71" s="510"/>
      <c r="E71" s="510"/>
      <c r="F71" s="510"/>
      <c r="G71" s="510"/>
      <c r="H71" s="510"/>
      <c r="I71" s="510"/>
      <c r="J71" s="510"/>
      <c r="K71" s="510"/>
      <c r="L71" s="510"/>
      <c r="M71" s="510"/>
      <c r="N71" s="510"/>
      <c r="O71" s="510"/>
      <c r="P71" s="510"/>
    </row>
    <row r="72" spans="1:16" ht="15.6" hidden="1">
      <c r="A72" s="498"/>
      <c r="B72" s="487"/>
      <c r="D72" s="510"/>
      <c r="E72" s="510"/>
      <c r="F72" s="510"/>
      <c r="G72" s="510"/>
      <c r="H72" s="510"/>
      <c r="I72" s="510"/>
      <c r="J72" s="510"/>
      <c r="K72" s="510"/>
      <c r="L72" s="510"/>
      <c r="M72" s="510"/>
      <c r="N72" s="510"/>
      <c r="O72" s="510"/>
      <c r="P72" s="510"/>
    </row>
    <row r="73" spans="1:16" ht="15.6" hidden="1">
      <c r="A73" s="498"/>
      <c r="B73" s="487"/>
      <c r="D73" s="510"/>
      <c r="E73" s="510"/>
      <c r="F73" s="510"/>
      <c r="G73" s="510"/>
      <c r="H73" s="510"/>
      <c r="I73" s="510"/>
      <c r="J73" s="510"/>
      <c r="K73" s="510"/>
      <c r="L73" s="510"/>
      <c r="M73" s="510"/>
      <c r="N73" s="510"/>
      <c r="O73" s="510"/>
      <c r="P73" s="510"/>
    </row>
    <row r="74" spans="1:16" ht="15.6" hidden="1">
      <c r="A74" s="498" t="s">
        <v>482</v>
      </c>
      <c r="B74" s="487" t="s">
        <v>803</v>
      </c>
      <c r="D74" s="510"/>
      <c r="E74" s="510"/>
      <c r="F74" s="510"/>
      <c r="G74" s="510"/>
      <c r="H74" s="510"/>
      <c r="I74" s="510"/>
      <c r="J74" s="510"/>
      <c r="K74" s="510"/>
      <c r="L74" s="510"/>
      <c r="M74" s="510"/>
      <c r="N74" s="510"/>
      <c r="O74" s="510"/>
      <c r="P74" s="510"/>
    </row>
    <row r="75" spans="1:16" ht="15.6" hidden="1">
      <c r="A75" s="496" t="s">
        <v>479</v>
      </c>
      <c r="B75" s="487" t="s">
        <v>803</v>
      </c>
      <c r="D75" s="510">
        <f>SUM(D67:D74)</f>
        <v>0</v>
      </c>
      <c r="E75" s="510">
        <f t="shared" ref="E75:P75" si="51">SUM(E67:E74)</f>
        <v>0</v>
      </c>
      <c r="F75" s="510">
        <f t="shared" si="51"/>
        <v>0</v>
      </c>
      <c r="G75" s="510">
        <f t="shared" si="51"/>
        <v>0</v>
      </c>
      <c r="H75" s="510">
        <f t="shared" si="51"/>
        <v>0</v>
      </c>
      <c r="I75" s="510">
        <f t="shared" si="51"/>
        <v>0</v>
      </c>
      <c r="J75" s="510">
        <f t="shared" si="51"/>
        <v>0</v>
      </c>
      <c r="K75" s="510">
        <f t="shared" si="51"/>
        <v>0</v>
      </c>
      <c r="L75" s="510">
        <f t="shared" si="51"/>
        <v>0</v>
      </c>
      <c r="M75" s="510">
        <f t="shared" si="51"/>
        <v>0</v>
      </c>
      <c r="N75" s="510">
        <f t="shared" si="51"/>
        <v>0</v>
      </c>
      <c r="O75" s="510">
        <f t="shared" si="51"/>
        <v>0</v>
      </c>
      <c r="P75" s="510">
        <f t="shared" si="51"/>
        <v>0</v>
      </c>
    </row>
    <row r="76" spans="1:16" hidden="1">
      <c r="D76" s="510"/>
      <c r="E76" s="510"/>
      <c r="F76" s="510"/>
      <c r="G76" s="510"/>
      <c r="H76" s="510"/>
      <c r="I76" s="510"/>
      <c r="J76" s="510"/>
      <c r="K76" s="510"/>
      <c r="L76" s="510"/>
      <c r="M76" s="510"/>
      <c r="N76" s="510"/>
      <c r="O76" s="510"/>
      <c r="P76" s="510"/>
    </row>
    <row r="77" spans="1:16" hidden="1"/>
    <row r="78" spans="1:16" s="119" customFormat="1" ht="12.6" hidden="1">
      <c r="A78" s="494" t="s">
        <v>802</v>
      </c>
      <c r="B78" s="116"/>
      <c r="C78" s="117"/>
      <c r="D78" s="117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</row>
    <row r="79" spans="1:16" ht="15.6" hidden="1">
      <c r="A79" s="486" t="s">
        <v>476</v>
      </c>
      <c r="B79" s="487" t="s">
        <v>803</v>
      </c>
      <c r="D79" s="510"/>
      <c r="E79" s="510"/>
      <c r="F79" s="510"/>
      <c r="G79" s="510"/>
      <c r="H79" s="510"/>
      <c r="I79" s="510"/>
      <c r="J79" s="510"/>
      <c r="K79" s="510"/>
      <c r="L79" s="510"/>
      <c r="M79" s="510"/>
      <c r="N79" s="510"/>
      <c r="O79" s="510"/>
      <c r="P79" s="510"/>
    </row>
    <row r="80" spans="1:16" ht="15.6" hidden="1">
      <c r="A80" s="486" t="s">
        <v>648</v>
      </c>
      <c r="B80" s="487" t="s">
        <v>803</v>
      </c>
      <c r="D80" s="510">
        <f t="shared" ref="D80:P80" si="52">SUM(D81:D89)</f>
        <v>0</v>
      </c>
      <c r="E80" s="510">
        <f t="shared" si="52"/>
        <v>0</v>
      </c>
      <c r="F80" s="510">
        <f t="shared" si="52"/>
        <v>0</v>
      </c>
      <c r="G80" s="510">
        <f t="shared" si="52"/>
        <v>8793.6647850294103</v>
      </c>
      <c r="H80" s="510">
        <f t="shared" si="52"/>
        <v>34883.699359551094</v>
      </c>
      <c r="I80" s="510">
        <f t="shared" si="52"/>
        <v>60533.163066085639</v>
      </c>
      <c r="J80" s="510">
        <f t="shared" si="52"/>
        <v>116751.71799100237</v>
      </c>
      <c r="K80" s="510">
        <f t="shared" si="52"/>
        <v>134669.98900429122</v>
      </c>
      <c r="L80" s="510">
        <f t="shared" si="52"/>
        <v>239596.97435269426</v>
      </c>
      <c r="M80" s="510">
        <f t="shared" si="52"/>
        <v>223529.08999111055</v>
      </c>
      <c r="N80" s="510">
        <f t="shared" si="52"/>
        <v>375397.00539075863</v>
      </c>
      <c r="O80" s="510">
        <f t="shared" si="52"/>
        <v>294909.79018201149</v>
      </c>
      <c r="P80" s="510">
        <f t="shared" si="52"/>
        <v>484162.36384274502</v>
      </c>
    </row>
    <row r="81" spans="1:16" ht="14.4" hidden="1">
      <c r="A81" s="487" t="s">
        <v>468</v>
      </c>
      <c r="B81" s="487" t="s">
        <v>803</v>
      </c>
      <c r="D81" s="511"/>
      <c r="E81" s="511"/>
      <c r="F81" s="511"/>
      <c r="G81" s="511"/>
      <c r="H81" s="511"/>
      <c r="I81" s="511"/>
      <c r="J81" s="511"/>
      <c r="K81" s="511"/>
      <c r="L81" s="511"/>
      <c r="M81" s="511"/>
      <c r="N81" s="511"/>
      <c r="O81" s="511"/>
      <c r="P81" s="511"/>
    </row>
    <row r="82" spans="1:16" ht="14.4" hidden="1">
      <c r="A82" s="487" t="s">
        <v>467</v>
      </c>
      <c r="B82" s="487" t="s">
        <v>803</v>
      </c>
      <c r="D82" s="511"/>
      <c r="E82" s="511"/>
      <c r="F82" s="511"/>
      <c r="G82" s="511"/>
      <c r="H82" s="511"/>
      <c r="I82" s="511"/>
      <c r="J82" s="511"/>
      <c r="K82" s="511"/>
      <c r="L82" s="511"/>
      <c r="M82" s="511"/>
      <c r="N82" s="511"/>
      <c r="O82" s="511"/>
      <c r="P82" s="511"/>
    </row>
    <row r="83" spans="1:16" ht="14.4" hidden="1">
      <c r="A83" s="487" t="s">
        <v>284</v>
      </c>
      <c r="B83" s="487" t="s">
        <v>803</v>
      </c>
      <c r="D83" s="511"/>
      <c r="E83" s="511"/>
      <c r="F83" s="511"/>
      <c r="G83" s="511"/>
      <c r="H83" s="511"/>
      <c r="I83" s="511"/>
      <c r="J83" s="511"/>
      <c r="K83" s="511"/>
      <c r="L83" s="511"/>
      <c r="M83" s="511"/>
      <c r="N83" s="511"/>
      <c r="O83" s="511"/>
      <c r="P83" s="511"/>
    </row>
    <row r="84" spans="1:16" ht="14.4" hidden="1">
      <c r="A84" s="487" t="s">
        <v>283</v>
      </c>
      <c r="B84" s="487" t="s">
        <v>803</v>
      </c>
      <c r="D84" s="511"/>
      <c r="E84" s="511"/>
      <c r="F84" s="511"/>
      <c r="G84" s="511"/>
      <c r="H84" s="511"/>
      <c r="I84" s="511"/>
      <c r="J84" s="511"/>
      <c r="K84" s="511"/>
      <c r="L84" s="511"/>
      <c r="M84" s="511"/>
      <c r="N84" s="511"/>
      <c r="O84" s="511"/>
      <c r="P84" s="511"/>
    </row>
    <row r="85" spans="1:16" ht="14.4" hidden="1">
      <c r="A85" s="487" t="s">
        <v>795</v>
      </c>
      <c r="B85" s="487" t="s">
        <v>803</v>
      </c>
      <c r="D85" s="511"/>
      <c r="E85" s="511"/>
      <c r="F85" s="511"/>
      <c r="G85" s="511"/>
      <c r="H85" s="511"/>
      <c r="I85" s="511"/>
      <c r="J85" s="511"/>
      <c r="K85" s="511"/>
      <c r="L85" s="511"/>
      <c r="M85" s="511"/>
      <c r="N85" s="511"/>
      <c r="O85" s="511"/>
      <c r="P85" s="511"/>
    </row>
    <row r="86" spans="1:16" ht="14.4" hidden="1">
      <c r="A86" s="487" t="s">
        <v>465</v>
      </c>
      <c r="B86" s="487" t="s">
        <v>803</v>
      </c>
      <c r="D86" s="511"/>
      <c r="E86" s="511">
        <f>'CashCredit_dossym (indiv)'!BR16</f>
        <v>0</v>
      </c>
      <c r="F86" s="511">
        <f>'CashCredit_dossym (indiv)'!BS16</f>
        <v>0</v>
      </c>
      <c r="G86" s="511">
        <f>'CashCredit_dossym (indiv)'!BT16</f>
        <v>8793.6647850294103</v>
      </c>
      <c r="H86" s="511">
        <f>'CashCredit_dossym (indiv)'!BU16</f>
        <v>34883.699359551094</v>
      </c>
      <c r="I86" s="511">
        <f>'CashCredit_dossym (indiv)'!BV16</f>
        <v>60533.163066085639</v>
      </c>
      <c r="J86" s="511">
        <f>'CashCredit_dossym (indiv)'!BW16</f>
        <v>107915.96799100237</v>
      </c>
      <c r="K86" s="511">
        <f>'CashCredit_dossym (indiv)'!BX16</f>
        <v>115406.21322304121</v>
      </c>
      <c r="L86" s="511">
        <f>'CashCredit_dossym (indiv)'!BY16</f>
        <v>205741.32560269427</v>
      </c>
      <c r="M86" s="511">
        <f>'CashCredit_dossym (indiv)'!BZ16</f>
        <v>178058.11155361054</v>
      </c>
      <c r="N86" s="511">
        <f>'CashCredit_dossym (indiv)'!CA16</f>
        <v>317434.48539075861</v>
      </c>
      <c r="O86" s="511">
        <f>'CashCredit_dossym (indiv)'!CB16</f>
        <v>223579.51674451146</v>
      </c>
      <c r="P86" s="511">
        <f>'CashCredit_dossym (indiv)'!CC16</f>
        <v>398588.125092745</v>
      </c>
    </row>
    <row r="87" spans="1:16" ht="14.4" hidden="1">
      <c r="A87" s="487" t="s">
        <v>470</v>
      </c>
      <c r="B87" s="487" t="s">
        <v>803</v>
      </c>
      <c r="D87" s="511"/>
      <c r="E87" s="511"/>
      <c r="F87" s="511"/>
      <c r="G87" s="511"/>
      <c r="H87" s="511"/>
      <c r="I87" s="511"/>
      <c r="J87" s="511">
        <f>'Merchants(corp)'!J25/500</f>
        <v>8835.75</v>
      </c>
      <c r="K87" s="511">
        <f>'Merchants(corp)'!K25/500</f>
        <v>19263.775781250002</v>
      </c>
      <c r="L87" s="511">
        <f>'Merchants(corp)'!L25/500</f>
        <v>33855.64875</v>
      </c>
      <c r="M87" s="511">
        <f>'Merchants(corp)'!M25/500</f>
        <v>45470.978437500009</v>
      </c>
      <c r="N87" s="511">
        <f>'Merchants(corp)'!N25/500</f>
        <v>57962.520000000011</v>
      </c>
      <c r="O87" s="511">
        <f>'Merchants(corp)'!O25/500</f>
        <v>71330.273437500015</v>
      </c>
      <c r="P87" s="511">
        <f>'Merchants(corp)'!P25/500</f>
        <v>85574.238750000019</v>
      </c>
    </row>
    <row r="88" spans="1:16" ht="14.4" hidden="1">
      <c r="A88" s="487" t="s">
        <v>807</v>
      </c>
      <c r="B88" s="487" t="s">
        <v>803</v>
      </c>
      <c r="D88" s="511"/>
      <c r="E88" s="511"/>
      <c r="F88" s="511"/>
      <c r="G88" s="511"/>
      <c r="H88" s="511"/>
      <c r="I88" s="511"/>
      <c r="J88" s="511"/>
      <c r="K88" s="511"/>
      <c r="L88" s="511"/>
      <c r="M88" s="511"/>
      <c r="N88" s="511"/>
      <c r="O88" s="511"/>
      <c r="P88" s="511"/>
    </row>
    <row r="89" spans="1:16" ht="14.4" hidden="1">
      <c r="A89" s="487" t="s">
        <v>459</v>
      </c>
      <c r="B89" s="487" t="s">
        <v>803</v>
      </c>
      <c r="D89" s="511"/>
      <c r="E89" s="511"/>
      <c r="F89" s="511"/>
      <c r="G89" s="511"/>
      <c r="H89" s="511"/>
      <c r="I89" s="511"/>
      <c r="J89" s="511"/>
      <c r="K89" s="511"/>
      <c r="L89" s="511"/>
      <c r="M89" s="511"/>
      <c r="N89" s="511"/>
      <c r="O89" s="511"/>
      <c r="P89" s="511"/>
    </row>
    <row r="90" spans="1:16" ht="15.6" hidden="1">
      <c r="A90" s="496"/>
      <c r="B90" s="495"/>
      <c r="D90" s="510"/>
      <c r="E90" s="510"/>
      <c r="F90" s="510"/>
      <c r="G90" s="510"/>
      <c r="H90" s="510"/>
      <c r="I90" s="510"/>
      <c r="J90" s="510"/>
      <c r="K90" s="510"/>
      <c r="L90" s="510"/>
      <c r="M90" s="510"/>
      <c r="N90" s="510"/>
      <c r="O90" s="510"/>
      <c r="P90" s="510"/>
    </row>
    <row r="91" spans="1:16" ht="15.6" hidden="1">
      <c r="A91" s="497" t="s">
        <v>480</v>
      </c>
      <c r="B91" s="487" t="s">
        <v>803</v>
      </c>
      <c r="D91" s="510"/>
      <c r="E91" s="510"/>
      <c r="F91" s="510"/>
      <c r="G91" s="510"/>
      <c r="H91" s="510"/>
      <c r="I91" s="510"/>
      <c r="J91" s="510"/>
      <c r="K91" s="510"/>
      <c r="L91" s="510"/>
      <c r="M91" s="510"/>
      <c r="N91" s="510"/>
      <c r="O91" s="510"/>
      <c r="P91" s="510"/>
    </row>
    <row r="92" spans="1:16" ht="15.6" hidden="1">
      <c r="A92" s="249"/>
      <c r="B92" s="495"/>
      <c r="D92" s="510"/>
      <c r="E92" s="510"/>
      <c r="F92" s="510"/>
      <c r="G92" s="510"/>
      <c r="H92" s="510"/>
      <c r="I92" s="510"/>
      <c r="J92" s="510"/>
      <c r="K92" s="510"/>
      <c r="L92" s="510"/>
      <c r="M92" s="510"/>
      <c r="N92" s="510"/>
      <c r="O92" s="510"/>
      <c r="P92" s="510"/>
    </row>
    <row r="93" spans="1:16" ht="15.6" hidden="1">
      <c r="A93" s="496" t="s">
        <v>477</v>
      </c>
      <c r="B93" s="487" t="s">
        <v>803</v>
      </c>
      <c r="D93" s="510">
        <f t="shared" ref="D93:P93" si="53">D79+D80+D91</f>
        <v>0</v>
      </c>
      <c r="E93" s="510">
        <f t="shared" si="53"/>
        <v>0</v>
      </c>
      <c r="F93" s="510">
        <f t="shared" si="53"/>
        <v>0</v>
      </c>
      <c r="G93" s="510">
        <f t="shared" si="53"/>
        <v>8793.6647850294103</v>
      </c>
      <c r="H93" s="510">
        <f t="shared" si="53"/>
        <v>34883.699359551094</v>
      </c>
      <c r="I93" s="510">
        <f t="shared" si="53"/>
        <v>60533.163066085639</v>
      </c>
      <c r="J93" s="510">
        <f t="shared" si="53"/>
        <v>116751.71799100237</v>
      </c>
      <c r="K93" s="510">
        <f t="shared" si="53"/>
        <v>134669.98900429122</v>
      </c>
      <c r="L93" s="510">
        <f t="shared" si="53"/>
        <v>239596.97435269426</v>
      </c>
      <c r="M93" s="510">
        <f t="shared" si="53"/>
        <v>223529.08999111055</v>
      </c>
      <c r="N93" s="510">
        <f t="shared" si="53"/>
        <v>375397.00539075863</v>
      </c>
      <c r="O93" s="510">
        <f t="shared" si="53"/>
        <v>294909.79018201149</v>
      </c>
      <c r="P93" s="510">
        <f t="shared" si="53"/>
        <v>484162.36384274502</v>
      </c>
    </row>
    <row r="94" spans="1:16" ht="15.6" hidden="1">
      <c r="A94" s="249"/>
      <c r="B94" s="495"/>
      <c r="D94" s="510"/>
      <c r="E94" s="510"/>
      <c r="F94" s="510"/>
      <c r="G94" s="510"/>
      <c r="H94" s="510"/>
      <c r="I94" s="510"/>
      <c r="J94" s="510"/>
      <c r="K94" s="510"/>
      <c r="L94" s="510"/>
      <c r="M94" s="510"/>
      <c r="N94" s="510"/>
      <c r="O94" s="510"/>
      <c r="P94" s="510"/>
    </row>
    <row r="95" spans="1:16" hidden="1">
      <c r="A95" s="487" t="s">
        <v>473</v>
      </c>
      <c r="B95" s="487" t="s">
        <v>803</v>
      </c>
      <c r="D95" s="510"/>
      <c r="E95" s="510"/>
      <c r="F95" s="510"/>
      <c r="G95" s="510"/>
      <c r="H95" s="510"/>
      <c r="I95" s="510"/>
      <c r="J95" s="510"/>
      <c r="K95" s="510"/>
      <c r="L95" s="510"/>
      <c r="M95" s="510"/>
      <c r="N95" s="510"/>
      <c r="O95" s="510"/>
      <c r="P95" s="510"/>
    </row>
    <row r="96" spans="1:16" hidden="1">
      <c r="A96" s="487" t="s">
        <v>484</v>
      </c>
      <c r="B96" s="487" t="s">
        <v>803</v>
      </c>
      <c r="D96" s="510"/>
      <c r="E96" s="510"/>
      <c r="F96" s="510"/>
      <c r="G96" s="510"/>
      <c r="H96" s="510"/>
      <c r="I96" s="510"/>
      <c r="J96" s="510"/>
      <c r="K96" s="510"/>
      <c r="L96" s="510"/>
      <c r="M96" s="510"/>
      <c r="N96" s="510"/>
      <c r="O96" s="510"/>
      <c r="P96" s="510"/>
    </row>
    <row r="97" spans="1:16" hidden="1">
      <c r="A97" s="487" t="s">
        <v>816</v>
      </c>
      <c r="B97" s="487" t="s">
        <v>803</v>
      </c>
      <c r="D97" s="510"/>
      <c r="E97" s="510"/>
      <c r="F97" s="510"/>
      <c r="G97" s="510"/>
      <c r="H97" s="510"/>
      <c r="I97" s="510"/>
      <c r="J97" s="510"/>
      <c r="K97" s="510"/>
      <c r="L97" s="510"/>
      <c r="M97" s="510"/>
      <c r="N97" s="510"/>
      <c r="O97" s="510"/>
      <c r="P97" s="510"/>
    </row>
    <row r="98" spans="1:16" hidden="1">
      <c r="A98" s="487" t="s">
        <v>799</v>
      </c>
      <c r="B98" s="487" t="s">
        <v>803</v>
      </c>
      <c r="D98" s="510"/>
      <c r="E98" s="510"/>
      <c r="F98" s="510"/>
      <c r="G98" s="510"/>
      <c r="H98" s="510"/>
      <c r="I98" s="510"/>
      <c r="J98" s="510"/>
      <c r="K98" s="510"/>
      <c r="L98" s="510"/>
      <c r="M98" s="510"/>
      <c r="N98" s="510"/>
      <c r="O98" s="510"/>
      <c r="P98" s="510"/>
    </row>
    <row r="99" spans="1:16" hidden="1">
      <c r="A99" s="487" t="s">
        <v>474</v>
      </c>
      <c r="B99" s="487" t="s">
        <v>803</v>
      </c>
      <c r="D99" s="510"/>
      <c r="E99" s="510"/>
      <c r="F99" s="510"/>
      <c r="G99" s="510"/>
      <c r="H99" s="510"/>
      <c r="I99" s="510"/>
      <c r="J99" s="510"/>
      <c r="K99" s="510"/>
      <c r="L99" s="510"/>
      <c r="M99" s="510"/>
      <c r="N99" s="510"/>
      <c r="O99" s="510"/>
      <c r="P99" s="510"/>
    </row>
    <row r="100" spans="1:16" ht="15.6" hidden="1">
      <c r="A100" s="486"/>
      <c r="B100" s="495"/>
      <c r="D100" s="510"/>
      <c r="E100" s="510"/>
      <c r="F100" s="510"/>
      <c r="G100" s="510"/>
      <c r="H100" s="510"/>
      <c r="I100" s="510"/>
      <c r="J100" s="510"/>
      <c r="K100" s="510"/>
      <c r="L100" s="510"/>
      <c r="M100" s="510"/>
      <c r="N100" s="510"/>
      <c r="O100" s="510"/>
      <c r="P100" s="510"/>
    </row>
    <row r="101" spans="1:16" ht="15.6" hidden="1">
      <c r="A101" s="496" t="s">
        <v>478</v>
      </c>
      <c r="B101" s="487" t="s">
        <v>803</v>
      </c>
      <c r="D101" s="510">
        <f>SUM(D95:D99)</f>
        <v>0</v>
      </c>
      <c r="E101" s="510">
        <f t="shared" ref="E101:P101" si="54">SUM(E95:E99)</f>
        <v>0</v>
      </c>
      <c r="F101" s="510">
        <f t="shared" si="54"/>
        <v>0</v>
      </c>
      <c r="G101" s="510">
        <f t="shared" si="54"/>
        <v>0</v>
      </c>
      <c r="H101" s="510">
        <f t="shared" si="54"/>
        <v>0</v>
      </c>
      <c r="I101" s="510">
        <f t="shared" si="54"/>
        <v>0</v>
      </c>
      <c r="J101" s="510">
        <f t="shared" si="54"/>
        <v>0</v>
      </c>
      <c r="K101" s="510">
        <f t="shared" si="54"/>
        <v>0</v>
      </c>
      <c r="L101" s="510">
        <f t="shared" si="54"/>
        <v>0</v>
      </c>
      <c r="M101" s="510">
        <f t="shared" si="54"/>
        <v>0</v>
      </c>
      <c r="N101" s="510">
        <f t="shared" si="54"/>
        <v>0</v>
      </c>
      <c r="O101" s="510">
        <f t="shared" si="54"/>
        <v>0</v>
      </c>
      <c r="P101" s="510">
        <f t="shared" si="54"/>
        <v>0</v>
      </c>
    </row>
    <row r="102" spans="1:16" ht="15.6" hidden="1">
      <c r="A102" s="249"/>
      <c r="B102" s="495"/>
      <c r="D102" s="510"/>
      <c r="E102" s="510"/>
      <c r="F102" s="510"/>
      <c r="G102" s="510"/>
      <c r="H102" s="510"/>
      <c r="I102" s="510"/>
      <c r="J102" s="510"/>
      <c r="K102" s="510"/>
      <c r="L102" s="510"/>
      <c r="M102" s="510"/>
      <c r="N102" s="510"/>
      <c r="O102" s="510"/>
      <c r="P102" s="510"/>
    </row>
    <row r="103" spans="1:16" ht="15.6" hidden="1">
      <c r="A103" s="498" t="s">
        <v>481</v>
      </c>
      <c r="B103" s="487" t="s">
        <v>803</v>
      </c>
      <c r="D103" s="510"/>
      <c r="E103" s="510"/>
      <c r="F103" s="510"/>
      <c r="G103" s="510"/>
      <c r="H103" s="510"/>
      <c r="I103" s="510"/>
      <c r="J103" s="510"/>
      <c r="K103" s="510"/>
      <c r="L103" s="510"/>
      <c r="M103" s="510"/>
      <c r="N103" s="510"/>
      <c r="O103" s="510"/>
      <c r="P103" s="510"/>
    </row>
    <row r="104" spans="1:16" ht="15.6" hidden="1">
      <c r="A104" s="498" t="s">
        <v>482</v>
      </c>
      <c r="B104" s="487" t="s">
        <v>803</v>
      </c>
      <c r="D104" s="510"/>
      <c r="E104" s="510"/>
      <c r="F104" s="510"/>
      <c r="G104" s="510"/>
      <c r="H104" s="510"/>
      <c r="I104" s="510"/>
      <c r="J104" s="510"/>
      <c r="K104" s="510"/>
      <c r="L104" s="510"/>
      <c r="M104" s="510"/>
      <c r="N104" s="510"/>
      <c r="O104" s="510"/>
      <c r="P104" s="510"/>
    </row>
    <row r="105" spans="1:16" ht="15.6" hidden="1">
      <c r="A105" s="496" t="s">
        <v>479</v>
      </c>
      <c r="B105" s="487" t="s">
        <v>803</v>
      </c>
      <c r="D105" s="510">
        <f>SUM(D103:D104)</f>
        <v>0</v>
      </c>
      <c r="E105" s="510">
        <f t="shared" ref="E105" si="55">SUM(E103:E104)</f>
        <v>0</v>
      </c>
      <c r="F105" s="510">
        <f t="shared" ref="F105" si="56">SUM(F103:F104)</f>
        <v>0</v>
      </c>
      <c r="G105" s="510">
        <f t="shared" ref="G105" si="57">SUM(G103:G104)</f>
        <v>0</v>
      </c>
      <c r="H105" s="510">
        <f t="shared" ref="H105" si="58">SUM(H103:H104)</f>
        <v>0</v>
      </c>
      <c r="I105" s="510">
        <f t="shared" ref="I105" si="59">SUM(I103:I104)</f>
        <v>0</v>
      </c>
      <c r="J105" s="510">
        <f t="shared" ref="J105" si="60">SUM(J103:J104)</f>
        <v>0</v>
      </c>
      <c r="K105" s="510">
        <f t="shared" ref="K105" si="61">SUM(K103:K104)</f>
        <v>0</v>
      </c>
      <c r="L105" s="510">
        <f t="shared" ref="L105" si="62">SUM(L103:L104)</f>
        <v>0</v>
      </c>
      <c r="M105" s="510">
        <f t="shared" ref="M105" si="63">SUM(M103:M104)</f>
        <v>0</v>
      </c>
      <c r="N105" s="510">
        <f t="shared" ref="N105" si="64">SUM(N103:N104)</f>
        <v>0</v>
      </c>
      <c r="O105" s="510">
        <f t="shared" ref="O105" si="65">SUM(O103:O104)</f>
        <v>0</v>
      </c>
      <c r="P105" s="510">
        <f t="shared" ref="P105" si="66">SUM(P103:P104)</f>
        <v>0</v>
      </c>
    </row>
    <row r="106" spans="1:16" hidden="1"/>
    <row r="107" spans="1:16" hidden="1"/>
    <row r="108" spans="1:16" hidden="1"/>
    <row r="109" spans="1:16" hidden="1"/>
    <row r="110" spans="1:16" hidden="1"/>
    <row r="111" spans="1:16" hidden="1"/>
    <row r="112" spans="1:16" hidden="1"/>
    <row r="113" hidden="1"/>
    <row r="114" hidden="1"/>
    <row r="115" hidden="1"/>
    <row r="116" hidden="1"/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9" tint="0.79998168889431442"/>
  </sheetPr>
  <dimension ref="A1:X125"/>
  <sheetViews>
    <sheetView tabSelected="1" topLeftCell="K1" zoomScaleNormal="100" workbookViewId="0">
      <selection activeCell="S18" activeCellId="1" sqref="S9 S18"/>
    </sheetView>
  </sheetViews>
  <sheetFormatPr defaultColWidth="8.88671875" defaultRowHeight="13.8" outlineLevelCol="1"/>
  <cols>
    <col min="1" max="1" width="66.33203125" style="143" customWidth="1"/>
    <col min="2" max="2" width="10.5546875" style="143" customWidth="1"/>
    <col min="3" max="3" width="10" style="143" customWidth="1" outlineLevel="1"/>
    <col min="4" max="4" width="22.88671875" style="143" customWidth="1" outlineLevel="1"/>
    <col min="5" max="15" width="21.6640625" style="143" customWidth="1" outlineLevel="1"/>
    <col min="16" max="16" width="22.88671875" style="143" customWidth="1" outlineLevel="1"/>
    <col min="17" max="17" width="4.109375" style="143" customWidth="1"/>
    <col min="18" max="18" width="10.109375" style="143" hidden="1" customWidth="1"/>
    <col min="19" max="19" width="11.33203125" style="143" bestFit="1" customWidth="1"/>
    <col min="20" max="21" width="12.88671875" style="143" bestFit="1" customWidth="1"/>
    <col min="22" max="23" width="14.5546875" style="143" bestFit="1" customWidth="1"/>
    <col min="24" max="16384" width="8.88671875" style="143"/>
  </cols>
  <sheetData>
    <row r="1" spans="1:23" s="105" customFormat="1" ht="19.8">
      <c r="A1" s="156" t="s">
        <v>1380</v>
      </c>
      <c r="B1" s="156"/>
      <c r="C1" s="156"/>
      <c r="D1" s="156"/>
      <c r="E1" s="156"/>
      <c r="F1" s="156"/>
      <c r="G1" s="157"/>
      <c r="H1" s="157"/>
      <c r="I1" s="157"/>
      <c r="J1" s="157"/>
      <c r="K1" s="157"/>
      <c r="L1" s="157"/>
      <c r="M1" s="157"/>
      <c r="N1" s="157"/>
      <c r="O1" s="157"/>
      <c r="P1" s="157"/>
      <c r="R1" s="104"/>
      <c r="S1" s="104"/>
      <c r="T1" s="104"/>
      <c r="U1" s="104"/>
      <c r="V1" s="104"/>
      <c r="W1" s="104"/>
    </row>
    <row r="2" spans="1:23" s="107" customFormat="1">
      <c r="A2" s="106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R2" s="109"/>
      <c r="S2" s="109"/>
      <c r="T2" s="109"/>
      <c r="U2" s="109"/>
      <c r="V2" s="109"/>
      <c r="W2" s="109"/>
    </row>
    <row r="3" spans="1:23" s="108" customFormat="1">
      <c r="A3" s="110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R3" s="111"/>
      <c r="S3" s="111"/>
      <c r="T3" s="111"/>
      <c r="U3" s="111"/>
      <c r="V3" s="111"/>
      <c r="W3" s="111"/>
    </row>
    <row r="4" spans="1:23" s="147" customFormat="1">
      <c r="D4" s="148">
        <v>2024</v>
      </c>
      <c r="E4" s="148">
        <v>2025</v>
      </c>
      <c r="F4" s="148">
        <v>2025</v>
      </c>
      <c r="G4" s="148">
        <v>2025</v>
      </c>
      <c r="H4" s="148">
        <v>2025</v>
      </c>
      <c r="I4" s="148">
        <v>2026</v>
      </c>
      <c r="J4" s="148">
        <v>2026</v>
      </c>
      <c r="K4" s="148">
        <v>2027</v>
      </c>
      <c r="L4" s="148">
        <v>2027</v>
      </c>
      <c r="M4" s="148">
        <v>2028</v>
      </c>
      <c r="N4" s="148">
        <v>2028</v>
      </c>
      <c r="O4" s="148">
        <v>2029</v>
      </c>
      <c r="P4" s="148">
        <v>2029</v>
      </c>
      <c r="R4" s="148">
        <v>2024</v>
      </c>
      <c r="S4" s="148">
        <v>2025</v>
      </c>
      <c r="T4" s="148">
        <v>2026</v>
      </c>
      <c r="U4" s="148">
        <v>2027</v>
      </c>
      <c r="V4" s="148">
        <v>2028</v>
      </c>
      <c r="W4" s="148">
        <v>2029</v>
      </c>
    </row>
    <row r="5" spans="1:23" s="149" customFormat="1">
      <c r="A5" s="150"/>
      <c r="B5" s="150"/>
      <c r="C5" s="150"/>
      <c r="D5" s="151" t="s">
        <v>294</v>
      </c>
      <c r="E5" s="151" t="s">
        <v>431</v>
      </c>
      <c r="F5" s="151" t="s">
        <v>432</v>
      </c>
      <c r="G5" s="151" t="s">
        <v>433</v>
      </c>
      <c r="H5" s="151" t="s">
        <v>434</v>
      </c>
      <c r="I5" s="151" t="s">
        <v>435</v>
      </c>
      <c r="J5" s="151" t="s">
        <v>436</v>
      </c>
      <c r="K5" s="151" t="s">
        <v>435</v>
      </c>
      <c r="L5" s="151" t="s">
        <v>436</v>
      </c>
      <c r="M5" s="151" t="s">
        <v>435</v>
      </c>
      <c r="N5" s="151" t="s">
        <v>436</v>
      </c>
      <c r="O5" s="151" t="s">
        <v>435</v>
      </c>
      <c r="P5" s="151" t="s">
        <v>436</v>
      </c>
      <c r="R5" s="151" t="s">
        <v>294</v>
      </c>
      <c r="S5" s="151" t="s">
        <v>308</v>
      </c>
      <c r="T5" s="151" t="s">
        <v>309</v>
      </c>
      <c r="U5" s="151" t="s">
        <v>311</v>
      </c>
      <c r="V5" s="151" t="s">
        <v>310</v>
      </c>
      <c r="W5" s="151" t="s">
        <v>312</v>
      </c>
    </row>
    <row r="6" spans="1:23" s="114" customFormat="1">
      <c r="D6" s="158">
        <v>0</v>
      </c>
      <c r="E6" s="115">
        <v>1</v>
      </c>
      <c r="F6" s="115">
        <v>2</v>
      </c>
      <c r="G6" s="115">
        <v>3</v>
      </c>
      <c r="H6" s="115">
        <v>4</v>
      </c>
      <c r="I6" s="115">
        <v>5</v>
      </c>
      <c r="J6" s="115">
        <v>6</v>
      </c>
      <c r="K6" s="115">
        <v>7</v>
      </c>
      <c r="L6" s="115">
        <v>8</v>
      </c>
      <c r="M6" s="115">
        <v>9</v>
      </c>
      <c r="N6" s="115">
        <v>10</v>
      </c>
      <c r="O6" s="115">
        <v>11</v>
      </c>
      <c r="P6" s="115">
        <v>12</v>
      </c>
    </row>
    <row r="7" spans="1:23" s="119" customFormat="1" ht="12.6">
      <c r="A7" s="494" t="s">
        <v>798</v>
      </c>
      <c r="B7" s="116"/>
      <c r="C7" s="117"/>
      <c r="D7" s="117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R7" s="118"/>
      <c r="S7" s="118"/>
      <c r="T7" s="118"/>
      <c r="U7" s="118"/>
      <c r="V7" s="118"/>
      <c r="W7" s="118"/>
    </row>
    <row r="8" spans="1:23" s="127" customFormat="1" ht="16.2">
      <c r="A8" s="486" t="s">
        <v>871</v>
      </c>
      <c r="B8" s="487" t="s">
        <v>803</v>
      </c>
      <c r="D8" s="542">
        <f t="shared" ref="D8:P8" si="0">D31+D90</f>
        <v>0</v>
      </c>
      <c r="E8" s="542">
        <f t="shared" si="0"/>
        <v>0</v>
      </c>
      <c r="F8" s="542">
        <f t="shared" si="0"/>
        <v>0</v>
      </c>
      <c r="G8" s="542">
        <f t="shared" si="0"/>
        <v>156.38767785935786</v>
      </c>
      <c r="H8" s="542">
        <f t="shared" si="0"/>
        <v>493.0695761915606</v>
      </c>
      <c r="I8" s="542">
        <f t="shared" si="0"/>
        <v>1923.8997004662283</v>
      </c>
      <c r="J8" s="542">
        <f t="shared" si="0"/>
        <v>7288.8556208029522</v>
      </c>
      <c r="K8" s="542">
        <f t="shared" si="0"/>
        <v>7073.5970092761891</v>
      </c>
      <c r="L8" s="542">
        <f t="shared" si="0"/>
        <v>16560.866380746211</v>
      </c>
      <c r="M8" s="542">
        <f t="shared" si="0"/>
        <v>16958.026440973743</v>
      </c>
      <c r="N8" s="542">
        <f t="shared" si="0"/>
        <v>30387.32778940097</v>
      </c>
      <c r="O8" s="542">
        <f t="shared" si="0"/>
        <v>27859.852259486423</v>
      </c>
      <c r="P8" s="542">
        <f t="shared" si="0"/>
        <v>44060.653477987908</v>
      </c>
      <c r="R8" s="542"/>
      <c r="S8" s="542">
        <f>E8+F8+G8+H8</f>
        <v>649.45725405091844</v>
      </c>
      <c r="T8" s="542">
        <f>I8+J8</f>
        <v>9212.7553212691801</v>
      </c>
      <c r="U8" s="542">
        <f>K8+L8</f>
        <v>23634.4633900224</v>
      </c>
      <c r="V8" s="542">
        <f>M8+N8</f>
        <v>47345.354230374709</v>
      </c>
      <c r="W8" s="542">
        <f>O8+P8</f>
        <v>71920.505737474334</v>
      </c>
    </row>
    <row r="9" spans="1:23" s="713" customFormat="1" ht="14.4">
      <c r="A9" s="712" t="s">
        <v>861</v>
      </c>
      <c r="B9" s="712" t="s">
        <v>803</v>
      </c>
      <c r="D9" s="714">
        <f t="shared" ref="D9:P9" si="1">D32+D91</f>
        <v>0</v>
      </c>
      <c r="E9" s="714">
        <f t="shared" si="1"/>
        <v>0</v>
      </c>
      <c r="F9" s="714">
        <f t="shared" si="1"/>
        <v>0</v>
      </c>
      <c r="G9" s="714">
        <f t="shared" si="1"/>
        <v>437.48604371939768</v>
      </c>
      <c r="H9" s="714">
        <f t="shared" si="1"/>
        <v>1397.2775948027931</v>
      </c>
      <c r="I9" s="714">
        <f t="shared" si="1"/>
        <v>5822.8074342003547</v>
      </c>
      <c r="J9" s="714">
        <f t="shared" si="1"/>
        <v>20398.799957378222</v>
      </c>
      <c r="K9" s="714">
        <f t="shared" si="1"/>
        <v>21475.224797698182</v>
      </c>
      <c r="L9" s="714">
        <f t="shared" si="1"/>
        <v>46503.277811737666</v>
      </c>
      <c r="M9" s="714">
        <f t="shared" si="1"/>
        <v>47094.35734669902</v>
      </c>
      <c r="N9" s="714">
        <f t="shared" si="1"/>
        <v>80128.993353573984</v>
      </c>
      <c r="O9" s="714">
        <f t="shared" si="1"/>
        <v>72297.847067340044</v>
      </c>
      <c r="P9" s="714">
        <f t="shared" si="1"/>
        <v>109994.10140574147</v>
      </c>
      <c r="R9" s="714"/>
      <c r="S9" s="714">
        <f t="shared" ref="S9:S72" si="2">E9+F9+G9+H9</f>
        <v>1834.7636385221908</v>
      </c>
      <c r="T9" s="714">
        <f t="shared" ref="T9:T72" si="3">I9+J9</f>
        <v>26221.607391578575</v>
      </c>
      <c r="U9" s="714">
        <f t="shared" ref="U9:U72" si="4">K9+L9</f>
        <v>67978.502609435847</v>
      </c>
      <c r="V9" s="714">
        <f t="shared" ref="V9:V72" si="5">M9+N9</f>
        <v>127223.350700273</v>
      </c>
      <c r="W9" s="714">
        <f t="shared" ref="W9:W72" si="6">O9+P9</f>
        <v>182291.94847308152</v>
      </c>
    </row>
    <row r="10" spans="1:23">
      <c r="A10" s="487" t="s">
        <v>867</v>
      </c>
      <c r="B10" s="487" t="s">
        <v>803</v>
      </c>
      <c r="D10" s="514">
        <f t="shared" ref="D10:P10" si="7">D35+D95</f>
        <v>0</v>
      </c>
      <c r="E10" s="514">
        <f t="shared" si="7"/>
        <v>0</v>
      </c>
      <c r="F10" s="514">
        <f t="shared" si="7"/>
        <v>0</v>
      </c>
      <c r="G10" s="514">
        <f t="shared" si="7"/>
        <v>-281.09836586003985</v>
      </c>
      <c r="H10" s="514">
        <f t="shared" si="7"/>
        <v>-904.20801861123255</v>
      </c>
      <c r="I10" s="514">
        <f t="shared" si="7"/>
        <v>-3898.9077337341264</v>
      </c>
      <c r="J10" s="514">
        <f t="shared" si="7"/>
        <v>-13109.944336575269</v>
      </c>
      <c r="K10" s="514">
        <f t="shared" si="7"/>
        <v>-14401.627788421993</v>
      </c>
      <c r="L10" s="514">
        <f t="shared" si="7"/>
        <v>-29942.411430991458</v>
      </c>
      <c r="M10" s="514">
        <f t="shared" si="7"/>
        <v>-30136.330905725274</v>
      </c>
      <c r="N10" s="514">
        <f t="shared" si="7"/>
        <v>-49741.665564173018</v>
      </c>
      <c r="O10" s="514">
        <f t="shared" si="7"/>
        <v>-44437.994807853625</v>
      </c>
      <c r="P10" s="514">
        <f t="shared" si="7"/>
        <v>-65933.447927753557</v>
      </c>
      <c r="Q10" s="514"/>
      <c r="R10" s="514"/>
      <c r="S10" s="514">
        <f t="shared" si="2"/>
        <v>-1185.3063844712724</v>
      </c>
      <c r="T10" s="514">
        <f t="shared" si="3"/>
        <v>-17008.852070309396</v>
      </c>
      <c r="U10" s="514">
        <f t="shared" si="4"/>
        <v>-44344.039219413447</v>
      </c>
      <c r="V10" s="514">
        <f t="shared" si="5"/>
        <v>-79877.996469898295</v>
      </c>
      <c r="W10" s="514">
        <f t="shared" si="6"/>
        <v>-110371.44273560718</v>
      </c>
    </row>
    <row r="11" spans="1:23" s="127" customFormat="1" ht="16.2">
      <c r="A11" s="486" t="s">
        <v>870</v>
      </c>
      <c r="B11" s="487" t="s">
        <v>803</v>
      </c>
      <c r="D11" s="542">
        <f t="shared" ref="D11:P11" si="8">D39+D99</f>
        <v>0</v>
      </c>
      <c r="E11" s="542">
        <f t="shared" si="8"/>
        <v>0</v>
      </c>
      <c r="F11" s="542">
        <f t="shared" si="8"/>
        <v>0</v>
      </c>
      <c r="G11" s="542">
        <f t="shared" si="8"/>
        <v>73.137576407898678</v>
      </c>
      <c r="H11" s="542">
        <f t="shared" si="8"/>
        <v>128.92146394996416</v>
      </c>
      <c r="I11" s="542">
        <f t="shared" si="8"/>
        <v>412.9259962340372</v>
      </c>
      <c r="J11" s="542">
        <f t="shared" si="8"/>
        <v>1749.9761322941949</v>
      </c>
      <c r="K11" s="542">
        <f t="shared" si="8"/>
        <v>2414.716499339961</v>
      </c>
      <c r="L11" s="542">
        <f t="shared" si="8"/>
        <v>3822.7327828612065</v>
      </c>
      <c r="M11" s="542">
        <f t="shared" si="8"/>
        <v>5227.0518496250061</v>
      </c>
      <c r="N11" s="542">
        <f t="shared" si="8"/>
        <v>6657.1269619473287</v>
      </c>
      <c r="O11" s="542">
        <f t="shared" si="8"/>
        <v>8609.2440228809428</v>
      </c>
      <c r="P11" s="542">
        <f t="shared" si="8"/>
        <v>10014.736679850552</v>
      </c>
      <c r="R11" s="542"/>
      <c r="S11" s="542">
        <f t="shared" si="2"/>
        <v>202.05904035786284</v>
      </c>
      <c r="T11" s="542">
        <f t="shared" si="3"/>
        <v>2162.902128528232</v>
      </c>
      <c r="U11" s="542">
        <f t="shared" si="4"/>
        <v>6237.4492822011671</v>
      </c>
      <c r="V11" s="542">
        <f t="shared" si="5"/>
        <v>11884.178811572336</v>
      </c>
      <c r="W11" s="542">
        <f t="shared" si="6"/>
        <v>18623.980702731496</v>
      </c>
    </row>
    <row r="12" spans="1:23">
      <c r="A12" s="487" t="s">
        <v>862</v>
      </c>
      <c r="B12" s="487" t="s">
        <v>803</v>
      </c>
      <c r="D12" s="514">
        <f t="shared" ref="D12:P12" si="9">D40+D100</f>
        <v>0</v>
      </c>
      <c r="E12" s="514">
        <f t="shared" si="9"/>
        <v>0</v>
      </c>
      <c r="F12" s="514">
        <f t="shared" si="9"/>
        <v>0</v>
      </c>
      <c r="G12" s="514">
        <f t="shared" si="9"/>
        <v>-681.19796616915107</v>
      </c>
      <c r="H12" s="514">
        <f t="shared" si="9"/>
        <v>-767.47886583410514</v>
      </c>
      <c r="I12" s="514">
        <f t="shared" si="9"/>
        <v>-1928.303231289387</v>
      </c>
      <c r="J12" s="514">
        <f t="shared" si="9"/>
        <v>-8076.2441968409494</v>
      </c>
      <c r="K12" s="514">
        <f t="shared" si="9"/>
        <v>-12908.783879239865</v>
      </c>
      <c r="L12" s="514">
        <f t="shared" si="9"/>
        <v>-20614.165708069559</v>
      </c>
      <c r="M12" s="514">
        <f t="shared" si="9"/>
        <v>-29828.509671618223</v>
      </c>
      <c r="N12" s="514">
        <f t="shared" si="9"/>
        <v>-40681.146680952006</v>
      </c>
      <c r="O12" s="514">
        <f t="shared" si="9"/>
        <v>-51959.934022094923</v>
      </c>
      <c r="P12" s="514">
        <f t="shared" si="9"/>
        <v>-58907.346503877685</v>
      </c>
      <c r="Q12" s="514"/>
      <c r="R12" s="514"/>
      <c r="S12" s="514">
        <f t="shared" si="2"/>
        <v>-1448.6768320032561</v>
      </c>
      <c r="T12" s="514">
        <f t="shared" si="3"/>
        <v>-10004.547428130336</v>
      </c>
      <c r="U12" s="514">
        <f t="shared" si="4"/>
        <v>-33522.949587309427</v>
      </c>
      <c r="V12" s="514">
        <f t="shared" si="5"/>
        <v>-70509.656352570222</v>
      </c>
      <c r="W12" s="514">
        <f t="shared" si="6"/>
        <v>-110867.2805259726</v>
      </c>
    </row>
    <row r="13" spans="1:23" ht="14.4">
      <c r="A13" s="487" t="s">
        <v>874</v>
      </c>
      <c r="B13" s="487" t="s">
        <v>803</v>
      </c>
      <c r="D13" s="543">
        <f t="shared" ref="D13:P13" si="10">D45+D101</f>
        <v>0</v>
      </c>
      <c r="E13" s="543">
        <f t="shared" si="10"/>
        <v>0</v>
      </c>
      <c r="F13" s="543">
        <f t="shared" si="10"/>
        <v>0</v>
      </c>
      <c r="G13" s="543">
        <f t="shared" si="10"/>
        <v>801.2873517701388</v>
      </c>
      <c r="H13" s="543">
        <f t="shared" si="10"/>
        <v>908.32034554332074</v>
      </c>
      <c r="I13" s="543">
        <f t="shared" si="10"/>
        <v>2356.9533974661163</v>
      </c>
      <c r="J13" s="543">
        <f t="shared" si="10"/>
        <v>9846.6676801263584</v>
      </c>
      <c r="K13" s="543">
        <f t="shared" si="10"/>
        <v>15452.585024770669</v>
      </c>
      <c r="L13" s="543">
        <f t="shared" si="10"/>
        <v>24538.19503147429</v>
      </c>
      <c r="M13" s="543">
        <f t="shared" si="10"/>
        <v>35213.971186637922</v>
      </c>
      <c r="N13" s="543">
        <f t="shared" si="10"/>
        <v>47560.844025324579</v>
      </c>
      <c r="O13" s="543">
        <f t="shared" si="10"/>
        <v>60653.372295749359</v>
      </c>
      <c r="P13" s="543">
        <f t="shared" si="10"/>
        <v>69000.327265252781</v>
      </c>
      <c r="R13" s="543"/>
      <c r="S13" s="543">
        <f t="shared" si="2"/>
        <v>1709.6076973134595</v>
      </c>
      <c r="T13" s="543">
        <f t="shared" si="3"/>
        <v>12203.621077592474</v>
      </c>
      <c r="U13" s="543">
        <f t="shared" si="4"/>
        <v>39990.780056244956</v>
      </c>
      <c r="V13" s="543">
        <f t="shared" si="5"/>
        <v>82774.815211962501</v>
      </c>
      <c r="W13" s="543">
        <f t="shared" si="6"/>
        <v>129653.69956100214</v>
      </c>
    </row>
    <row r="14" spans="1:23">
      <c r="A14" s="487" t="s">
        <v>869</v>
      </c>
      <c r="B14" s="487" t="s">
        <v>803</v>
      </c>
      <c r="D14" s="514">
        <f t="shared" ref="D14:P14" si="11">D51+D102</f>
        <v>0</v>
      </c>
      <c r="E14" s="514">
        <f t="shared" si="11"/>
        <v>0</v>
      </c>
      <c r="F14" s="514">
        <f t="shared" si="11"/>
        <v>0</v>
      </c>
      <c r="G14" s="514">
        <f t="shared" si="11"/>
        <v>-46.951809193089055</v>
      </c>
      <c r="H14" s="514">
        <f t="shared" si="11"/>
        <v>-11.920015759251434</v>
      </c>
      <c r="I14" s="514">
        <f t="shared" si="11"/>
        <v>-15.724169942692079</v>
      </c>
      <c r="J14" s="514">
        <f t="shared" si="11"/>
        <v>-20.44735099121397</v>
      </c>
      <c r="K14" s="514">
        <f t="shared" si="11"/>
        <v>-129.08464619084327</v>
      </c>
      <c r="L14" s="514">
        <f t="shared" si="11"/>
        <v>-101.29654054352487</v>
      </c>
      <c r="M14" s="514">
        <f t="shared" si="11"/>
        <v>-158.40966539469261</v>
      </c>
      <c r="N14" s="514">
        <f t="shared" si="11"/>
        <v>-222.57038242524436</v>
      </c>
      <c r="O14" s="514">
        <f t="shared" si="11"/>
        <v>-84.19425077349274</v>
      </c>
      <c r="P14" s="514">
        <f t="shared" si="11"/>
        <v>-78.2440815245442</v>
      </c>
      <c r="Q14" s="514"/>
      <c r="R14" s="514"/>
      <c r="S14" s="514">
        <f t="shared" si="2"/>
        <v>-58.871824952340489</v>
      </c>
      <c r="T14" s="514">
        <f t="shared" si="3"/>
        <v>-36.171520933906052</v>
      </c>
      <c r="U14" s="514">
        <f t="shared" si="4"/>
        <v>-230.38118673436816</v>
      </c>
      <c r="V14" s="514">
        <f t="shared" si="5"/>
        <v>-380.980047819937</v>
      </c>
      <c r="W14" s="514">
        <f t="shared" si="6"/>
        <v>-162.43833229803693</v>
      </c>
    </row>
    <row r="15" spans="1:23" s="127" customFormat="1" ht="16.2">
      <c r="A15" s="486" t="s">
        <v>868</v>
      </c>
      <c r="B15" s="487" t="s">
        <v>803</v>
      </c>
      <c r="D15" s="546">
        <f t="shared" ref="D15:P15" si="12">D53+D103</f>
        <v>0</v>
      </c>
      <c r="E15" s="546">
        <f t="shared" si="12"/>
        <v>0</v>
      </c>
      <c r="F15" s="546">
        <f t="shared" si="12"/>
        <v>0</v>
      </c>
      <c r="G15" s="546">
        <f t="shared" si="12"/>
        <v>229.52525426725654</v>
      </c>
      <c r="H15" s="546">
        <f t="shared" si="12"/>
        <v>621.99104014152476</v>
      </c>
      <c r="I15" s="546">
        <f t="shared" si="12"/>
        <v>2336.8256967002653</v>
      </c>
      <c r="J15" s="546">
        <f t="shared" si="12"/>
        <v>9038.8317530971472</v>
      </c>
      <c r="K15" s="546">
        <f t="shared" si="12"/>
        <v>9488.3135086161492</v>
      </c>
      <c r="L15" s="546">
        <f t="shared" si="12"/>
        <v>20383.599163607418</v>
      </c>
      <c r="M15" s="546">
        <f t="shared" si="12"/>
        <v>22185.078290598751</v>
      </c>
      <c r="N15" s="546">
        <f t="shared" si="12"/>
        <v>37044.454751348298</v>
      </c>
      <c r="O15" s="546">
        <f t="shared" si="12"/>
        <v>36469.096282367362</v>
      </c>
      <c r="P15" s="546">
        <f t="shared" si="12"/>
        <v>54075.390157838461</v>
      </c>
      <c r="Q15" s="546"/>
      <c r="R15" s="546"/>
      <c r="S15" s="546">
        <f t="shared" si="2"/>
        <v>851.51629440878128</v>
      </c>
      <c r="T15" s="546">
        <f t="shared" si="3"/>
        <v>11375.657449797412</v>
      </c>
      <c r="U15" s="546">
        <f t="shared" si="4"/>
        <v>29871.912672223567</v>
      </c>
      <c r="V15" s="546">
        <f t="shared" si="5"/>
        <v>59229.533041947048</v>
      </c>
      <c r="W15" s="546">
        <f t="shared" si="6"/>
        <v>90544.48644020583</v>
      </c>
    </row>
    <row r="16" spans="1:23" s="201" customFormat="1">
      <c r="A16" s="488" t="s">
        <v>873</v>
      </c>
      <c r="B16" s="487" t="s">
        <v>803</v>
      </c>
      <c r="D16" s="514">
        <f t="shared" ref="D16:P16" si="13">D54+D104</f>
        <v>0</v>
      </c>
      <c r="E16" s="514">
        <f t="shared" si="13"/>
        <v>0</v>
      </c>
      <c r="F16" s="514">
        <f t="shared" si="13"/>
        <v>0</v>
      </c>
      <c r="G16" s="514">
        <f t="shared" si="13"/>
        <v>-95.68527360055981</v>
      </c>
      <c r="H16" s="514">
        <f t="shared" si="13"/>
        <v>-300.57255287555722</v>
      </c>
      <c r="I16" s="514">
        <f t="shared" si="13"/>
        <v>-1254.8644115999587</v>
      </c>
      <c r="J16" s="514">
        <f t="shared" si="13"/>
        <v>-8128.5492594619545</v>
      </c>
      <c r="K16" s="514">
        <f t="shared" si="13"/>
        <v>-9975.1144212985273</v>
      </c>
      <c r="L16" s="514">
        <f t="shared" si="13"/>
        <v>-14444.663966680655</v>
      </c>
      <c r="M16" s="514">
        <f t="shared" si="13"/>
        <v>-12485.134276023602</v>
      </c>
      <c r="N16" s="514">
        <f t="shared" si="13"/>
        <v>-17148.325426906584</v>
      </c>
      <c r="O16" s="514">
        <f t="shared" si="13"/>
        <v>-13956.923132477459</v>
      </c>
      <c r="P16" s="514">
        <f t="shared" si="13"/>
        <v>-18925.278269455688</v>
      </c>
      <c r="Q16" s="514"/>
      <c r="R16" s="514"/>
      <c r="S16" s="514">
        <f t="shared" si="2"/>
        <v>-396.25782647611703</v>
      </c>
      <c r="T16" s="514">
        <f t="shared" si="3"/>
        <v>-9383.4136710619132</v>
      </c>
      <c r="U16" s="514">
        <f t="shared" si="4"/>
        <v>-24419.778387979182</v>
      </c>
      <c r="V16" s="514">
        <f t="shared" si="5"/>
        <v>-29633.459702930188</v>
      </c>
      <c r="W16" s="514">
        <f t="shared" si="6"/>
        <v>-32882.201401933147</v>
      </c>
    </row>
    <row r="17" spans="1:23" s="485" customFormat="1" ht="16.2">
      <c r="A17" s="489" t="s">
        <v>872</v>
      </c>
      <c r="B17" s="487" t="s">
        <v>803</v>
      </c>
      <c r="D17" s="544">
        <f t="shared" ref="D17:P17" si="14">D58+D108</f>
        <v>0</v>
      </c>
      <c r="E17" s="544">
        <f t="shared" si="14"/>
        <v>0</v>
      </c>
      <c r="F17" s="544">
        <f t="shared" si="14"/>
        <v>0</v>
      </c>
      <c r="G17" s="544">
        <f t="shared" si="14"/>
        <v>133.83998066669673</v>
      </c>
      <c r="H17" s="544">
        <f t="shared" si="14"/>
        <v>321.41848726596754</v>
      </c>
      <c r="I17" s="544">
        <f t="shared" si="14"/>
        <v>1081.9612851003069</v>
      </c>
      <c r="J17" s="544">
        <f t="shared" si="14"/>
        <v>910.28249363519262</v>
      </c>
      <c r="K17" s="544">
        <f t="shared" si="14"/>
        <v>-486.8009126823772</v>
      </c>
      <c r="L17" s="544">
        <f t="shared" si="14"/>
        <v>5938.9351969267618</v>
      </c>
      <c r="M17" s="544">
        <f t="shared" si="14"/>
        <v>9699.9440145751469</v>
      </c>
      <c r="N17" s="544">
        <f t="shared" si="14"/>
        <v>19896.129324441714</v>
      </c>
      <c r="O17" s="544">
        <f t="shared" si="14"/>
        <v>22512.173149889906</v>
      </c>
      <c r="P17" s="544">
        <f t="shared" si="14"/>
        <v>35150.111888382773</v>
      </c>
      <c r="R17" s="544"/>
      <c r="S17" s="544">
        <f t="shared" si="2"/>
        <v>455.2584679326643</v>
      </c>
      <c r="T17" s="544">
        <f t="shared" si="3"/>
        <v>1992.2437787354995</v>
      </c>
      <c r="U17" s="544">
        <f t="shared" si="4"/>
        <v>5452.1342842443846</v>
      </c>
      <c r="V17" s="544">
        <f t="shared" si="5"/>
        <v>29596.073339016861</v>
      </c>
      <c r="W17" s="544">
        <f>O17+P17</f>
        <v>57662.285038272676</v>
      </c>
    </row>
    <row r="18" spans="1:23" s="716" customFormat="1" ht="15.6">
      <c r="A18" s="715" t="s">
        <v>863</v>
      </c>
      <c r="B18" s="712" t="s">
        <v>803</v>
      </c>
      <c r="D18" s="717">
        <f t="shared" ref="D18:P18" si="15">D59+D109</f>
        <v>0</v>
      </c>
      <c r="E18" s="717">
        <f t="shared" si="15"/>
        <v>0</v>
      </c>
      <c r="F18" s="717">
        <f t="shared" si="15"/>
        <v>0</v>
      </c>
      <c r="G18" s="717">
        <f t="shared" si="15"/>
        <v>176.59835170763373</v>
      </c>
      <c r="H18" s="717">
        <f t="shared" si="15"/>
        <v>453.54402136683098</v>
      </c>
      <c r="I18" s="717">
        <f t="shared" si="15"/>
        <v>3844.585129063707</v>
      </c>
      <c r="J18" s="717">
        <f t="shared" si="15"/>
        <v>13061.682848818366</v>
      </c>
      <c r="K18" s="717">
        <f t="shared" si="15"/>
        <v>23100.93023498515</v>
      </c>
      <c r="L18" s="717">
        <f t="shared" si="15"/>
        <v>37973.171901419912</v>
      </c>
      <c r="M18" s="717">
        <f t="shared" si="15"/>
        <v>46331.289625720579</v>
      </c>
      <c r="N18" s="717">
        <f t="shared" si="15"/>
        <v>66881.623012765951</v>
      </c>
      <c r="O18" s="717">
        <f t="shared" si="15"/>
        <v>65828.770238434503</v>
      </c>
      <c r="P18" s="717">
        <f t="shared" si="15"/>
        <v>92735.376074267726</v>
      </c>
      <c r="R18" s="717"/>
      <c r="S18" s="717">
        <f t="shared" si="2"/>
        <v>630.14237307446467</v>
      </c>
      <c r="T18" s="717">
        <f t="shared" si="3"/>
        <v>16906.267977882071</v>
      </c>
      <c r="U18" s="717">
        <f t="shared" si="4"/>
        <v>61074.102136405061</v>
      </c>
      <c r="V18" s="717">
        <f t="shared" si="5"/>
        <v>113212.91263848654</v>
      </c>
      <c r="W18" s="717">
        <f t="shared" si="6"/>
        <v>158564.14631270221</v>
      </c>
    </row>
    <row r="19" spans="1:23" s="127" customFormat="1" ht="15.6">
      <c r="A19" s="486" t="s">
        <v>864</v>
      </c>
      <c r="B19" s="487" t="s">
        <v>803</v>
      </c>
      <c r="D19" s="514">
        <f t="shared" ref="D19:P19" si="16">D71+D114</f>
        <v>0</v>
      </c>
      <c r="E19" s="514">
        <f t="shared" si="16"/>
        <v>0</v>
      </c>
      <c r="F19" s="514">
        <f t="shared" si="16"/>
        <v>0</v>
      </c>
      <c r="G19" s="514">
        <f t="shared" si="16"/>
        <v>-205.86747479101277</v>
      </c>
      <c r="H19" s="514">
        <f t="shared" si="16"/>
        <v>-548.33106168932113</v>
      </c>
      <c r="I19" s="514">
        <f t="shared" si="16"/>
        <v>-2446.920085466933</v>
      </c>
      <c r="J19" s="514">
        <f t="shared" si="16"/>
        <v>-7921.935927868084</v>
      </c>
      <c r="K19" s="514">
        <f t="shared" si="16"/>
        <v>-10832.003824791551</v>
      </c>
      <c r="L19" s="514">
        <f t="shared" si="16"/>
        <v>-15409.039276273032</v>
      </c>
      <c r="M19" s="514">
        <f t="shared" si="16"/>
        <v>-16974.632994150907</v>
      </c>
      <c r="N19" s="514">
        <f t="shared" si="16"/>
        <v>-20662.934471613178</v>
      </c>
      <c r="O19" s="514">
        <f t="shared" si="16"/>
        <v>-21571.521874731006</v>
      </c>
      <c r="P19" s="514">
        <f t="shared" si="16"/>
        <v>-24809.369161613035</v>
      </c>
      <c r="Q19" s="514"/>
      <c r="R19" s="514"/>
      <c r="S19" s="514">
        <f t="shared" si="2"/>
        <v>-754.19853648033393</v>
      </c>
      <c r="T19" s="514">
        <f t="shared" si="3"/>
        <v>-10368.856013335017</v>
      </c>
      <c r="U19" s="514">
        <f t="shared" si="4"/>
        <v>-26241.043101064584</v>
      </c>
      <c r="V19" s="514">
        <f t="shared" si="5"/>
        <v>-37637.567465764085</v>
      </c>
      <c r="W19" s="514">
        <f t="shared" si="6"/>
        <v>-46380.891036344037</v>
      </c>
    </row>
    <row r="20" spans="1:23" s="127" customFormat="1" ht="15.6">
      <c r="A20" s="486" t="s">
        <v>865</v>
      </c>
      <c r="B20" s="487" t="s">
        <v>803</v>
      </c>
      <c r="D20" s="545">
        <f t="shared" ref="D20:P20" si="17">D77+D118</f>
        <v>0</v>
      </c>
      <c r="E20" s="545">
        <f t="shared" si="17"/>
        <v>0</v>
      </c>
      <c r="F20" s="545">
        <f t="shared" si="17"/>
        <v>0</v>
      </c>
      <c r="G20" s="545">
        <f t="shared" si="17"/>
        <v>0</v>
      </c>
      <c r="H20" s="545">
        <f t="shared" si="17"/>
        <v>0</v>
      </c>
      <c r="I20" s="545">
        <f t="shared" si="17"/>
        <v>0</v>
      </c>
      <c r="J20" s="545">
        <f t="shared" si="17"/>
        <v>0</v>
      </c>
      <c r="K20" s="545">
        <f t="shared" si="17"/>
        <v>478.40000000000009</v>
      </c>
      <c r="L20" s="545">
        <f t="shared" si="17"/>
        <v>668.80000000000007</v>
      </c>
      <c r="M20" s="545">
        <f t="shared" si="17"/>
        <v>859.2</v>
      </c>
      <c r="N20" s="545">
        <f t="shared" si="17"/>
        <v>1049.6000000000001</v>
      </c>
      <c r="O20" s="545">
        <f t="shared" si="17"/>
        <v>1240.0000000000002</v>
      </c>
      <c r="P20" s="545">
        <f t="shared" si="17"/>
        <v>1430.4</v>
      </c>
      <c r="R20" s="545"/>
      <c r="S20" s="545">
        <f t="shared" si="2"/>
        <v>0</v>
      </c>
      <c r="T20" s="545">
        <f t="shared" si="3"/>
        <v>0</v>
      </c>
      <c r="U20" s="545">
        <f t="shared" si="4"/>
        <v>1147.2000000000003</v>
      </c>
      <c r="V20" s="545">
        <f t="shared" si="5"/>
        <v>1908.8000000000002</v>
      </c>
      <c r="W20" s="545">
        <f t="shared" si="6"/>
        <v>2670.4000000000005</v>
      </c>
    </row>
    <row r="21" spans="1:23" s="127" customFormat="1" ht="15.6">
      <c r="A21" s="486" t="s">
        <v>866</v>
      </c>
      <c r="B21" s="487" t="s">
        <v>803</v>
      </c>
      <c r="D21" s="514">
        <f t="shared" ref="D21:P21" si="18">D78+D119</f>
        <v>0</v>
      </c>
      <c r="E21" s="514">
        <f t="shared" si="18"/>
        <v>0</v>
      </c>
      <c r="F21" s="514">
        <f t="shared" si="18"/>
        <v>0</v>
      </c>
      <c r="G21" s="514">
        <f t="shared" si="18"/>
        <v>0</v>
      </c>
      <c r="H21" s="514">
        <f t="shared" si="18"/>
        <v>0</v>
      </c>
      <c r="I21" s="514">
        <f t="shared" si="18"/>
        <v>0</v>
      </c>
      <c r="J21" s="514">
        <f t="shared" si="18"/>
        <v>-7.2</v>
      </c>
      <c r="K21" s="514">
        <f t="shared" si="18"/>
        <v>-11.960000000000003</v>
      </c>
      <c r="L21" s="514">
        <f t="shared" si="18"/>
        <v>-16.720000000000002</v>
      </c>
      <c r="M21" s="514">
        <f t="shared" si="18"/>
        <v>-21.48</v>
      </c>
      <c r="N21" s="514">
        <f t="shared" si="18"/>
        <v>-26.240000000000002</v>
      </c>
      <c r="O21" s="514">
        <f t="shared" si="18"/>
        <v>-31</v>
      </c>
      <c r="P21" s="514">
        <f t="shared" si="18"/>
        <v>-35.76</v>
      </c>
      <c r="R21" s="545"/>
      <c r="S21" s="514">
        <f t="shared" si="2"/>
        <v>0</v>
      </c>
      <c r="T21" s="514">
        <f t="shared" si="3"/>
        <v>-7.2</v>
      </c>
      <c r="U21" s="514">
        <f t="shared" si="4"/>
        <v>-28.680000000000007</v>
      </c>
      <c r="V21" s="514">
        <f t="shared" si="5"/>
        <v>-47.72</v>
      </c>
      <c r="W21" s="514">
        <f t="shared" si="6"/>
        <v>-66.759999999999991</v>
      </c>
    </row>
    <row r="22" spans="1:23" s="485" customFormat="1" ht="16.2">
      <c r="A22" s="489" t="s">
        <v>860</v>
      </c>
      <c r="B22" s="487" t="s">
        <v>803</v>
      </c>
      <c r="D22" s="544">
        <f t="shared" ref="D22:P22" si="19">D83+D121</f>
        <v>0</v>
      </c>
      <c r="E22" s="544">
        <f t="shared" si="19"/>
        <v>0</v>
      </c>
      <c r="F22" s="544">
        <f t="shared" si="19"/>
        <v>0</v>
      </c>
      <c r="G22" s="544">
        <f t="shared" si="19"/>
        <v>104.57085758331769</v>
      </c>
      <c r="H22" s="544">
        <f t="shared" si="19"/>
        <v>226.63144694347741</v>
      </c>
      <c r="I22" s="544">
        <f t="shared" si="19"/>
        <v>2479.6263286970816</v>
      </c>
      <c r="J22" s="544">
        <f t="shared" si="19"/>
        <v>6042.8294145854743</v>
      </c>
      <c r="K22" s="544">
        <f t="shared" si="19"/>
        <v>12248.565497511219</v>
      </c>
      <c r="L22" s="544">
        <f t="shared" si="19"/>
        <v>29155.147822073639</v>
      </c>
      <c r="M22" s="544">
        <f t="shared" si="19"/>
        <v>39894.320646144821</v>
      </c>
      <c r="N22" s="544">
        <f t="shared" si="19"/>
        <v>67138.177865594495</v>
      </c>
      <c r="O22" s="544">
        <f t="shared" si="19"/>
        <v>67978.421513593406</v>
      </c>
      <c r="P22" s="544">
        <f t="shared" si="19"/>
        <v>104470.75880103746</v>
      </c>
      <c r="R22" s="544"/>
      <c r="S22" s="544">
        <f t="shared" si="2"/>
        <v>331.2023045267951</v>
      </c>
      <c r="T22" s="544">
        <f t="shared" si="3"/>
        <v>8522.4557432825568</v>
      </c>
      <c r="U22" s="544">
        <f t="shared" si="4"/>
        <v>41403.713319584858</v>
      </c>
      <c r="V22" s="544">
        <f t="shared" si="5"/>
        <v>107032.49851173931</v>
      </c>
      <c r="W22" s="544">
        <f t="shared" si="6"/>
        <v>172449.18031463085</v>
      </c>
    </row>
    <row r="23" spans="1:23" s="485" customFormat="1" ht="16.2">
      <c r="A23" s="489"/>
      <c r="B23" s="487"/>
      <c r="D23" s="546"/>
      <c r="E23" s="546"/>
      <c r="F23" s="546"/>
      <c r="G23" s="546"/>
      <c r="H23" s="546"/>
      <c r="I23" s="546"/>
      <c r="J23" s="546"/>
      <c r="K23" s="546"/>
      <c r="L23" s="546"/>
      <c r="M23" s="546"/>
      <c r="N23" s="546"/>
      <c r="O23" s="546"/>
      <c r="P23" s="546"/>
      <c r="Q23" s="546"/>
      <c r="R23" s="546"/>
      <c r="S23" s="546"/>
      <c r="T23" s="546"/>
      <c r="U23" s="546"/>
      <c r="V23" s="546"/>
      <c r="W23" s="546"/>
    </row>
    <row r="24" spans="1:23" s="485" customFormat="1" ht="16.2">
      <c r="A24" s="489" t="s">
        <v>859</v>
      </c>
      <c r="B24" s="487" t="s">
        <v>803</v>
      </c>
      <c r="D24" s="546">
        <f>D84+D122</f>
        <v>0</v>
      </c>
      <c r="E24" s="546">
        <f>OPEX_CAPEX!BR4</f>
        <v>-3718.9702027789281</v>
      </c>
      <c r="F24" s="546">
        <f>OPEX_CAPEX!BS4</f>
        <v>-4060.2539150004777</v>
      </c>
      <c r="G24" s="546">
        <f>OPEX_CAPEX!BT4</f>
        <v>-4395.5745117161723</v>
      </c>
      <c r="H24" s="546">
        <f>OPEX_CAPEX!BU4</f>
        <v>-4704.2497847393006</v>
      </c>
      <c r="I24" s="546">
        <f>OPEX_CAPEX!BV4</f>
        <v>-11524.345742279645</v>
      </c>
      <c r="J24" s="546">
        <f>OPEX_CAPEX!BW4</f>
        <v>-13394.223392784788</v>
      </c>
      <c r="K24" s="546">
        <f>OPEX_CAPEX!BX4</f>
        <v>-18842.579505936454</v>
      </c>
      <c r="L24" s="546">
        <f>OPEX_CAPEX!BY4</f>
        <v>-21413.111851646463</v>
      </c>
      <c r="M24" s="546">
        <f>OPEX_CAPEX!BZ4</f>
        <v>-25359.184693035968</v>
      </c>
      <c r="N24" s="546">
        <f>OPEX_CAPEX!CA4</f>
        <v>-28956.218829310386</v>
      </c>
      <c r="O24" s="546">
        <f>OPEX_CAPEX!CB4</f>
        <v>-32175.400764035159</v>
      </c>
      <c r="P24" s="546">
        <f>OPEX_CAPEX!CC4</f>
        <v>-37137.755905552294</v>
      </c>
      <c r="Q24" s="546"/>
      <c r="R24" s="546"/>
      <c r="S24" s="546">
        <f t="shared" si="2"/>
        <v>-16879.04841423488</v>
      </c>
      <c r="T24" s="546">
        <f t="shared" si="3"/>
        <v>-24918.569135064434</v>
      </c>
      <c r="U24" s="546">
        <f t="shared" si="4"/>
        <v>-40255.691357582917</v>
      </c>
      <c r="V24" s="546">
        <f t="shared" si="5"/>
        <v>-54315.403522346358</v>
      </c>
      <c r="W24" s="546">
        <f t="shared" si="6"/>
        <v>-69313.15666958745</v>
      </c>
    </row>
    <row r="25" spans="1:23" s="485" customFormat="1" ht="16.2">
      <c r="A25" s="489"/>
      <c r="B25" s="487"/>
      <c r="D25" s="546"/>
      <c r="E25" s="546"/>
      <c r="F25" s="546"/>
      <c r="G25" s="546"/>
      <c r="H25" s="546"/>
      <c r="I25" s="546"/>
      <c r="J25" s="546"/>
      <c r="K25" s="546"/>
      <c r="L25" s="546"/>
      <c r="M25" s="546"/>
      <c r="N25" s="546"/>
      <c r="O25" s="546"/>
      <c r="P25" s="546"/>
      <c r="Q25" s="546"/>
      <c r="R25" s="546"/>
      <c r="S25" s="546"/>
      <c r="T25" s="546"/>
      <c r="U25" s="546"/>
      <c r="V25" s="546"/>
      <c r="W25" s="546"/>
    </row>
    <row r="26" spans="1:23" s="127" customFormat="1" ht="16.2">
      <c r="A26" s="486" t="s">
        <v>858</v>
      </c>
      <c r="B26" s="487" t="s">
        <v>803</v>
      </c>
      <c r="D26" s="551">
        <f>D85+D123</f>
        <v>0</v>
      </c>
      <c r="E26" s="551">
        <f t="shared" ref="E26:P26" si="20">E22+E24</f>
        <v>-3718.9702027789281</v>
      </c>
      <c r="F26" s="551">
        <f t="shared" si="20"/>
        <v>-4060.2539150004777</v>
      </c>
      <c r="G26" s="551">
        <f t="shared" si="20"/>
        <v>-4291.0036541328545</v>
      </c>
      <c r="H26" s="551">
        <f t="shared" si="20"/>
        <v>-4477.6183377958232</v>
      </c>
      <c r="I26" s="551">
        <f t="shared" si="20"/>
        <v>-9044.719413582563</v>
      </c>
      <c r="J26" s="551">
        <f t="shared" si="20"/>
        <v>-7351.393978199314</v>
      </c>
      <c r="K26" s="551">
        <f t="shared" si="20"/>
        <v>-6594.0140084252344</v>
      </c>
      <c r="L26" s="551">
        <f t="shared" si="20"/>
        <v>7742.0359704271759</v>
      </c>
      <c r="M26" s="551">
        <f t="shared" si="20"/>
        <v>14535.135953108853</v>
      </c>
      <c r="N26" s="551">
        <f t="shared" si="20"/>
        <v>38181.959036284112</v>
      </c>
      <c r="O26" s="551">
        <f t="shared" si="20"/>
        <v>35803.020749558244</v>
      </c>
      <c r="P26" s="551">
        <f t="shared" si="20"/>
        <v>67333.002895485173</v>
      </c>
      <c r="Q26" s="551"/>
      <c r="R26" s="551"/>
      <c r="S26" s="551">
        <f t="shared" si="2"/>
        <v>-16547.846109708084</v>
      </c>
      <c r="T26" s="551">
        <f t="shared" si="3"/>
        <v>-16396.113391781877</v>
      </c>
      <c r="U26" s="551">
        <f t="shared" si="4"/>
        <v>1148.0219620019416</v>
      </c>
      <c r="V26" s="551">
        <f t="shared" si="5"/>
        <v>52717.094989392965</v>
      </c>
      <c r="W26" s="551">
        <f t="shared" si="6"/>
        <v>103136.02364504342</v>
      </c>
    </row>
    <row r="27" spans="1:23" s="127" customFormat="1" ht="16.2">
      <c r="A27" s="486" t="s">
        <v>857</v>
      </c>
      <c r="B27" s="487" t="s">
        <v>803</v>
      </c>
      <c r="D27" s="545">
        <f>D86+D124</f>
        <v>0</v>
      </c>
      <c r="E27" s="545">
        <f t="shared" ref="E27:P27" si="21">E86+E124</f>
        <v>0</v>
      </c>
      <c r="F27" s="545">
        <f t="shared" si="21"/>
        <v>0</v>
      </c>
      <c r="G27" s="545">
        <f t="shared" si="21"/>
        <v>0</v>
      </c>
      <c r="H27" s="545">
        <f t="shared" si="21"/>
        <v>0</v>
      </c>
      <c r="I27" s="545">
        <f t="shared" si="21"/>
        <v>0</v>
      </c>
      <c r="J27" s="545">
        <f t="shared" si="21"/>
        <v>0</v>
      </c>
      <c r="K27" s="545">
        <f t="shared" si="21"/>
        <v>0</v>
      </c>
      <c r="L27" s="551">
        <f t="shared" si="21"/>
        <v>0</v>
      </c>
      <c r="M27" s="551">
        <f t="shared" si="21"/>
        <v>0</v>
      </c>
      <c r="N27" s="551">
        <f t="shared" si="21"/>
        <v>0</v>
      </c>
      <c r="O27" s="551">
        <f t="shared" si="21"/>
        <v>0</v>
      </c>
      <c r="P27" s="551">
        <f t="shared" si="21"/>
        <v>0</v>
      </c>
      <c r="Q27" s="551"/>
      <c r="R27" s="551"/>
      <c r="S27" s="551">
        <f t="shared" si="2"/>
        <v>0</v>
      </c>
      <c r="T27" s="551">
        <f t="shared" si="3"/>
        <v>0</v>
      </c>
      <c r="U27" s="551">
        <f t="shared" si="4"/>
        <v>0</v>
      </c>
      <c r="V27" s="551">
        <f t="shared" si="5"/>
        <v>0</v>
      </c>
      <c r="W27" s="551">
        <f t="shared" si="6"/>
        <v>0</v>
      </c>
    </row>
    <row r="28" spans="1:23" s="485" customFormat="1" ht="16.2">
      <c r="A28" s="489" t="s">
        <v>940</v>
      </c>
      <c r="B28" s="487" t="s">
        <v>803</v>
      </c>
      <c r="D28" s="552">
        <f>D87+D125</f>
        <v>0</v>
      </c>
      <c r="E28" s="552">
        <f>E26+E27</f>
        <v>-3718.9702027789281</v>
      </c>
      <c r="F28" s="552">
        <f t="shared" ref="F28:P28" si="22">F26+F27</f>
        <v>-4060.2539150004777</v>
      </c>
      <c r="G28" s="552">
        <f t="shared" si="22"/>
        <v>-4291.0036541328545</v>
      </c>
      <c r="H28" s="552">
        <f t="shared" si="22"/>
        <v>-4477.6183377958232</v>
      </c>
      <c r="I28" s="552">
        <f t="shared" si="22"/>
        <v>-9044.719413582563</v>
      </c>
      <c r="J28" s="552">
        <f t="shared" si="22"/>
        <v>-7351.393978199314</v>
      </c>
      <c r="K28" s="552">
        <f t="shared" si="22"/>
        <v>-6594.0140084252344</v>
      </c>
      <c r="L28" s="552">
        <f t="shared" si="22"/>
        <v>7742.0359704271759</v>
      </c>
      <c r="M28" s="552">
        <f t="shared" si="22"/>
        <v>14535.135953108853</v>
      </c>
      <c r="N28" s="552">
        <f t="shared" si="22"/>
        <v>38181.959036284112</v>
      </c>
      <c r="O28" s="552">
        <f t="shared" si="22"/>
        <v>35803.020749558244</v>
      </c>
      <c r="P28" s="552">
        <f t="shared" si="22"/>
        <v>67333.002895485173</v>
      </c>
      <c r="Q28" s="552"/>
      <c r="R28" s="552"/>
      <c r="S28" s="552">
        <f t="shared" si="2"/>
        <v>-16547.846109708084</v>
      </c>
      <c r="T28" s="552">
        <f t="shared" si="3"/>
        <v>-16396.113391781877</v>
      </c>
      <c r="U28" s="552">
        <f t="shared" si="4"/>
        <v>1148.0219620019416</v>
      </c>
      <c r="V28" s="552">
        <f t="shared" si="5"/>
        <v>52717.094989392965</v>
      </c>
      <c r="W28" s="552">
        <f t="shared" si="6"/>
        <v>103136.02364504342</v>
      </c>
    </row>
    <row r="29" spans="1:23" ht="15.6">
      <c r="A29" s="301"/>
      <c r="D29" s="5"/>
    </row>
    <row r="30" spans="1:23" s="119" customFormat="1" ht="12.6">
      <c r="A30" s="494" t="s">
        <v>796</v>
      </c>
      <c r="B30" s="116"/>
      <c r="C30" s="117"/>
      <c r="D30" s="117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R30" s="118"/>
      <c r="S30" s="118"/>
      <c r="T30" s="118"/>
      <c r="U30" s="118"/>
      <c r="V30" s="118"/>
      <c r="W30" s="118"/>
    </row>
    <row r="31" spans="1:23" s="127" customFormat="1" ht="16.2">
      <c r="A31" s="486" t="s">
        <v>513</v>
      </c>
      <c r="B31" s="487" t="s">
        <v>803</v>
      </c>
      <c r="C31" s="487"/>
      <c r="D31" s="499">
        <f t="shared" ref="D31:P31" si="23">D32+D35</f>
        <v>0</v>
      </c>
      <c r="E31" s="499">
        <f t="shared" si="23"/>
        <v>0</v>
      </c>
      <c r="F31" s="499">
        <f t="shared" si="23"/>
        <v>0</v>
      </c>
      <c r="G31" s="499">
        <f t="shared" si="23"/>
        <v>-12.356939003838397</v>
      </c>
      <c r="H31" s="499">
        <f t="shared" si="23"/>
        <v>-45.880353232373864</v>
      </c>
      <c r="I31" s="499">
        <f t="shared" si="23"/>
        <v>-388.09736899567764</v>
      </c>
      <c r="J31" s="499">
        <f t="shared" si="23"/>
        <v>391.69273331454224</v>
      </c>
      <c r="K31" s="499">
        <f t="shared" si="23"/>
        <v>672.16383841744573</v>
      </c>
      <c r="L31" s="499">
        <f t="shared" si="23"/>
        <v>2197.15606194067</v>
      </c>
      <c r="M31" s="499">
        <f t="shared" si="23"/>
        <v>4608.14253535838</v>
      </c>
      <c r="N31" s="499">
        <f t="shared" si="23"/>
        <v>6883.5422844389723</v>
      </c>
      <c r="O31" s="499">
        <f t="shared" si="23"/>
        <v>10158.509702459123</v>
      </c>
      <c r="P31" s="499">
        <f t="shared" si="23"/>
        <v>12858.77897450974</v>
      </c>
      <c r="R31" s="499"/>
      <c r="S31" s="499">
        <f t="shared" si="2"/>
        <v>-58.237292236212262</v>
      </c>
      <c r="T31" s="499">
        <f t="shared" si="3"/>
        <v>3.595364318864597</v>
      </c>
      <c r="U31" s="499">
        <f t="shared" si="4"/>
        <v>2869.3199003581158</v>
      </c>
      <c r="V31" s="499">
        <f t="shared" si="5"/>
        <v>11491.684819797352</v>
      </c>
      <c r="W31" s="499">
        <f t="shared" si="6"/>
        <v>23017.288676968863</v>
      </c>
    </row>
    <row r="32" spans="1:23" ht="14.4">
      <c r="A32" s="487" t="s">
        <v>466</v>
      </c>
      <c r="B32" s="487" t="s">
        <v>803</v>
      </c>
      <c r="C32" s="487"/>
      <c r="D32" s="491">
        <f t="shared" ref="D32:P32" si="24">SUM(D33:D34)</f>
        <v>0</v>
      </c>
      <c r="E32" s="491">
        <f t="shared" si="24"/>
        <v>0</v>
      </c>
      <c r="F32" s="491">
        <f t="shared" si="24"/>
        <v>0</v>
      </c>
      <c r="G32" s="491">
        <f t="shared" si="24"/>
        <v>0</v>
      </c>
      <c r="H32" s="491">
        <f t="shared" si="24"/>
        <v>0</v>
      </c>
      <c r="I32" s="491">
        <f t="shared" si="24"/>
        <v>0</v>
      </c>
      <c r="J32" s="491">
        <f t="shared" si="24"/>
        <v>4131.0000000000009</v>
      </c>
      <c r="K32" s="491">
        <f t="shared" si="24"/>
        <v>7450.8052029601422</v>
      </c>
      <c r="L32" s="491">
        <f t="shared" si="24"/>
        <v>14461.108227574126</v>
      </c>
      <c r="M32" s="491">
        <f t="shared" si="24"/>
        <v>22036.621793168615</v>
      </c>
      <c r="N32" s="491">
        <f t="shared" si="24"/>
        <v>29913.615499508993</v>
      </c>
      <c r="O32" s="491">
        <f t="shared" si="24"/>
        <v>37923.414506874593</v>
      </c>
      <c r="P32" s="491">
        <f t="shared" si="24"/>
        <v>45958.127026111055</v>
      </c>
      <c r="R32" s="491"/>
      <c r="S32" s="491">
        <f t="shared" si="2"/>
        <v>0</v>
      </c>
      <c r="T32" s="491">
        <f t="shared" si="3"/>
        <v>4131.0000000000009</v>
      </c>
      <c r="U32" s="491">
        <f t="shared" si="4"/>
        <v>21911.913430534267</v>
      </c>
      <c r="V32" s="491">
        <f t="shared" si="5"/>
        <v>51950.237292677608</v>
      </c>
      <c r="W32" s="491">
        <f t="shared" si="6"/>
        <v>83881.541532985648</v>
      </c>
    </row>
    <row r="33" spans="1:23" s="721" customFormat="1" ht="12">
      <c r="A33" s="718" t="s">
        <v>459</v>
      </c>
      <c r="B33" s="712" t="s">
        <v>803</v>
      </c>
      <c r="C33" s="719"/>
      <c r="D33" s="720"/>
      <c r="E33" s="720"/>
      <c r="F33" s="720"/>
      <c r="G33" s="720"/>
      <c r="H33" s="720"/>
      <c r="I33" s="720">
        <f>'Криейтеры (ЮЛ)'!I42/500</f>
        <v>0</v>
      </c>
      <c r="J33" s="720">
        <f>'Криейтеры (ЮЛ)'!J42/500</f>
        <v>0</v>
      </c>
      <c r="K33" s="720">
        <f>'Криейтеры (ЮЛ)'!K42/500</f>
        <v>0</v>
      </c>
      <c r="L33" s="720">
        <f>'Криейтеры (ЮЛ)'!L42/500</f>
        <v>0</v>
      </c>
      <c r="M33" s="720">
        <f>'Криейтеры (ЮЛ)'!M42/500</f>
        <v>0</v>
      </c>
      <c r="N33" s="720">
        <f>'Криейтеры (ЮЛ)'!N42/500</f>
        <v>0</v>
      </c>
      <c r="O33" s="720">
        <f>'Криейтеры (ЮЛ)'!O42/500</f>
        <v>0</v>
      </c>
      <c r="P33" s="720">
        <f>'Криейтеры (ЮЛ)'!P42/500</f>
        <v>0</v>
      </c>
      <c r="R33" s="720"/>
      <c r="S33" s="720">
        <f t="shared" si="2"/>
        <v>0</v>
      </c>
      <c r="T33" s="720">
        <f t="shared" si="3"/>
        <v>0</v>
      </c>
      <c r="U33" s="720">
        <f t="shared" si="4"/>
        <v>0</v>
      </c>
      <c r="V33" s="720">
        <f t="shared" si="5"/>
        <v>0</v>
      </c>
      <c r="W33" s="720">
        <f t="shared" si="6"/>
        <v>0</v>
      </c>
    </row>
    <row r="34" spans="1:23" s="721" customFormat="1" ht="12">
      <c r="A34" s="718" t="s">
        <v>806</v>
      </c>
      <c r="B34" s="712" t="s">
        <v>803</v>
      </c>
      <c r="C34" s="719"/>
      <c r="D34" s="720"/>
      <c r="E34" s="720"/>
      <c r="F34" s="720"/>
      <c r="G34" s="720"/>
      <c r="H34" s="720"/>
      <c r="I34" s="720">
        <f>'Merchants(corp)'!I94/500</f>
        <v>0</v>
      </c>
      <c r="J34" s="720">
        <f>'Merchants(corp)'!J94/500</f>
        <v>4131.0000000000009</v>
      </c>
      <c r="K34" s="720">
        <f>'Merchants(corp)'!K94/500</f>
        <v>7450.8052029601422</v>
      </c>
      <c r="L34" s="720">
        <f>'Merchants(corp)'!L94/500</f>
        <v>14461.108227574126</v>
      </c>
      <c r="M34" s="720">
        <f>'Merchants(corp)'!M94/500</f>
        <v>22036.621793168615</v>
      </c>
      <c r="N34" s="720">
        <f>'Merchants(corp)'!N94/500</f>
        <v>29913.615499508993</v>
      </c>
      <c r="O34" s="720">
        <f>'Merchants(corp)'!O94/500</f>
        <v>37923.414506874593</v>
      </c>
      <c r="P34" s="720">
        <f>'Merchants(corp)'!P94/500</f>
        <v>45958.127026111055</v>
      </c>
      <c r="R34" s="720"/>
      <c r="S34" s="720">
        <f t="shared" si="2"/>
        <v>0</v>
      </c>
      <c r="T34" s="720">
        <f t="shared" si="3"/>
        <v>4131.0000000000009</v>
      </c>
      <c r="U34" s="720">
        <f t="shared" si="4"/>
        <v>21911.913430534267</v>
      </c>
      <c r="V34" s="720">
        <f t="shared" si="5"/>
        <v>51950.237292677608</v>
      </c>
      <c r="W34" s="720">
        <f t="shared" si="6"/>
        <v>83881.541532985648</v>
      </c>
    </row>
    <row r="35" spans="1:23">
      <c r="A35" s="487" t="s">
        <v>158</v>
      </c>
      <c r="B35" s="487" t="s">
        <v>803</v>
      </c>
      <c r="C35" s="487"/>
      <c r="D35" s="514">
        <f>SUM(D36:D38)</f>
        <v>0</v>
      </c>
      <c r="E35" s="514">
        <f t="shared" ref="E35:P35" si="25">SUM(E36:E38)</f>
        <v>0</v>
      </c>
      <c r="F35" s="514">
        <f t="shared" si="25"/>
        <v>0</v>
      </c>
      <c r="G35" s="514">
        <f t="shared" si="25"/>
        <v>-12.356939003838397</v>
      </c>
      <c r="H35" s="514">
        <f t="shared" si="25"/>
        <v>-45.880353232373864</v>
      </c>
      <c r="I35" s="514">
        <f t="shared" si="25"/>
        <v>-388.09736899567764</v>
      </c>
      <c r="J35" s="514">
        <f t="shared" si="25"/>
        <v>-3739.3072666854587</v>
      </c>
      <c r="K35" s="514">
        <f t="shared" si="25"/>
        <v>-6778.6413645426965</v>
      </c>
      <c r="L35" s="514">
        <f t="shared" si="25"/>
        <v>-12263.952165633456</v>
      </c>
      <c r="M35" s="514">
        <f t="shared" si="25"/>
        <v>-17428.479257810235</v>
      </c>
      <c r="N35" s="514">
        <f t="shared" si="25"/>
        <v>-23030.073215070021</v>
      </c>
      <c r="O35" s="514">
        <f t="shared" si="25"/>
        <v>-27764.90480441547</v>
      </c>
      <c r="P35" s="514">
        <f t="shared" si="25"/>
        <v>-33099.348051601315</v>
      </c>
      <c r="R35" s="514"/>
      <c r="S35" s="514">
        <f t="shared" si="2"/>
        <v>-58.237292236212262</v>
      </c>
      <c r="T35" s="514">
        <f t="shared" si="3"/>
        <v>-4127.4046356811359</v>
      </c>
      <c r="U35" s="514">
        <f t="shared" si="4"/>
        <v>-19042.593530176153</v>
      </c>
      <c r="V35" s="514">
        <f t="shared" si="5"/>
        <v>-40458.552472880256</v>
      </c>
      <c r="W35" s="514">
        <f t="shared" si="6"/>
        <v>-60864.252856016785</v>
      </c>
    </row>
    <row r="36" spans="1:23" s="515" customFormat="1" ht="12">
      <c r="A36" s="512" t="s">
        <v>459</v>
      </c>
      <c r="B36" s="487" t="s">
        <v>803</v>
      </c>
      <c r="C36" s="513"/>
      <c r="D36" s="514"/>
      <c r="E36" s="514"/>
      <c r="F36" s="514"/>
      <c r="G36" s="514"/>
      <c r="H36" s="514"/>
      <c r="I36" s="514">
        <f>'Криейтеры (ЮЛ)'!I43/500</f>
        <v>0</v>
      </c>
      <c r="J36" s="514">
        <f>'Криейтеры (ЮЛ)'!J43/500</f>
        <v>0</v>
      </c>
      <c r="K36" s="514">
        <f>'Криейтеры (ЮЛ)'!K43/500</f>
        <v>0</v>
      </c>
      <c r="L36" s="514">
        <f>'Криейтеры (ЮЛ)'!L43/500</f>
        <v>0</v>
      </c>
      <c r="M36" s="514">
        <f>'Криейтеры (ЮЛ)'!M43/500</f>
        <v>0</v>
      </c>
      <c r="N36" s="514">
        <f>'Криейтеры (ЮЛ)'!N43/500</f>
        <v>0</v>
      </c>
      <c r="O36" s="514">
        <f>'Криейтеры (ЮЛ)'!O43/500</f>
        <v>0</v>
      </c>
      <c r="P36" s="514">
        <f>'Криейтеры (ЮЛ)'!P43/500</f>
        <v>0</v>
      </c>
      <c r="R36" s="514"/>
      <c r="S36" s="514">
        <f t="shared" si="2"/>
        <v>0</v>
      </c>
      <c r="T36" s="514">
        <f t="shared" si="3"/>
        <v>0</v>
      </c>
      <c r="U36" s="514">
        <f t="shared" si="4"/>
        <v>0</v>
      </c>
      <c r="V36" s="514">
        <f t="shared" si="5"/>
        <v>0</v>
      </c>
      <c r="W36" s="514">
        <f t="shared" si="6"/>
        <v>0</v>
      </c>
    </row>
    <row r="37" spans="1:23" s="515" customFormat="1" ht="12">
      <c r="A37" s="512" t="s">
        <v>806</v>
      </c>
      <c r="B37" s="487" t="s">
        <v>803</v>
      </c>
      <c r="C37" s="513"/>
      <c r="D37" s="514"/>
      <c r="E37" s="514"/>
      <c r="F37" s="514"/>
      <c r="G37" s="514"/>
      <c r="H37" s="514"/>
      <c r="I37" s="514">
        <f>'Merchants(corp)'!I95/500</f>
        <v>0</v>
      </c>
      <c r="J37" s="514">
        <f>'Merchants(corp)'!J95/500</f>
        <v>-2448</v>
      </c>
      <c r="K37" s="514">
        <f>'Merchants(corp)'!K95/500</f>
        <v>-4444.1400000000012</v>
      </c>
      <c r="L37" s="514">
        <f>'Merchants(corp)'!L95/500</f>
        <v>-8683.8592500000013</v>
      </c>
      <c r="M37" s="514">
        <f>'Merchants(corp)'!M95/500</f>
        <v>-13328.760271875006</v>
      </c>
      <c r="N37" s="514">
        <f>'Merchants(corp)'!N95/500</f>
        <v>-18231.964673320319</v>
      </c>
      <c r="O37" s="514">
        <f>'Merchants(corp)'!O95/500</f>
        <v>-23299.837479241705</v>
      </c>
      <c r="P37" s="514">
        <f>'Merchants(corp)'!P95/500</f>
        <v>-28472.686393016589</v>
      </c>
      <c r="R37" s="514"/>
      <c r="S37" s="514">
        <f t="shared" si="2"/>
        <v>0</v>
      </c>
      <c r="T37" s="514">
        <f t="shared" si="3"/>
        <v>-2448</v>
      </c>
      <c r="U37" s="514">
        <f t="shared" si="4"/>
        <v>-13127.999250000003</v>
      </c>
      <c r="V37" s="514">
        <f t="shared" si="5"/>
        <v>-31560.724945195325</v>
      </c>
      <c r="W37" s="514">
        <f t="shared" si="6"/>
        <v>-51772.523872258294</v>
      </c>
    </row>
    <row r="38" spans="1:23" s="515" customFormat="1" ht="12">
      <c r="A38" s="512" t="s">
        <v>810</v>
      </c>
      <c r="B38" s="487" t="s">
        <v>803</v>
      </c>
      <c r="C38" s="513"/>
      <c r="D38" s="514"/>
      <c r="E38" s="514">
        <f>'packages (indiv)'!BR51</f>
        <v>0</v>
      </c>
      <c r="F38" s="514">
        <f>'packages (indiv)'!BS51</f>
        <v>0</v>
      </c>
      <c r="G38" s="514">
        <f>'packages (indiv)'!BT51</f>
        <v>-12.356939003838397</v>
      </c>
      <c r="H38" s="514">
        <f>'packages (indiv)'!BU51</f>
        <v>-45.880353232373864</v>
      </c>
      <c r="I38" s="514">
        <f>'packages (indiv)'!BV51</f>
        <v>-388.09736899567764</v>
      </c>
      <c r="J38" s="514">
        <f>'packages (indiv)'!BW51</f>
        <v>-1291.3072666854587</v>
      </c>
      <c r="K38" s="514">
        <f>'packages (indiv)'!BX51</f>
        <v>-2334.5013645426952</v>
      </c>
      <c r="L38" s="514">
        <f>'packages (indiv)'!BY51</f>
        <v>-3580.0929156334555</v>
      </c>
      <c r="M38" s="514">
        <f>'packages (indiv)'!BZ51</f>
        <v>-4099.7189859352302</v>
      </c>
      <c r="N38" s="514">
        <f>'packages (indiv)'!CA51</f>
        <v>-4798.1085417496997</v>
      </c>
      <c r="O38" s="514">
        <f>'packages (indiv)'!CB51</f>
        <v>-4465.0673251737644</v>
      </c>
      <c r="P38" s="514">
        <f>'packages (indiv)'!CC51</f>
        <v>-4626.661658584726</v>
      </c>
      <c r="R38" s="514"/>
      <c r="S38" s="514">
        <f t="shared" si="2"/>
        <v>-58.237292236212262</v>
      </c>
      <c r="T38" s="514">
        <f t="shared" si="3"/>
        <v>-1679.4046356811364</v>
      </c>
      <c r="U38" s="514">
        <f t="shared" si="4"/>
        <v>-5914.5942801761503</v>
      </c>
      <c r="V38" s="514">
        <f t="shared" si="5"/>
        <v>-8897.8275276849308</v>
      </c>
      <c r="W38" s="514">
        <f t="shared" si="6"/>
        <v>-9091.7289837584904</v>
      </c>
    </row>
    <row r="39" spans="1:23" s="127" customFormat="1" ht="16.2">
      <c r="A39" s="486" t="s">
        <v>514</v>
      </c>
      <c r="B39" s="487" t="s">
        <v>803</v>
      </c>
      <c r="C39" s="487"/>
      <c r="D39" s="499">
        <f>D40+D45+D51</f>
        <v>0</v>
      </c>
      <c r="E39" s="499">
        <f t="shared" ref="E39:O39" si="26">E40+E45+E51</f>
        <v>0</v>
      </c>
      <c r="F39" s="499">
        <f t="shared" si="26"/>
        <v>0</v>
      </c>
      <c r="G39" s="499">
        <f t="shared" si="26"/>
        <v>73.137576407898678</v>
      </c>
      <c r="H39" s="499">
        <f t="shared" si="26"/>
        <v>128.92146394996416</v>
      </c>
      <c r="I39" s="499">
        <f t="shared" si="26"/>
        <v>412.9259962340372</v>
      </c>
      <c r="J39" s="499">
        <f t="shared" si="26"/>
        <v>1749.9761322941949</v>
      </c>
      <c r="K39" s="499">
        <f t="shared" si="26"/>
        <v>2414.716499339961</v>
      </c>
      <c r="L39" s="499">
        <f t="shared" si="26"/>
        <v>3822.7327828612065</v>
      </c>
      <c r="M39" s="499">
        <f t="shared" si="26"/>
        <v>5227.0518496250061</v>
      </c>
      <c r="N39" s="499">
        <f t="shared" si="26"/>
        <v>6657.1269619473287</v>
      </c>
      <c r="O39" s="499">
        <f t="shared" si="26"/>
        <v>8609.2440228809428</v>
      </c>
      <c r="P39" s="499">
        <f>P40+P45+P51</f>
        <v>10014.736679850552</v>
      </c>
      <c r="R39" s="499"/>
      <c r="S39" s="499">
        <f t="shared" si="2"/>
        <v>202.05904035786284</v>
      </c>
      <c r="T39" s="499">
        <f t="shared" si="3"/>
        <v>2162.902128528232</v>
      </c>
      <c r="U39" s="499">
        <f t="shared" si="4"/>
        <v>6237.4492822011671</v>
      </c>
      <c r="V39" s="499">
        <f t="shared" si="5"/>
        <v>11884.178811572336</v>
      </c>
      <c r="W39" s="499">
        <f t="shared" si="6"/>
        <v>18623.980702731496</v>
      </c>
    </row>
    <row r="40" spans="1:23" ht="14.4">
      <c r="A40" s="487" t="s">
        <v>275</v>
      </c>
      <c r="B40" s="487" t="s">
        <v>803</v>
      </c>
      <c r="C40" s="487"/>
      <c r="D40" s="491">
        <f>SUM(D41:D44)</f>
        <v>0</v>
      </c>
      <c r="E40" s="491">
        <f t="shared" ref="E40:O40" si="27">SUM(E41:E44)</f>
        <v>0</v>
      </c>
      <c r="F40" s="491">
        <f t="shared" si="27"/>
        <v>0</v>
      </c>
      <c r="G40" s="514">
        <f t="shared" si="27"/>
        <v>-681.19796616915107</v>
      </c>
      <c r="H40" s="514">
        <f t="shared" si="27"/>
        <v>-767.47886583410514</v>
      </c>
      <c r="I40" s="514">
        <f t="shared" si="27"/>
        <v>-1928.303231289387</v>
      </c>
      <c r="J40" s="514">
        <f t="shared" si="27"/>
        <v>-8076.2441968409494</v>
      </c>
      <c r="K40" s="514">
        <f t="shared" si="27"/>
        <v>-12908.783879239865</v>
      </c>
      <c r="L40" s="514">
        <f t="shared" si="27"/>
        <v>-20614.165708069559</v>
      </c>
      <c r="M40" s="514">
        <f t="shared" si="27"/>
        <v>-29828.509671618223</v>
      </c>
      <c r="N40" s="514">
        <f t="shared" si="27"/>
        <v>-40681.146680952006</v>
      </c>
      <c r="O40" s="514">
        <f t="shared" si="27"/>
        <v>-51959.934022094923</v>
      </c>
      <c r="P40" s="514">
        <f>SUM(P41:P44)</f>
        <v>-58907.346503877685</v>
      </c>
      <c r="R40" s="514"/>
      <c r="S40" s="514">
        <f t="shared" si="2"/>
        <v>-1448.6768320032561</v>
      </c>
      <c r="T40" s="514">
        <f t="shared" si="3"/>
        <v>-10004.547428130336</v>
      </c>
      <c r="U40" s="514">
        <f t="shared" si="4"/>
        <v>-33522.949587309427</v>
      </c>
      <c r="V40" s="514">
        <f t="shared" si="5"/>
        <v>-70509.656352570222</v>
      </c>
      <c r="W40" s="514">
        <f t="shared" si="6"/>
        <v>-110867.2805259726</v>
      </c>
    </row>
    <row r="41" spans="1:23" s="515" customFormat="1" ht="12">
      <c r="A41" s="512" t="s">
        <v>371</v>
      </c>
      <c r="B41" s="487" t="s">
        <v>803</v>
      </c>
      <c r="C41" s="513"/>
      <c r="D41" s="514">
        <f>'Deposits (indiv)'!D17</f>
        <v>0</v>
      </c>
      <c r="E41" s="514">
        <f>'Deposits (indiv)'!E17</f>
        <v>0</v>
      </c>
      <c r="F41" s="514">
        <f>'Deposits (indiv)'!F17</f>
        <v>0</v>
      </c>
      <c r="G41" s="514">
        <f>'Deposits (indiv)'!G17</f>
        <v>-681.19796616915107</v>
      </c>
      <c r="H41" s="514">
        <f>'Deposits (indiv)'!H17</f>
        <v>-767.47886583410514</v>
      </c>
      <c r="I41" s="514">
        <f>'Deposits (indiv)'!I17</f>
        <v>-1928.303231289387</v>
      </c>
      <c r="J41" s="514">
        <f>'Deposits (indiv)'!J17</f>
        <v>-2432.644196840949</v>
      </c>
      <c r="K41" s="514">
        <f>'Deposits (indiv)'!K17</f>
        <v>-5384.1125459065297</v>
      </c>
      <c r="L41" s="514">
        <f>'Deposits (indiv)'!L17</f>
        <v>-9310.6285080695561</v>
      </c>
      <c r="M41" s="514">
        <f>'Deposits (indiv)'!M17</f>
        <v>-14707.830444951556</v>
      </c>
      <c r="N41" s="514">
        <f>'Deposits (indiv)'!N17</f>
        <v>-21694.126771618667</v>
      </c>
      <c r="O41" s="514">
        <f>'Deposits (indiv)'!O17</f>
        <v>-29043.614326094925</v>
      </c>
      <c r="P41" s="514">
        <f>'Deposits (indiv)'!P17</f>
        <v>-31981.471236251014</v>
      </c>
      <c r="R41" s="514"/>
      <c r="S41" s="514">
        <f t="shared" si="2"/>
        <v>-1448.6768320032561</v>
      </c>
      <c r="T41" s="514">
        <f t="shared" si="3"/>
        <v>-4360.9474281303355</v>
      </c>
      <c r="U41" s="514">
        <f t="shared" si="4"/>
        <v>-14694.741053976086</v>
      </c>
      <c r="V41" s="514">
        <f t="shared" si="5"/>
        <v>-36401.957216570227</v>
      </c>
      <c r="W41" s="514">
        <f t="shared" si="6"/>
        <v>-61025.085562345936</v>
      </c>
    </row>
    <row r="42" spans="1:23" s="515" customFormat="1" ht="12">
      <c r="A42" s="512" t="s">
        <v>550</v>
      </c>
      <c r="B42" s="487" t="s">
        <v>803</v>
      </c>
      <c r="C42" s="513"/>
      <c r="D42" s="514">
        <f>'Merchants(corp)'!D316/500</f>
        <v>0</v>
      </c>
      <c r="E42" s="514">
        <f>'Merchants(corp)'!E316/500</f>
        <v>0</v>
      </c>
      <c r="F42" s="514">
        <f>'Merchants(corp)'!F316/500</f>
        <v>0</v>
      </c>
      <c r="G42" s="514">
        <f>'Merchants(corp)'!G316/500</f>
        <v>0</v>
      </c>
      <c r="H42" s="514">
        <f>'Merchants(corp)'!H316/500</f>
        <v>0</v>
      </c>
      <c r="I42" s="514">
        <f>'Merchants(corp)'!I316/500</f>
        <v>0</v>
      </c>
      <c r="J42" s="514">
        <f>'Merchants(corp)'!J316/500</f>
        <v>-93.6</v>
      </c>
      <c r="K42" s="514">
        <f>'Merchants(corp)'!K316/500</f>
        <v>-140.08799999999999</v>
      </c>
      <c r="L42" s="514">
        <f>'Merchants(corp)'!L316/500</f>
        <v>-249.78720000000001</v>
      </c>
      <c r="M42" s="514">
        <f>'Merchants(corp)'!M316/500</f>
        <v>-397.76256000000001</v>
      </c>
      <c r="N42" s="514">
        <f>'Merchants(corp)'!N316/500</f>
        <v>-594.93657599999995</v>
      </c>
      <c r="O42" s="514">
        <f>'Merchants(corp)'!O316/500</f>
        <v>-855.06969600000025</v>
      </c>
      <c r="P42" s="514">
        <f>'Merchants(corp)'!P316/500</f>
        <v>-1195.4586009600002</v>
      </c>
      <c r="R42" s="514"/>
      <c r="S42" s="514">
        <f t="shared" ref="S42" si="28">E42+F42+G42+H42</f>
        <v>0</v>
      </c>
      <c r="T42" s="514">
        <f t="shared" ref="T42" si="29">I42+J42</f>
        <v>-93.6</v>
      </c>
      <c r="U42" s="514">
        <f t="shared" ref="U42" si="30">K42+L42</f>
        <v>-389.87520000000001</v>
      </c>
      <c r="V42" s="514">
        <f t="shared" ref="V42" si="31">M42+N42</f>
        <v>-992.69913599999995</v>
      </c>
      <c r="W42" s="514">
        <f t="shared" ref="W42" si="32">O42+P42</f>
        <v>-2050.5282969600003</v>
      </c>
    </row>
    <row r="43" spans="1:23" s="515" customFormat="1" ht="12">
      <c r="A43" s="512" t="s">
        <v>484</v>
      </c>
      <c r="B43" s="487" t="s">
        <v>803</v>
      </c>
      <c r="C43" s="513"/>
      <c r="D43" s="514"/>
      <c r="E43" s="514"/>
      <c r="F43" s="514"/>
      <c r="G43" s="514"/>
      <c r="H43" s="514"/>
      <c r="I43" s="514"/>
      <c r="J43" s="514"/>
      <c r="K43" s="514"/>
      <c r="L43" s="514"/>
      <c r="M43" s="514"/>
      <c r="N43" s="514"/>
      <c r="O43" s="514"/>
      <c r="P43" s="514"/>
      <c r="R43" s="514"/>
      <c r="S43" s="514">
        <f t="shared" si="2"/>
        <v>0</v>
      </c>
      <c r="T43" s="514">
        <f t="shared" si="3"/>
        <v>0</v>
      </c>
      <c r="U43" s="514">
        <f t="shared" si="4"/>
        <v>0</v>
      </c>
      <c r="V43" s="514">
        <f t="shared" si="5"/>
        <v>0</v>
      </c>
      <c r="W43" s="514">
        <f t="shared" si="6"/>
        <v>0</v>
      </c>
    </row>
    <row r="44" spans="1:23" s="515" customFormat="1" ht="12">
      <c r="A44" s="512" t="s">
        <v>461</v>
      </c>
      <c r="B44" s="487" t="s">
        <v>803</v>
      </c>
      <c r="C44" s="513"/>
      <c r="D44" s="514"/>
      <c r="E44" s="514"/>
      <c r="F44" s="514"/>
      <c r="G44" s="514"/>
      <c r="H44" s="514"/>
      <c r="I44" s="514"/>
      <c r="J44" s="514">
        <f>'Merchants(corp)'!J149/500</f>
        <v>-5550</v>
      </c>
      <c r="K44" s="514">
        <f>'Merchants(corp)'!K149/500</f>
        <v>-7384.5833333333348</v>
      </c>
      <c r="L44" s="514">
        <f>'Merchants(corp)'!L149/500</f>
        <v>-11053.75</v>
      </c>
      <c r="M44" s="514">
        <f>'Merchants(corp)'!M149/500</f>
        <v>-14722.91666666667</v>
      </c>
      <c r="N44" s="514">
        <f>'Merchants(corp)'!N149/500</f>
        <v>-18392.083333333336</v>
      </c>
      <c r="O44" s="514">
        <f>'Merchants(corp)'!O149/500</f>
        <v>-22061.25</v>
      </c>
      <c r="P44" s="514">
        <f>'Merchants(corp)'!P149/500</f>
        <v>-25730.416666666672</v>
      </c>
      <c r="R44" s="514"/>
      <c r="S44" s="514">
        <f t="shared" si="2"/>
        <v>0</v>
      </c>
      <c r="T44" s="514">
        <f t="shared" si="3"/>
        <v>-5550</v>
      </c>
      <c r="U44" s="514">
        <f t="shared" si="4"/>
        <v>-18438.333333333336</v>
      </c>
      <c r="V44" s="514">
        <f t="shared" si="5"/>
        <v>-33115.000000000007</v>
      </c>
      <c r="W44" s="514">
        <f t="shared" si="6"/>
        <v>-47791.666666666672</v>
      </c>
    </row>
    <row r="45" spans="1:23" ht="14.4">
      <c r="A45" s="487" t="s">
        <v>274</v>
      </c>
      <c r="B45" s="487" t="s">
        <v>803</v>
      </c>
      <c r="C45" s="487"/>
      <c r="D45" s="491">
        <f>SUM(D46:D50)</f>
        <v>0</v>
      </c>
      <c r="E45" s="491">
        <f t="shared" ref="E45:P45" si="33">SUM(E46:E50)</f>
        <v>0</v>
      </c>
      <c r="F45" s="491">
        <f t="shared" si="33"/>
        <v>0</v>
      </c>
      <c r="G45" s="491">
        <f t="shared" si="33"/>
        <v>801.2873517701388</v>
      </c>
      <c r="H45" s="491">
        <f t="shared" si="33"/>
        <v>908.32034554332074</v>
      </c>
      <c r="I45" s="491">
        <f>SUM(I46:I50)</f>
        <v>2356.9533974661163</v>
      </c>
      <c r="J45" s="491">
        <f t="shared" si="33"/>
        <v>9846.6676801263584</v>
      </c>
      <c r="K45" s="491">
        <f t="shared" si="33"/>
        <v>15452.585024770669</v>
      </c>
      <c r="L45" s="491">
        <f t="shared" si="33"/>
        <v>24538.19503147429</v>
      </c>
      <c r="M45" s="491">
        <f t="shared" si="33"/>
        <v>35213.971186637922</v>
      </c>
      <c r="N45" s="491">
        <f t="shared" si="33"/>
        <v>47560.844025324579</v>
      </c>
      <c r="O45" s="491">
        <f t="shared" si="33"/>
        <v>60653.372295749359</v>
      </c>
      <c r="P45" s="491">
        <f t="shared" si="33"/>
        <v>69000.327265252781</v>
      </c>
      <c r="R45" s="491"/>
      <c r="S45" s="491">
        <f t="shared" si="2"/>
        <v>1709.6076973134595</v>
      </c>
      <c r="T45" s="491">
        <f t="shared" si="3"/>
        <v>12203.621077592474</v>
      </c>
      <c r="U45" s="491">
        <f t="shared" si="4"/>
        <v>39990.780056244956</v>
      </c>
      <c r="V45" s="491">
        <f t="shared" si="5"/>
        <v>82774.815211962501</v>
      </c>
      <c r="W45" s="491">
        <f t="shared" si="6"/>
        <v>129653.69956100214</v>
      </c>
    </row>
    <row r="46" spans="1:23" s="515" customFormat="1" ht="12">
      <c r="A46" s="512" t="s">
        <v>371</v>
      </c>
      <c r="B46" s="487" t="s">
        <v>803</v>
      </c>
      <c r="C46" s="513"/>
      <c r="D46" s="514">
        <f>'Deposits (indiv)'!D19</f>
        <v>0</v>
      </c>
      <c r="E46" s="514">
        <f>'Deposits (indiv)'!E19</f>
        <v>0</v>
      </c>
      <c r="F46" s="514">
        <f>'Deposits (indiv)'!F19</f>
        <v>0</v>
      </c>
      <c r="G46" s="514">
        <f>'Deposits (indiv)'!G19</f>
        <v>798.57748915187369</v>
      </c>
      <c r="H46" s="514">
        <f>'Deposits (indiv)'!H19</f>
        <v>899.75840851589226</v>
      </c>
      <c r="I46" s="514">
        <f>'Deposits (indiv)'!I19</f>
        <v>2261.9727809078204</v>
      </c>
      <c r="J46" s="514">
        <f>'Deposits (indiv)'!J19</f>
        <v>2856.7425487941473</v>
      </c>
      <c r="K46" s="514">
        <f>'Deposits (indiv)'!K19</f>
        <v>5798.5679390108417</v>
      </c>
      <c r="L46" s="514">
        <f>'Deposits (indiv)'!L19</f>
        <v>10021.149215798629</v>
      </c>
      <c r="M46" s="514">
        <f>'Deposits (indiv)'!M19</f>
        <v>15263.52116100672</v>
      </c>
      <c r="N46" s="514">
        <f>'Deposits (indiv)'!N19</f>
        <v>22504.759971485226</v>
      </c>
      <c r="O46" s="514">
        <f>'Deposits (indiv)'!O19</f>
        <v>30068.88684907875</v>
      </c>
      <c r="P46" s="514">
        <f>'Deposits (indiv)'!P19</f>
        <v>33139.358690501576</v>
      </c>
      <c r="R46" s="514"/>
      <c r="S46" s="514">
        <f t="shared" si="2"/>
        <v>1698.3358976677659</v>
      </c>
      <c r="T46" s="514">
        <f t="shared" si="3"/>
        <v>5118.7153297019677</v>
      </c>
      <c r="U46" s="514">
        <f t="shared" si="4"/>
        <v>15819.71715480947</v>
      </c>
      <c r="V46" s="514">
        <f t="shared" si="5"/>
        <v>37768.281132491946</v>
      </c>
      <c r="W46" s="514">
        <f t="shared" si="6"/>
        <v>63208.245539580326</v>
      </c>
    </row>
    <row r="47" spans="1:23" s="515" customFormat="1" ht="12">
      <c r="A47" s="512" t="s">
        <v>550</v>
      </c>
      <c r="B47" s="487" t="s">
        <v>803</v>
      </c>
      <c r="C47" s="513"/>
      <c r="D47" s="514">
        <f>'Merchants(corp)'!D315/500</f>
        <v>0</v>
      </c>
      <c r="E47" s="514">
        <f>'Merchants(corp)'!E315/500</f>
        <v>0</v>
      </c>
      <c r="F47" s="514">
        <f>'Merchants(corp)'!F315/500</f>
        <v>0</v>
      </c>
      <c r="G47" s="514">
        <f>'Merchants(corp)'!G315/500</f>
        <v>0</v>
      </c>
      <c r="H47" s="514">
        <f>'Merchants(corp)'!H315/500</f>
        <v>0</v>
      </c>
      <c r="I47" s="514">
        <f>'Merchants(corp)'!I315/500</f>
        <v>0</v>
      </c>
      <c r="J47" s="514">
        <f>'Merchants(corp)'!J315/500</f>
        <v>100.80000000000001</v>
      </c>
      <c r="K47" s="514">
        <f>'Merchants(corp)'!K315/500</f>
        <v>150.864</v>
      </c>
      <c r="L47" s="514">
        <f>'Merchants(corp)'!L315/500</f>
        <v>269.00160000000005</v>
      </c>
      <c r="M47" s="514">
        <f>'Merchants(corp)'!M315/500</f>
        <v>428.35968000000003</v>
      </c>
      <c r="N47" s="514">
        <f>'Merchants(corp)'!N315/500</f>
        <v>640.70092800000009</v>
      </c>
      <c r="O47" s="514">
        <f>'Merchants(corp)'!O315/500</f>
        <v>920.84428800000035</v>
      </c>
      <c r="P47" s="514">
        <f>'Merchants(corp)'!P315/500</f>
        <v>1287.4169548800003</v>
      </c>
      <c r="R47" s="514"/>
      <c r="S47" s="514">
        <f t="shared" ref="S47" si="34">E47+F47+G47+H47</f>
        <v>0</v>
      </c>
      <c r="T47" s="514">
        <f t="shared" ref="T47" si="35">I47+J47</f>
        <v>100.80000000000001</v>
      </c>
      <c r="U47" s="514">
        <f t="shared" ref="U47" si="36">K47+L47</f>
        <v>419.86560000000009</v>
      </c>
      <c r="V47" s="514">
        <f t="shared" ref="V47:W47" si="37">M47+N47</f>
        <v>1069.0606080000002</v>
      </c>
      <c r="W47" s="514">
        <f t="shared" si="37"/>
        <v>1561.5452160000004</v>
      </c>
    </row>
    <row r="48" spans="1:23" s="515" customFormat="1" ht="12">
      <c r="A48" s="512" t="s">
        <v>484</v>
      </c>
      <c r="B48" s="487" t="s">
        <v>803</v>
      </c>
      <c r="C48" s="513"/>
      <c r="D48" s="514"/>
      <c r="E48" s="514"/>
      <c r="F48" s="514"/>
      <c r="G48" s="514"/>
      <c r="H48" s="514"/>
      <c r="I48" s="514"/>
      <c r="J48" s="514"/>
      <c r="K48" s="514"/>
      <c r="L48" s="514"/>
      <c r="M48" s="514"/>
      <c r="N48" s="514"/>
      <c r="O48" s="514"/>
      <c r="P48" s="514"/>
      <c r="R48" s="514"/>
      <c r="S48" s="514">
        <f t="shared" si="2"/>
        <v>0</v>
      </c>
      <c r="T48" s="514">
        <f t="shared" si="3"/>
        <v>0</v>
      </c>
      <c r="U48" s="514">
        <f t="shared" si="4"/>
        <v>0</v>
      </c>
      <c r="V48" s="514">
        <f t="shared" si="5"/>
        <v>0</v>
      </c>
      <c r="W48" s="514">
        <f t="shared" si="6"/>
        <v>0</v>
      </c>
    </row>
    <row r="49" spans="1:23" s="515" customFormat="1" ht="12">
      <c r="A49" s="512" t="s">
        <v>461</v>
      </c>
      <c r="B49" s="487" t="s">
        <v>803</v>
      </c>
      <c r="C49" s="513"/>
      <c r="D49" s="514"/>
      <c r="E49" s="514"/>
      <c r="F49" s="514"/>
      <c r="G49" s="514"/>
      <c r="H49" s="514"/>
      <c r="I49" s="514"/>
      <c r="J49" s="514">
        <f>'Merchants(corp)'!J148/500</f>
        <v>6660</v>
      </c>
      <c r="K49" s="514">
        <f>'Merchants(corp)'!K148/500</f>
        <v>8861.5</v>
      </c>
      <c r="L49" s="514">
        <f>'Merchants(corp)'!L148/500</f>
        <v>13264.5</v>
      </c>
      <c r="M49" s="514">
        <f>'Merchants(corp)'!M148/500</f>
        <v>17667.5</v>
      </c>
      <c r="N49" s="514">
        <f>'Merchants(corp)'!N148/500</f>
        <v>22070.5</v>
      </c>
      <c r="O49" s="514">
        <f>'Merchants(corp)'!O148/500</f>
        <v>26473.5</v>
      </c>
      <c r="P49" s="514">
        <f>'Merchants(corp)'!P148/500</f>
        <v>30876.5</v>
      </c>
      <c r="R49" s="514"/>
      <c r="S49" s="514">
        <f t="shared" si="2"/>
        <v>0</v>
      </c>
      <c r="T49" s="514">
        <f t="shared" si="3"/>
        <v>6660</v>
      </c>
      <c r="U49" s="514">
        <f t="shared" si="4"/>
        <v>22126</v>
      </c>
      <c r="V49" s="514">
        <f t="shared" si="5"/>
        <v>39738</v>
      </c>
      <c r="W49" s="514">
        <f t="shared" si="6"/>
        <v>57350</v>
      </c>
    </row>
    <row r="50" spans="1:23" s="515" customFormat="1" ht="12">
      <c r="A50" s="512" t="s">
        <v>811</v>
      </c>
      <c r="B50" s="487" t="s">
        <v>803</v>
      </c>
      <c r="C50" s="513"/>
      <c r="D50" s="514"/>
      <c r="E50" s="514">
        <f>'packages (indiv)'!BR52</f>
        <v>0</v>
      </c>
      <c r="F50" s="514">
        <f>'packages (indiv)'!BS52</f>
        <v>0</v>
      </c>
      <c r="G50" s="514">
        <f>'packages (indiv)'!BT52</f>
        <v>2.7098626182651389</v>
      </c>
      <c r="H50" s="514">
        <f>'packages (indiv)'!BU52</f>
        <v>8.5619370274284705</v>
      </c>
      <c r="I50" s="514">
        <f>'packages (indiv)'!BV52</f>
        <v>94.980616558296049</v>
      </c>
      <c r="J50" s="514">
        <f>'packages (indiv)'!BW52</f>
        <v>229.1251313322127</v>
      </c>
      <c r="K50" s="514">
        <f>'packages (indiv)'!BX52</f>
        <v>641.65308575982772</v>
      </c>
      <c r="L50" s="514">
        <f>'packages (indiv)'!BY52</f>
        <v>983.54421567566339</v>
      </c>
      <c r="M50" s="514">
        <f>'packages (indiv)'!BZ52</f>
        <v>1854.5903456311974</v>
      </c>
      <c r="N50" s="514">
        <f>'packages (indiv)'!CA52</f>
        <v>2344.8831258393566</v>
      </c>
      <c r="O50" s="514">
        <f>'packages (indiv)'!CB52</f>
        <v>3190.1411586706099</v>
      </c>
      <c r="P50" s="514">
        <f>'packages (indiv)'!CC52</f>
        <v>3697.0516198712066</v>
      </c>
      <c r="R50" s="514"/>
      <c r="S50" s="514">
        <f t="shared" si="2"/>
        <v>11.271799645693608</v>
      </c>
      <c r="T50" s="514">
        <f t="shared" si="3"/>
        <v>324.10574789050872</v>
      </c>
      <c r="U50" s="514">
        <f t="shared" si="4"/>
        <v>1625.1973014354912</v>
      </c>
      <c r="V50" s="514">
        <f t="shared" si="5"/>
        <v>4199.4734714705537</v>
      </c>
      <c r="W50" s="514">
        <f t="shared" si="6"/>
        <v>6887.1927785418166</v>
      </c>
    </row>
    <row r="51" spans="1:23">
      <c r="A51" s="487" t="s">
        <v>515</v>
      </c>
      <c r="B51" s="487" t="s">
        <v>803</v>
      </c>
      <c r="C51" s="487"/>
      <c r="D51" s="514">
        <f>SUM(D52)</f>
        <v>0</v>
      </c>
      <c r="E51" s="514">
        <f t="shared" ref="E51:P51" si="38">SUM(E52)</f>
        <v>0</v>
      </c>
      <c r="F51" s="514">
        <f t="shared" si="38"/>
        <v>0</v>
      </c>
      <c r="G51" s="514">
        <f t="shared" si="38"/>
        <v>-46.951809193089055</v>
      </c>
      <c r="H51" s="514">
        <f t="shared" si="38"/>
        <v>-11.920015759251434</v>
      </c>
      <c r="I51" s="514">
        <f t="shared" si="38"/>
        <v>-15.724169942692079</v>
      </c>
      <c r="J51" s="514">
        <f t="shared" si="38"/>
        <v>-20.44735099121397</v>
      </c>
      <c r="K51" s="514">
        <f t="shared" si="38"/>
        <v>-129.08464619084327</v>
      </c>
      <c r="L51" s="514">
        <f t="shared" si="38"/>
        <v>-101.29654054352487</v>
      </c>
      <c r="M51" s="514">
        <f t="shared" si="38"/>
        <v>-158.40966539469261</v>
      </c>
      <c r="N51" s="514">
        <f t="shared" si="38"/>
        <v>-222.57038242524436</v>
      </c>
      <c r="O51" s="514">
        <f t="shared" si="38"/>
        <v>-84.19425077349274</v>
      </c>
      <c r="P51" s="514">
        <f t="shared" si="38"/>
        <v>-78.2440815245442</v>
      </c>
      <c r="R51" s="514"/>
      <c r="S51" s="514">
        <f t="shared" si="2"/>
        <v>-58.871824952340489</v>
      </c>
      <c r="T51" s="514">
        <f t="shared" si="3"/>
        <v>-36.171520933906052</v>
      </c>
      <c r="U51" s="514">
        <f t="shared" si="4"/>
        <v>-230.38118673436816</v>
      </c>
      <c r="V51" s="514">
        <f t="shared" si="5"/>
        <v>-380.980047819937</v>
      </c>
      <c r="W51" s="514">
        <f t="shared" si="6"/>
        <v>-162.43833229803693</v>
      </c>
    </row>
    <row r="52" spans="1:23" s="515" customFormat="1" ht="12">
      <c r="A52" s="512" t="s">
        <v>371</v>
      </c>
      <c r="B52" s="487" t="s">
        <v>803</v>
      </c>
      <c r="C52" s="513"/>
      <c r="D52" s="514">
        <f>'Deposits (indiv)'!D21</f>
        <v>0</v>
      </c>
      <c r="E52" s="514">
        <f>'Deposits (indiv)'!E21</f>
        <v>0</v>
      </c>
      <c r="F52" s="514">
        <f>'Deposits (indiv)'!F21</f>
        <v>0</v>
      </c>
      <c r="G52" s="514">
        <f>'Deposits (indiv)'!G21</f>
        <v>-46.951809193089055</v>
      </c>
      <c r="H52" s="514">
        <f>'Deposits (indiv)'!H21</f>
        <v>-11.920015759251434</v>
      </c>
      <c r="I52" s="514">
        <f>'Deposits (indiv)'!I21</f>
        <v>-15.724169942692079</v>
      </c>
      <c r="J52" s="514">
        <f>'Deposits (indiv)'!J21</f>
        <v>-20.44735099121397</v>
      </c>
      <c r="K52" s="514">
        <f>'Deposits (indiv)'!K21</f>
        <v>-129.08464619084327</v>
      </c>
      <c r="L52" s="514">
        <f>'Deposits (indiv)'!L21</f>
        <v>-101.29654054352487</v>
      </c>
      <c r="M52" s="514">
        <f>'Deposits (indiv)'!M21</f>
        <v>-158.40966539469261</v>
      </c>
      <c r="N52" s="514">
        <f>'Deposits (indiv)'!N21</f>
        <v>-222.57038242524436</v>
      </c>
      <c r="O52" s="514">
        <f>'Deposits (indiv)'!O21</f>
        <v>-84.19425077349274</v>
      </c>
      <c r="P52" s="514">
        <f>'Deposits (indiv)'!P21</f>
        <v>-78.2440815245442</v>
      </c>
      <c r="R52" s="514"/>
      <c r="S52" s="514">
        <f t="shared" si="2"/>
        <v>-58.871824952340489</v>
      </c>
      <c r="T52" s="514">
        <f t="shared" si="3"/>
        <v>-36.171520933906052</v>
      </c>
      <c r="U52" s="514">
        <f t="shared" si="4"/>
        <v>-230.38118673436816</v>
      </c>
      <c r="V52" s="514">
        <f t="shared" si="5"/>
        <v>-380.980047819937</v>
      </c>
      <c r="W52" s="514">
        <f t="shared" si="6"/>
        <v>-162.43833229803693</v>
      </c>
    </row>
    <row r="53" spans="1:23" s="127" customFormat="1" ht="15.6">
      <c r="A53" s="486" t="s">
        <v>808</v>
      </c>
      <c r="B53" s="487" t="s">
        <v>803</v>
      </c>
      <c r="C53" s="487"/>
      <c r="D53" s="514">
        <f t="shared" ref="D53:P53" si="39">D31+D39</f>
        <v>0</v>
      </c>
      <c r="E53" s="514">
        <f t="shared" si="39"/>
        <v>0</v>
      </c>
      <c r="F53" s="514">
        <f t="shared" si="39"/>
        <v>0</v>
      </c>
      <c r="G53" s="514">
        <f t="shared" si="39"/>
        <v>60.780637404060279</v>
      </c>
      <c r="H53" s="514">
        <f t="shared" si="39"/>
        <v>83.0411107175903</v>
      </c>
      <c r="I53" s="514">
        <f t="shared" si="39"/>
        <v>24.828627238359559</v>
      </c>
      <c r="J53" s="514">
        <f t="shared" si="39"/>
        <v>2141.6688656087372</v>
      </c>
      <c r="K53" s="514">
        <f t="shared" si="39"/>
        <v>3086.8803377574068</v>
      </c>
      <c r="L53" s="514">
        <f t="shared" si="39"/>
        <v>6019.888844801877</v>
      </c>
      <c r="M53" s="514">
        <f t="shared" si="39"/>
        <v>9835.194384983386</v>
      </c>
      <c r="N53" s="514">
        <f t="shared" si="39"/>
        <v>13540.6692463863</v>
      </c>
      <c r="O53" s="514">
        <f t="shared" si="39"/>
        <v>18767.753725340066</v>
      </c>
      <c r="P53" s="514">
        <f t="shared" si="39"/>
        <v>22873.515654360293</v>
      </c>
      <c r="R53" s="514"/>
      <c r="S53" s="514">
        <f t="shared" si="2"/>
        <v>143.82174812165059</v>
      </c>
      <c r="T53" s="514">
        <f t="shared" si="3"/>
        <v>2166.4974928470965</v>
      </c>
      <c r="U53" s="514">
        <f t="shared" si="4"/>
        <v>9106.7691825592847</v>
      </c>
      <c r="V53" s="514">
        <f t="shared" si="5"/>
        <v>23375.863631369684</v>
      </c>
      <c r="W53" s="514">
        <f t="shared" si="6"/>
        <v>41641.269379700359</v>
      </c>
    </row>
    <row r="54" spans="1:23" s="201" customFormat="1" ht="14.4">
      <c r="A54" s="488" t="s">
        <v>517</v>
      </c>
      <c r="B54" s="487" t="s">
        <v>803</v>
      </c>
      <c r="C54" s="487"/>
      <c r="D54" s="491">
        <f>SUM(D55:D56)</f>
        <v>0</v>
      </c>
      <c r="E54" s="491">
        <f t="shared" ref="E54:P54" si="40">SUM(E55:E56)</f>
        <v>0</v>
      </c>
      <c r="F54" s="491">
        <f t="shared" si="40"/>
        <v>0</v>
      </c>
      <c r="G54" s="491">
        <f t="shared" si="40"/>
        <v>0</v>
      </c>
      <c r="H54" s="491">
        <f t="shared" si="40"/>
        <v>0</v>
      </c>
      <c r="I54" s="491">
        <f t="shared" si="40"/>
        <v>0</v>
      </c>
      <c r="J54" s="491">
        <f t="shared" si="40"/>
        <v>-3600</v>
      </c>
      <c r="K54" s="491">
        <f t="shared" si="40"/>
        <v>-5871.0000000000018</v>
      </c>
      <c r="L54" s="491">
        <f t="shared" si="40"/>
        <v>-6598.7625000000053</v>
      </c>
      <c r="M54" s="491">
        <f t="shared" si="40"/>
        <v>-7062.7110937500001</v>
      </c>
      <c r="N54" s="491">
        <f t="shared" si="40"/>
        <v>-7358.4783222656324</v>
      </c>
      <c r="O54" s="491">
        <f t="shared" si="40"/>
        <v>-7547.0299304443379</v>
      </c>
      <c r="P54" s="491">
        <f t="shared" si="40"/>
        <v>-7667.2315806582574</v>
      </c>
      <c r="R54" s="491"/>
      <c r="S54" s="491">
        <f t="shared" si="2"/>
        <v>0</v>
      </c>
      <c r="T54" s="491">
        <f t="shared" si="3"/>
        <v>-3600</v>
      </c>
      <c r="U54" s="491">
        <f t="shared" si="4"/>
        <v>-12469.762500000008</v>
      </c>
      <c r="V54" s="491">
        <f t="shared" si="5"/>
        <v>-14421.189416015633</v>
      </c>
      <c r="W54" s="491">
        <f t="shared" si="6"/>
        <v>-15214.261511102595</v>
      </c>
    </row>
    <row r="55" spans="1:23" s="515" customFormat="1" ht="12">
      <c r="A55" s="512" t="s">
        <v>459</v>
      </c>
      <c r="B55" s="487" t="s">
        <v>803</v>
      </c>
      <c r="C55" s="513"/>
      <c r="D55" s="514"/>
      <c r="E55" s="514"/>
      <c r="F55" s="514"/>
      <c r="G55" s="514"/>
      <c r="H55" s="514"/>
      <c r="I55" s="514">
        <f>'Криейтеры (ЮЛ)'!I46/500</f>
        <v>0</v>
      </c>
      <c r="J55" s="514">
        <f>'Криейтеры (ЮЛ)'!J46/500</f>
        <v>0</v>
      </c>
      <c r="K55" s="514">
        <f>'Криейтеры (ЮЛ)'!K46/500</f>
        <v>0</v>
      </c>
      <c r="L55" s="514">
        <f>'Криейтеры (ЮЛ)'!L46/500</f>
        <v>0</v>
      </c>
      <c r="M55" s="514">
        <f>'Криейтеры (ЮЛ)'!M46/500</f>
        <v>0</v>
      </c>
      <c r="N55" s="514">
        <f>'Криейтеры (ЮЛ)'!N46/500</f>
        <v>0</v>
      </c>
      <c r="O55" s="514">
        <f>'Криейтеры (ЮЛ)'!O46/500</f>
        <v>0</v>
      </c>
      <c r="P55" s="514">
        <f>'Криейтеры (ЮЛ)'!P46/500</f>
        <v>0</v>
      </c>
      <c r="R55" s="514"/>
      <c r="S55" s="514">
        <f t="shared" si="2"/>
        <v>0</v>
      </c>
      <c r="T55" s="514">
        <f t="shared" si="3"/>
        <v>0</v>
      </c>
      <c r="U55" s="514">
        <f t="shared" si="4"/>
        <v>0</v>
      </c>
      <c r="V55" s="514">
        <f t="shared" si="5"/>
        <v>0</v>
      </c>
      <c r="W55" s="514">
        <f t="shared" si="6"/>
        <v>0</v>
      </c>
    </row>
    <row r="56" spans="1:23" s="515" customFormat="1" ht="12">
      <c r="A56" s="512" t="s">
        <v>806</v>
      </c>
      <c r="B56" s="487" t="s">
        <v>803</v>
      </c>
      <c r="C56" s="513"/>
      <c r="D56" s="514"/>
      <c r="E56" s="514"/>
      <c r="F56" s="514"/>
      <c r="G56" s="514"/>
      <c r="H56" s="514"/>
      <c r="I56" s="514">
        <f>'Merchants(corp)'!I98/500</f>
        <v>0</v>
      </c>
      <c r="J56" s="514">
        <f>'Merchants(corp)'!J98/500</f>
        <v>-3600</v>
      </c>
      <c r="K56" s="514">
        <f>'Merchants(corp)'!K98/500</f>
        <v>-5871.0000000000018</v>
      </c>
      <c r="L56" s="514">
        <f>'Merchants(corp)'!L98/500</f>
        <v>-6598.7625000000053</v>
      </c>
      <c r="M56" s="514">
        <f>'Merchants(corp)'!M98/500</f>
        <v>-7062.7110937500001</v>
      </c>
      <c r="N56" s="514">
        <f>'Merchants(corp)'!N98/500</f>
        <v>-7358.4783222656324</v>
      </c>
      <c r="O56" s="514">
        <f>'Merchants(corp)'!O98/500</f>
        <v>-7547.0299304443379</v>
      </c>
      <c r="P56" s="514">
        <f>'Merchants(corp)'!P98/500</f>
        <v>-7667.2315806582574</v>
      </c>
      <c r="Q56" s="514"/>
      <c r="R56" s="514"/>
      <c r="S56" s="514">
        <f t="shared" si="2"/>
        <v>0</v>
      </c>
      <c r="T56" s="514">
        <f t="shared" si="3"/>
        <v>-3600</v>
      </c>
      <c r="U56" s="514">
        <f t="shared" si="4"/>
        <v>-12469.762500000008</v>
      </c>
      <c r="V56" s="514">
        <f t="shared" si="5"/>
        <v>-14421.189416015633</v>
      </c>
      <c r="W56" s="514">
        <f t="shared" si="6"/>
        <v>-15214.261511102595</v>
      </c>
    </row>
    <row r="57" spans="1:23" s="515" customFormat="1" ht="12">
      <c r="A57" s="512" t="s">
        <v>810</v>
      </c>
      <c r="B57" s="487" t="s">
        <v>803</v>
      </c>
      <c r="C57" s="513"/>
      <c r="D57" s="514"/>
      <c r="E57" s="514">
        <f>'packages (indiv)'!BR53</f>
        <v>0</v>
      </c>
      <c r="F57" s="514">
        <f>'packages (indiv)'!BS53</f>
        <v>0</v>
      </c>
      <c r="G57" s="514">
        <f>'packages (indiv)'!BT53</f>
        <v>-0.63581031479550432</v>
      </c>
      <c r="H57" s="514">
        <f>'packages (indiv)'!BU53</f>
        <v>-7.2790094681253512</v>
      </c>
      <c r="I57" s="514">
        <f>'packages (indiv)'!BV53</f>
        <v>-154.1271133669425</v>
      </c>
      <c r="J57" s="514">
        <f>'packages (indiv)'!BW53</f>
        <v>-757.76546289968019</v>
      </c>
      <c r="K57" s="514">
        <f>'packages (indiv)'!BX53</f>
        <v>-1761.2475832769628</v>
      </c>
      <c r="L57" s="514">
        <f>'packages (indiv)'!BY53</f>
        <v>-2825.759342778329</v>
      </c>
      <c r="M57" s="514">
        <f>'packages (indiv)'!BZ53</f>
        <v>-3809.3070864494362</v>
      </c>
      <c r="N57" s="514">
        <f>'packages (indiv)'!CA53</f>
        <v>-4569.8966434170934</v>
      </c>
      <c r="O57" s="514">
        <f>'packages (indiv)'!CB53</f>
        <v>-5250.3047186273998</v>
      </c>
      <c r="P57" s="514">
        <f>'packages (indiv)'!CC53</f>
        <v>-5676.5186693540854</v>
      </c>
      <c r="R57" s="514"/>
      <c r="S57" s="514">
        <f t="shared" si="2"/>
        <v>-7.9148197829208558</v>
      </c>
      <c r="T57" s="514">
        <f t="shared" si="3"/>
        <v>-911.89257626662265</v>
      </c>
      <c r="U57" s="514">
        <f t="shared" si="4"/>
        <v>-4587.0069260552918</v>
      </c>
      <c r="V57" s="514">
        <f t="shared" si="5"/>
        <v>-8379.2037298665291</v>
      </c>
      <c r="W57" s="514">
        <f t="shared" si="6"/>
        <v>-10926.823387981485</v>
      </c>
    </row>
    <row r="58" spans="1:23" s="485" customFormat="1" ht="16.2">
      <c r="A58" s="489" t="s">
        <v>518</v>
      </c>
      <c r="B58" s="487" t="s">
        <v>803</v>
      </c>
      <c r="C58" s="487"/>
      <c r="D58" s="547">
        <f>D53+D54</f>
        <v>0</v>
      </c>
      <c r="E58" s="547">
        <f t="shared" ref="E58:P58" si="41">E53+E54</f>
        <v>0</v>
      </c>
      <c r="F58" s="547">
        <f t="shared" si="41"/>
        <v>0</v>
      </c>
      <c r="G58" s="547">
        <f t="shared" si="41"/>
        <v>60.780637404060279</v>
      </c>
      <c r="H58" s="547">
        <f t="shared" si="41"/>
        <v>83.0411107175903</v>
      </c>
      <c r="I58" s="547">
        <f t="shared" si="41"/>
        <v>24.828627238359559</v>
      </c>
      <c r="J58" s="547">
        <f t="shared" si="41"/>
        <v>-1458.3311343912628</v>
      </c>
      <c r="K58" s="547">
        <f t="shared" si="41"/>
        <v>-2784.119662242595</v>
      </c>
      <c r="L58" s="547">
        <f t="shared" si="41"/>
        <v>-578.87365519812829</v>
      </c>
      <c r="M58" s="547">
        <f t="shared" si="41"/>
        <v>2772.4832912333859</v>
      </c>
      <c r="N58" s="547">
        <f t="shared" si="41"/>
        <v>6182.1909241206677</v>
      </c>
      <c r="O58" s="547">
        <f t="shared" si="41"/>
        <v>11220.723794895728</v>
      </c>
      <c r="P58" s="547">
        <f t="shared" si="41"/>
        <v>15206.284073702036</v>
      </c>
      <c r="R58" s="547"/>
      <c r="S58" s="547">
        <f t="shared" si="2"/>
        <v>143.82174812165059</v>
      </c>
      <c r="T58" s="547">
        <f t="shared" si="3"/>
        <v>-1433.5025071529033</v>
      </c>
      <c r="U58" s="547">
        <f t="shared" si="4"/>
        <v>-3362.9933174407233</v>
      </c>
      <c r="V58" s="547">
        <f t="shared" si="5"/>
        <v>8954.6742153540545</v>
      </c>
      <c r="W58" s="547">
        <f t="shared" si="6"/>
        <v>26427.007868597764</v>
      </c>
    </row>
    <row r="59" spans="1:23" s="716" customFormat="1" ht="15.6">
      <c r="A59" s="715" t="s">
        <v>471</v>
      </c>
      <c r="B59" s="712" t="s">
        <v>803</v>
      </c>
      <c r="C59" s="712"/>
      <c r="D59" s="722">
        <f>SUM(D60:D70)</f>
        <v>0</v>
      </c>
      <c r="E59" s="722">
        <f t="shared" ref="E59:P59" si="42">SUM(E60:E70)</f>
        <v>0</v>
      </c>
      <c r="F59" s="722">
        <f>SUM(F60:F70)</f>
        <v>0</v>
      </c>
      <c r="G59" s="722">
        <f t="shared" si="42"/>
        <v>176.59835170763373</v>
      </c>
      <c r="H59" s="722">
        <f t="shared" si="42"/>
        <v>453.54402136683098</v>
      </c>
      <c r="I59" s="722">
        <f t="shared" si="42"/>
        <v>3844.585129063707</v>
      </c>
      <c r="J59" s="722">
        <f t="shared" si="42"/>
        <v>13061.682848818366</v>
      </c>
      <c r="K59" s="722">
        <f t="shared" si="42"/>
        <v>23100.93023498515</v>
      </c>
      <c r="L59" s="722">
        <f t="shared" si="42"/>
        <v>37973.171901419912</v>
      </c>
      <c r="M59" s="722">
        <f t="shared" si="42"/>
        <v>46331.289625720579</v>
      </c>
      <c r="N59" s="722">
        <f t="shared" si="42"/>
        <v>66881.623012765951</v>
      </c>
      <c r="O59" s="722">
        <f t="shared" si="42"/>
        <v>65828.770238434503</v>
      </c>
      <c r="P59" s="722">
        <f t="shared" si="42"/>
        <v>92735.376074267726</v>
      </c>
      <c r="R59" s="722"/>
      <c r="S59" s="722">
        <f t="shared" si="2"/>
        <v>630.14237307446467</v>
      </c>
      <c r="T59" s="722">
        <f t="shared" si="3"/>
        <v>16906.267977882071</v>
      </c>
      <c r="U59" s="722">
        <f t="shared" si="4"/>
        <v>61074.102136405061</v>
      </c>
      <c r="V59" s="722">
        <f t="shared" si="5"/>
        <v>113212.91263848654</v>
      </c>
      <c r="W59" s="722">
        <f t="shared" si="6"/>
        <v>158564.14631270221</v>
      </c>
    </row>
    <row r="60" spans="1:23" s="721" customFormat="1" ht="12">
      <c r="A60" s="718" t="s">
        <v>812</v>
      </c>
      <c r="B60" s="712" t="s">
        <v>803</v>
      </c>
      <c r="C60" s="719"/>
      <c r="D60" s="720"/>
      <c r="E60" s="720">
        <f>'packages (indiv)'!BR54</f>
        <v>0</v>
      </c>
      <c r="F60" s="720">
        <f>'packages (indiv)'!BS54</f>
        <v>0</v>
      </c>
      <c r="G60" s="720">
        <f>'packages (indiv)'!BT54</f>
        <v>90.511279619673672</v>
      </c>
      <c r="H60" s="720">
        <f>'packages (indiv)'!BU54</f>
        <v>237.54618226808296</v>
      </c>
      <c r="I60" s="720">
        <f>'packages (indiv)'!BV54</f>
        <v>1428.6629409133811</v>
      </c>
      <c r="J60" s="720">
        <f>'packages (indiv)'!BW54</f>
        <v>3233.9045274130303</v>
      </c>
      <c r="K60" s="720">
        <f>'packages (indiv)'!BX54</f>
        <v>4958.3907538716858</v>
      </c>
      <c r="L60" s="720">
        <f>'packages (indiv)'!BY54</f>
        <v>7159.0241073965726</v>
      </c>
      <c r="M60" s="720">
        <f>'packages (indiv)'!BZ54</f>
        <v>8586.3158879869552</v>
      </c>
      <c r="N60" s="720">
        <f>'packages (indiv)'!CA54</f>
        <v>10307.185042580331</v>
      </c>
      <c r="O60" s="720">
        <f>'packages (indiv)'!CB54</f>
        <v>11105.909518820459</v>
      </c>
      <c r="P60" s="720">
        <f>'packages (indiv)'!CC54</f>
        <v>12351.240312442776</v>
      </c>
      <c r="R60" s="720"/>
      <c r="S60" s="720">
        <f t="shared" si="2"/>
        <v>328.05746188775663</v>
      </c>
      <c r="T60" s="720">
        <f t="shared" si="3"/>
        <v>4662.5674683264115</v>
      </c>
      <c r="U60" s="720">
        <f t="shared" si="4"/>
        <v>12117.414861268258</v>
      </c>
      <c r="V60" s="720">
        <f t="shared" si="5"/>
        <v>18893.500930567287</v>
      </c>
      <c r="W60" s="720">
        <f t="shared" si="6"/>
        <v>23457.149831263236</v>
      </c>
    </row>
    <row r="61" spans="1:23" s="721" customFormat="1" ht="12">
      <c r="A61" s="718" t="s">
        <v>813</v>
      </c>
      <c r="B61" s="712" t="s">
        <v>803</v>
      </c>
      <c r="C61" s="719"/>
      <c r="D61" s="720"/>
      <c r="E61" s="720">
        <f>'packages (indiv)'!BR64+'packages (indiv)'!BR73+'packages (indiv)'!BR81</f>
        <v>0</v>
      </c>
      <c r="F61" s="720">
        <f>'packages (indiv)'!BS64+'packages (indiv)'!BS73+'packages (indiv)'!BS81</f>
        <v>0</v>
      </c>
      <c r="G61" s="720">
        <f>'packages (indiv)'!BT64+'packages (indiv)'!BT73+'packages (indiv)'!BT81</f>
        <v>85.097666788692237</v>
      </c>
      <c r="H61" s="720">
        <f>'packages (indiv)'!BU64+'packages (indiv)'!BU73+'packages (indiv)'!BU81</f>
        <v>229.55454049474051</v>
      </c>
      <c r="I61" s="720">
        <f>'packages (indiv)'!BV64+'packages (indiv)'!BV73+'packages (indiv)'!BV81</f>
        <v>2342.0561544085326</v>
      </c>
      <c r="J61" s="720">
        <f>'packages (indiv)'!BW64+'packages (indiv)'!BW73+'packages (indiv)'!BW81</f>
        <v>5592.5134800804981</v>
      </c>
      <c r="K61" s="720">
        <f>'packages (indiv)'!BX64+'packages (indiv)'!BX73+'packages (indiv)'!BX81</f>
        <v>12529.902890738571</v>
      </c>
      <c r="L61" s="720">
        <f>'packages (indiv)'!BY64+'packages (indiv)'!BY73+'packages (indiv)'!BY81</f>
        <v>18487.689674709789</v>
      </c>
      <c r="M61" s="720">
        <f>'packages (indiv)'!BZ64+'packages (indiv)'!BZ73+'packages (indiv)'!BZ81</f>
        <v>23555.631054590827</v>
      </c>
      <c r="N61" s="720">
        <f>'packages (indiv)'!CA64+'packages (indiv)'!CA73+'packages (indiv)'!CA81</f>
        <v>28500.940982744632</v>
      </c>
      <c r="O61" s="720">
        <f>'packages (indiv)'!CB64+'packages (indiv)'!CB73+'packages (indiv)'!CB81</f>
        <v>32373.327030709966</v>
      </c>
      <c r="P61" s="720">
        <f>'packages (indiv)'!CC64+'packages (indiv)'!CC73+'packages (indiv)'!CC81</f>
        <v>36176.34320384101</v>
      </c>
      <c r="R61" s="720"/>
      <c r="S61" s="720">
        <f t="shared" si="2"/>
        <v>314.65220728343274</v>
      </c>
      <c r="T61" s="720">
        <f t="shared" si="3"/>
        <v>7934.5696344890312</v>
      </c>
      <c r="U61" s="720">
        <f t="shared" si="4"/>
        <v>31017.592565448358</v>
      </c>
      <c r="V61" s="720">
        <f t="shared" si="5"/>
        <v>52056.572037335456</v>
      </c>
      <c r="W61" s="720">
        <f t="shared" si="6"/>
        <v>68549.670234550984</v>
      </c>
    </row>
    <row r="62" spans="1:23" s="716" customFormat="1">
      <c r="A62" s="718" t="s">
        <v>483</v>
      </c>
      <c r="B62" s="712" t="s">
        <v>803</v>
      </c>
      <c r="C62" s="712"/>
      <c r="D62" s="722"/>
      <c r="E62" s="722"/>
      <c r="F62" s="722"/>
      <c r="G62" s="722"/>
      <c r="H62" s="722"/>
      <c r="I62" s="722"/>
      <c r="J62" s="722">
        <f>'Merchants(corp)'!J167</f>
        <v>900</v>
      </c>
      <c r="K62" s="722">
        <f>'Merchants(corp)'!K167</f>
        <v>1569.7500000000002</v>
      </c>
      <c r="L62" s="722">
        <f>'Merchants(corp)'!L167</f>
        <v>2304.2250000000004</v>
      </c>
      <c r="M62" s="722">
        <f>'Merchants(corp)'!M167</f>
        <v>6216.4462500000009</v>
      </c>
      <c r="N62" s="722">
        <f>'Merchants(corp)'!N167</f>
        <v>7973.7210000000032</v>
      </c>
      <c r="O62" s="722">
        <f>'Merchants(corp)'!O167</f>
        <v>9891.1821093750041</v>
      </c>
      <c r="P62" s="722">
        <f>'Merchants(corp)'!P167</f>
        <v>11980.455027187503</v>
      </c>
      <c r="Q62" s="722"/>
      <c r="R62" s="722"/>
      <c r="S62" s="722">
        <f t="shared" si="2"/>
        <v>0</v>
      </c>
      <c r="T62" s="722">
        <f t="shared" si="3"/>
        <v>900</v>
      </c>
      <c r="U62" s="722">
        <f t="shared" si="4"/>
        <v>3873.9750000000004</v>
      </c>
      <c r="V62" s="722">
        <f t="shared" si="5"/>
        <v>14190.167250000004</v>
      </c>
      <c r="W62" s="722">
        <f t="shared" si="6"/>
        <v>21871.637136562509</v>
      </c>
    </row>
    <row r="63" spans="1:23" s="716" customFormat="1">
      <c r="A63" s="718" t="s">
        <v>815</v>
      </c>
      <c r="B63" s="712" t="s">
        <v>803</v>
      </c>
      <c r="C63" s="712"/>
      <c r="D63" s="722"/>
      <c r="E63" s="722"/>
      <c r="F63" s="722"/>
      <c r="G63" s="722"/>
      <c r="H63" s="722"/>
      <c r="I63" s="722"/>
      <c r="J63" s="722"/>
      <c r="K63" s="722"/>
      <c r="L63" s="722"/>
      <c r="M63" s="722"/>
      <c r="N63" s="722"/>
      <c r="O63" s="722"/>
      <c r="P63" s="722"/>
      <c r="Q63" s="722"/>
      <c r="R63" s="722"/>
      <c r="S63" s="722">
        <f t="shared" si="2"/>
        <v>0</v>
      </c>
      <c r="T63" s="722">
        <f t="shared" si="3"/>
        <v>0</v>
      </c>
      <c r="U63" s="722">
        <f t="shared" si="4"/>
        <v>0</v>
      </c>
      <c r="V63" s="722">
        <f t="shared" si="5"/>
        <v>0</v>
      </c>
      <c r="W63" s="722">
        <f t="shared" si="6"/>
        <v>0</v>
      </c>
    </row>
    <row r="64" spans="1:23" s="721" customFormat="1" ht="12">
      <c r="A64" s="718" t="s">
        <v>484</v>
      </c>
      <c r="B64" s="712" t="s">
        <v>803</v>
      </c>
      <c r="C64" s="719"/>
      <c r="D64" s="720"/>
      <c r="E64" s="720"/>
      <c r="F64" s="720"/>
      <c r="G64" s="720"/>
      <c r="H64" s="720"/>
      <c r="I64" s="720"/>
      <c r="J64" s="720">
        <f>'Merchants(corp)'!J255/500*1000</f>
        <v>42.768000000000001</v>
      </c>
      <c r="K64" s="720">
        <f>'Merchants(corp)'!K255/500*1000</f>
        <v>81.698760000000007</v>
      </c>
      <c r="L64" s="720">
        <f>'Merchants(corp)'!L255/500*1000</f>
        <v>131.34646799999999</v>
      </c>
      <c r="M64" s="720">
        <f>'Merchants(corp)'!M255/500*1000</f>
        <v>194.05026629999998</v>
      </c>
      <c r="N64" s="720">
        <f>'Merchants(corp)'!N255/500*1000</f>
        <v>272.60990855999989</v>
      </c>
      <c r="O64" s="720">
        <f>'Merchants(corp)'!O255/500*1000</f>
        <v>370.37131250624998</v>
      </c>
      <c r="P64" s="720">
        <f>'Merchants(corp)'!P255/500*1000</f>
        <v>491.32741469377487</v>
      </c>
      <c r="R64" s="720"/>
      <c r="S64" s="720">
        <f t="shared" si="2"/>
        <v>0</v>
      </c>
      <c r="T64" s="720">
        <f t="shared" si="3"/>
        <v>42.768000000000001</v>
      </c>
      <c r="U64" s="720">
        <f t="shared" si="4"/>
        <v>213.04522800000001</v>
      </c>
      <c r="V64" s="720">
        <f t="shared" si="5"/>
        <v>466.66017485999987</v>
      </c>
      <c r="W64" s="720">
        <f t="shared" si="6"/>
        <v>861.6987272000249</v>
      </c>
    </row>
    <row r="65" spans="1:23" s="721" customFormat="1" ht="12">
      <c r="A65" s="718" t="s">
        <v>488</v>
      </c>
      <c r="B65" s="712" t="s">
        <v>803</v>
      </c>
      <c r="C65" s="719"/>
      <c r="D65" s="720"/>
      <c r="E65" s="720"/>
      <c r="F65" s="720"/>
      <c r="G65" s="720"/>
      <c r="H65" s="720"/>
      <c r="I65" s="720"/>
      <c r="J65" s="720">
        <f>'Merchants(corp)'!J175/500</f>
        <v>1980</v>
      </c>
      <c r="K65" s="720">
        <f>'Merchants(corp)'!K175/500</f>
        <v>3453.4500000000003</v>
      </c>
      <c r="L65" s="720">
        <f>'Merchants(corp)'!L175/500</f>
        <v>5069.295000000001</v>
      </c>
      <c r="M65" s="720">
        <f>'Merchants(corp)'!M175/500</f>
        <v>6838.0908750000008</v>
      </c>
      <c r="N65" s="720">
        <f>'Merchants(corp)'!N175/500</f>
        <v>8771.0931000000019</v>
      </c>
      <c r="O65" s="720">
        <f>'Merchants(corp)'!O175/500</f>
        <v>10880.300320312504</v>
      </c>
      <c r="P65" s="720">
        <f>'Merchants(corp)'!P175/500</f>
        <v>13178.500529906254</v>
      </c>
      <c r="R65" s="720"/>
      <c r="S65" s="720">
        <f t="shared" si="2"/>
        <v>0</v>
      </c>
      <c r="T65" s="720">
        <f t="shared" si="3"/>
        <v>1980</v>
      </c>
      <c r="U65" s="720">
        <f t="shared" si="4"/>
        <v>8522.7450000000008</v>
      </c>
      <c r="V65" s="720">
        <f t="shared" si="5"/>
        <v>15609.183975000004</v>
      </c>
      <c r="W65" s="720">
        <f t="shared" si="6"/>
        <v>24058.800850218759</v>
      </c>
    </row>
    <row r="66" spans="1:23" s="721" customFormat="1" ht="12">
      <c r="A66" s="718" t="s">
        <v>459</v>
      </c>
      <c r="B66" s="712" t="s">
        <v>803</v>
      </c>
      <c r="C66" s="719"/>
      <c r="D66" s="720"/>
      <c r="E66" s="720"/>
      <c r="F66" s="720"/>
      <c r="G66" s="720"/>
      <c r="H66" s="720"/>
      <c r="I66" s="720"/>
      <c r="J66" s="720"/>
      <c r="K66" s="720"/>
      <c r="L66" s="720"/>
      <c r="M66" s="720"/>
      <c r="N66" s="720"/>
      <c r="O66" s="720"/>
      <c r="P66" s="720"/>
      <c r="R66" s="720"/>
      <c r="S66" s="720">
        <f t="shared" si="2"/>
        <v>0</v>
      </c>
      <c r="T66" s="720">
        <f t="shared" si="3"/>
        <v>0</v>
      </c>
      <c r="U66" s="720">
        <f t="shared" si="4"/>
        <v>0</v>
      </c>
      <c r="V66" s="720">
        <f t="shared" si="5"/>
        <v>0</v>
      </c>
      <c r="W66" s="720">
        <f t="shared" si="6"/>
        <v>0</v>
      </c>
    </row>
    <row r="67" spans="1:23" s="721" customFormat="1" ht="12">
      <c r="A67" s="718" t="s">
        <v>806</v>
      </c>
      <c r="B67" s="712" t="s">
        <v>803</v>
      </c>
      <c r="C67" s="719"/>
      <c r="D67" s="720"/>
      <c r="E67" s="720"/>
      <c r="F67" s="720"/>
      <c r="G67" s="720"/>
      <c r="H67" s="720"/>
      <c r="I67" s="720"/>
      <c r="J67" s="720"/>
      <c r="K67" s="720"/>
      <c r="L67" s="720"/>
      <c r="M67" s="720"/>
      <c r="N67" s="720"/>
      <c r="O67" s="720"/>
      <c r="P67" s="720"/>
      <c r="R67" s="720"/>
      <c r="S67" s="720">
        <f t="shared" si="2"/>
        <v>0</v>
      </c>
      <c r="T67" s="720">
        <f t="shared" si="3"/>
        <v>0</v>
      </c>
      <c r="U67" s="720">
        <f t="shared" si="4"/>
        <v>0</v>
      </c>
      <c r="V67" s="720">
        <f t="shared" si="5"/>
        <v>0</v>
      </c>
      <c r="W67" s="720">
        <f t="shared" si="6"/>
        <v>0</v>
      </c>
    </row>
    <row r="68" spans="1:23" s="721" customFormat="1" ht="12">
      <c r="A68" s="718" t="s">
        <v>541</v>
      </c>
      <c r="B68" s="712" t="s">
        <v>803</v>
      </c>
      <c r="C68" s="719"/>
      <c r="D68" s="720"/>
      <c r="E68" s="720">
        <f>'Merchants(corp)'!E197</f>
        <v>0</v>
      </c>
      <c r="F68" s="720">
        <f>'Merchants(corp)'!F197</f>
        <v>0</v>
      </c>
      <c r="G68" s="720">
        <f>'Merchants(corp)'!G197</f>
        <v>0.98940529926782494</v>
      </c>
      <c r="H68" s="720">
        <f>'Merchants(corp)'!H197</f>
        <v>3.7224466785449515</v>
      </c>
      <c r="I68" s="720">
        <f>'Merchants(corp)'!I197</f>
        <v>73.866033741793316</v>
      </c>
      <c r="J68" s="720">
        <f>'Merchants(corp)'!J197</f>
        <v>286.10781142450952</v>
      </c>
      <c r="K68" s="720">
        <f>'Merchants(corp)'!K197</f>
        <v>507.73783037489221</v>
      </c>
      <c r="L68" s="720">
        <f>'Merchants(corp)'!L197</f>
        <v>756.13145540931669</v>
      </c>
      <c r="M68" s="720">
        <f>'Merchants(corp)'!M197</f>
        <v>940.75529184278753</v>
      </c>
      <c r="N68" s="720">
        <f>'Merchants(corp)'!N197</f>
        <v>1050.6740456435907</v>
      </c>
      <c r="O68" s="720">
        <f>'Merchants(corp)'!O197</f>
        <v>1207.6799467103215</v>
      </c>
      <c r="P68" s="720">
        <f>'Merchants(corp)'!P197</f>
        <v>1251.8252179093918</v>
      </c>
      <c r="R68" s="720"/>
      <c r="S68" s="720">
        <f t="shared" si="2"/>
        <v>4.7118519778127768</v>
      </c>
      <c r="T68" s="720">
        <f t="shared" si="3"/>
        <v>359.97384516630285</v>
      </c>
      <c r="U68" s="720">
        <f t="shared" si="4"/>
        <v>1263.8692857842088</v>
      </c>
      <c r="V68" s="720">
        <f t="shared" si="5"/>
        <v>1991.4293374863782</v>
      </c>
      <c r="W68" s="720">
        <f t="shared" si="6"/>
        <v>2459.5051646197135</v>
      </c>
    </row>
    <row r="69" spans="1:23" s="721" customFormat="1" ht="12">
      <c r="A69" s="718" t="s">
        <v>460</v>
      </c>
      <c r="B69" s="712" t="s">
        <v>803</v>
      </c>
      <c r="C69" s="719"/>
      <c r="D69" s="720"/>
      <c r="E69" s="720"/>
      <c r="F69" s="720"/>
      <c r="G69" s="720"/>
      <c r="H69" s="720"/>
      <c r="I69" s="720">
        <f>'Криейтеры (ЮЛ)'!I65</f>
        <v>0</v>
      </c>
      <c r="J69" s="720">
        <f>'Криейтеры (ЮЛ)'!J65</f>
        <v>0</v>
      </c>
      <c r="K69" s="720">
        <f>'Криейтеры (ЮЛ)'!K65</f>
        <v>0</v>
      </c>
      <c r="L69" s="720">
        <f>'Криейтеры (ЮЛ)'!L65</f>
        <v>0</v>
      </c>
      <c r="M69" s="720">
        <f>'Криейтеры (ЮЛ)'!M65</f>
        <v>0</v>
      </c>
      <c r="N69" s="720">
        <f>'Криейтеры (ЮЛ)'!N65</f>
        <v>0</v>
      </c>
      <c r="O69" s="720">
        <f>'Криейтеры (ЮЛ)'!O65</f>
        <v>0</v>
      </c>
      <c r="P69" s="720">
        <f>'Криейтеры (ЮЛ)'!P65</f>
        <v>0</v>
      </c>
      <c r="R69" s="720"/>
      <c r="S69" s="720">
        <f t="shared" si="2"/>
        <v>0</v>
      </c>
      <c r="T69" s="720">
        <f t="shared" si="3"/>
        <v>0</v>
      </c>
      <c r="U69" s="720">
        <f t="shared" si="4"/>
        <v>0</v>
      </c>
      <c r="V69" s="720">
        <f t="shared" si="5"/>
        <v>0</v>
      </c>
      <c r="W69" s="720">
        <f t="shared" si="6"/>
        <v>0</v>
      </c>
    </row>
    <row r="70" spans="1:23" s="721" customFormat="1" ht="12">
      <c r="A70" s="718" t="s">
        <v>318</v>
      </c>
      <c r="B70" s="712" t="s">
        <v>803</v>
      </c>
      <c r="C70" s="719"/>
      <c r="D70" s="720"/>
      <c r="E70" s="720"/>
      <c r="F70" s="720"/>
      <c r="G70" s="720"/>
      <c r="H70" s="720">
        <f>Goals!H69</f>
        <v>-17.279148074537414</v>
      </c>
      <c r="I70" s="720">
        <f>Goals!I69</f>
        <v>0</v>
      </c>
      <c r="J70" s="720">
        <f>Goals!J69</f>
        <v>1026.3890299003265</v>
      </c>
      <c r="K70" s="720">
        <f>Goals!K69</f>
        <v>0</v>
      </c>
      <c r="L70" s="720">
        <f>Goals!L69</f>
        <v>4065.4601959042238</v>
      </c>
      <c r="M70" s="720">
        <f>Goals!M69</f>
        <v>0</v>
      </c>
      <c r="N70" s="720">
        <f>Goals!N69</f>
        <v>10005.398933237404</v>
      </c>
      <c r="O70" s="720">
        <f>Goals!O69</f>
        <v>0</v>
      </c>
      <c r="P70" s="720">
        <f>Goals!P69</f>
        <v>17305.684368287002</v>
      </c>
      <c r="R70" s="720"/>
      <c r="S70" s="720">
        <f t="shared" si="2"/>
        <v>-17.279148074537414</v>
      </c>
      <c r="T70" s="720">
        <f t="shared" si="3"/>
        <v>1026.3890299003265</v>
      </c>
      <c r="U70" s="720">
        <f t="shared" si="4"/>
        <v>4065.4601959042238</v>
      </c>
      <c r="V70" s="720">
        <f t="shared" si="5"/>
        <v>10005.398933237404</v>
      </c>
      <c r="W70" s="720">
        <f t="shared" si="6"/>
        <v>17305.684368287002</v>
      </c>
    </row>
    <row r="71" spans="1:23" s="127" customFormat="1" ht="15.6">
      <c r="A71" s="486" t="s">
        <v>472</v>
      </c>
      <c r="B71" s="487" t="s">
        <v>803</v>
      </c>
      <c r="C71" s="487"/>
      <c r="D71" s="491">
        <f>SUM(D73:D76)</f>
        <v>0</v>
      </c>
      <c r="E71" s="514">
        <f t="shared" ref="E71:P71" si="43">SUM(E72:E76)</f>
        <v>0</v>
      </c>
      <c r="F71" s="514">
        <f t="shared" si="43"/>
        <v>0</v>
      </c>
      <c r="G71" s="514">
        <f t="shared" si="43"/>
        <v>-187.55751202373887</v>
      </c>
      <c r="H71" s="514">
        <f t="shared" si="43"/>
        <v>-493.4011733874994</v>
      </c>
      <c r="I71" s="514">
        <f t="shared" si="43"/>
        <v>-2313.1711320243148</v>
      </c>
      <c r="J71" s="514">
        <f t="shared" si="43"/>
        <v>-7788.1869744254664</v>
      </c>
      <c r="K71" s="514">
        <f t="shared" si="43"/>
        <v>-10577.012024305162</v>
      </c>
      <c r="L71" s="514">
        <f t="shared" si="43"/>
        <v>-15154.047475786643</v>
      </c>
      <c r="M71" s="514">
        <f t="shared" si="43"/>
        <v>-16581.210862116193</v>
      </c>
      <c r="N71" s="514">
        <f t="shared" si="43"/>
        <v>-20269.512339578465</v>
      </c>
      <c r="O71" s="514">
        <f t="shared" si="43"/>
        <v>-21077.519498824462</v>
      </c>
      <c r="P71" s="514">
        <f t="shared" si="43"/>
        <v>-24315.36678570649</v>
      </c>
      <c r="R71" s="514"/>
      <c r="S71" s="514">
        <f t="shared" si="2"/>
        <v>-680.95868541123832</v>
      </c>
      <c r="T71" s="514">
        <f t="shared" si="3"/>
        <v>-10101.358106449781</v>
      </c>
      <c r="U71" s="514">
        <f t="shared" si="4"/>
        <v>-25731.059500091804</v>
      </c>
      <c r="V71" s="514">
        <f t="shared" si="5"/>
        <v>-36850.723201694658</v>
      </c>
      <c r="W71" s="514">
        <f t="shared" si="6"/>
        <v>-45392.886284530949</v>
      </c>
    </row>
    <row r="72" spans="1:23" s="515" customFormat="1" ht="12">
      <c r="A72" s="512" t="s">
        <v>812</v>
      </c>
      <c r="B72" s="487" t="s">
        <v>803</v>
      </c>
      <c r="C72" s="513"/>
      <c r="D72" s="514"/>
      <c r="E72" s="514">
        <f>'packages (indiv)'!BR55</f>
        <v>0</v>
      </c>
      <c r="F72" s="514">
        <f>'packages (indiv)'!BS55</f>
        <v>0</v>
      </c>
      <c r="G72" s="514">
        <f>'packages (indiv)'!BT55</f>
        <v>-187.55751202373887</v>
      </c>
      <c r="H72" s="514">
        <f>'packages (indiv)'!BU55</f>
        <v>-493.4011733874994</v>
      </c>
      <c r="I72" s="514">
        <f>'packages (indiv)'!BV55</f>
        <v>-2313.1711320243148</v>
      </c>
      <c r="J72" s="514">
        <f>'packages (indiv)'!BW55</f>
        <v>-5336.586974425466</v>
      </c>
      <c r="K72" s="514">
        <f>'packages (indiv)'!BX55</f>
        <v>-6431.9750243051622</v>
      </c>
      <c r="L72" s="514">
        <f>'packages (indiv)'!BY55</f>
        <v>-9242.5033757866422</v>
      </c>
      <c r="M72" s="514">
        <f>'packages (indiv)'!BZ55</f>
        <v>-8814.1408646161926</v>
      </c>
      <c r="N72" s="514">
        <f>'packages (indiv)'!CA55</f>
        <v>-10538.808417578464</v>
      </c>
      <c r="O72" s="514">
        <f>'packages (indiv)'!CB55</f>
        <v>-9252.26054991821</v>
      </c>
      <c r="P72" s="514">
        <f>'packages (indiv)'!CC55</f>
        <v>-10237.407140067118</v>
      </c>
      <c r="R72" s="514"/>
      <c r="S72" s="514">
        <f t="shared" si="2"/>
        <v>-680.95868541123832</v>
      </c>
      <c r="T72" s="514">
        <f t="shared" si="3"/>
        <v>-7649.7581064497808</v>
      </c>
      <c r="U72" s="514">
        <f t="shared" si="4"/>
        <v>-15674.478400091804</v>
      </c>
      <c r="V72" s="514">
        <f t="shared" si="5"/>
        <v>-19352.949282194655</v>
      </c>
      <c r="W72" s="514">
        <f t="shared" si="6"/>
        <v>-19489.667689985326</v>
      </c>
    </row>
    <row r="73" spans="1:23" s="515" customFormat="1" ht="12">
      <c r="A73" s="512" t="s">
        <v>459</v>
      </c>
      <c r="B73" s="487" t="s">
        <v>803</v>
      </c>
      <c r="C73" s="513"/>
      <c r="D73" s="514"/>
      <c r="E73" s="514"/>
      <c r="F73" s="514"/>
      <c r="G73" s="514"/>
      <c r="H73" s="514"/>
      <c r="I73" s="514"/>
      <c r="J73" s="514"/>
      <c r="K73" s="514"/>
      <c r="L73" s="514"/>
      <c r="M73" s="514"/>
      <c r="N73" s="514"/>
      <c r="O73" s="514"/>
      <c r="P73" s="514"/>
      <c r="R73" s="514"/>
      <c r="S73" s="514">
        <f t="shared" ref="S73:S125" si="44">E73+F73+G73+H73</f>
        <v>0</v>
      </c>
      <c r="T73" s="514">
        <f t="shared" ref="T73:T125" si="45">I73+J73</f>
        <v>0</v>
      </c>
      <c r="U73" s="514">
        <f t="shared" ref="U73:U125" si="46">K73+L73</f>
        <v>0</v>
      </c>
      <c r="V73" s="514">
        <f t="shared" ref="V73:V125" si="47">M73+N73</f>
        <v>0</v>
      </c>
      <c r="W73" s="514">
        <f t="shared" ref="W73:W125" si="48">O73+P73</f>
        <v>0</v>
      </c>
    </row>
    <row r="74" spans="1:23" s="515" customFormat="1" ht="12">
      <c r="A74" s="512" t="s">
        <v>488</v>
      </c>
      <c r="B74" s="487" t="s">
        <v>803</v>
      </c>
      <c r="C74" s="513"/>
      <c r="D74" s="514"/>
      <c r="E74" s="514"/>
      <c r="F74" s="514"/>
      <c r="G74" s="514"/>
      <c r="H74" s="514"/>
      <c r="I74" s="514"/>
      <c r="J74" s="514">
        <f>'Merchants(corp)'!J177/500</f>
        <v>-2160</v>
      </c>
      <c r="K74" s="514">
        <f>'Merchants(corp)'!K177/500</f>
        <v>-3588</v>
      </c>
      <c r="L74" s="514">
        <f>'Merchants(corp)'!L177/500</f>
        <v>-5016</v>
      </c>
      <c r="M74" s="514">
        <f>'Merchants(corp)'!M177/500</f>
        <v>-6444</v>
      </c>
      <c r="N74" s="514">
        <f>'Merchants(corp)'!N177/500</f>
        <v>-7872</v>
      </c>
      <c r="O74" s="514">
        <f>'Merchants(corp)'!O177/500</f>
        <v>-9300</v>
      </c>
      <c r="P74" s="514">
        <f>'Merchants(corp)'!P177/500</f>
        <v>-10728</v>
      </c>
      <c r="R74" s="514"/>
      <c r="S74" s="514">
        <f t="shared" si="44"/>
        <v>0</v>
      </c>
      <c r="T74" s="514">
        <f t="shared" si="45"/>
        <v>-2160</v>
      </c>
      <c r="U74" s="514">
        <f t="shared" si="46"/>
        <v>-8604</v>
      </c>
      <c r="V74" s="514">
        <f t="shared" si="47"/>
        <v>-14316</v>
      </c>
      <c r="W74" s="514">
        <f t="shared" si="48"/>
        <v>-20028</v>
      </c>
    </row>
    <row r="75" spans="1:23" s="515" customFormat="1" ht="12">
      <c r="A75" s="512" t="s">
        <v>484</v>
      </c>
      <c r="B75" s="487" t="s">
        <v>803</v>
      </c>
      <c r="C75" s="513"/>
      <c r="D75" s="514"/>
      <c r="E75" s="514"/>
      <c r="F75" s="514"/>
      <c r="G75" s="514"/>
      <c r="H75" s="514"/>
      <c r="I75" s="514"/>
      <c r="J75" s="514">
        <f>'Merchants(corp)'!J259/500*1000</f>
        <v>-291.60000000000002</v>
      </c>
      <c r="K75" s="514">
        <f>'Merchants(corp)'!K259/500*1000</f>
        <v>-557.03700000000003</v>
      </c>
      <c r="L75" s="514">
        <f>'Merchants(corp)'!L259/500*1000</f>
        <v>-895.54410000000007</v>
      </c>
      <c r="M75" s="514">
        <f>'Merchants(corp)'!M259/500*1000</f>
        <v>-1323.0699975</v>
      </c>
      <c r="N75" s="514">
        <f>'Merchants(corp)'!N259/500*1000</f>
        <v>-1858.7039219999995</v>
      </c>
      <c r="O75" s="514">
        <f>'Merchants(corp)'!O259/500*1000</f>
        <v>-2525.2589489062502</v>
      </c>
      <c r="P75" s="514">
        <f>'Merchants(corp)'!P259/500*1000</f>
        <v>-3349.9596456393747</v>
      </c>
      <c r="R75" s="514"/>
      <c r="S75" s="514">
        <f t="shared" si="44"/>
        <v>0</v>
      </c>
      <c r="T75" s="514">
        <f t="shared" si="45"/>
        <v>-291.60000000000002</v>
      </c>
      <c r="U75" s="514">
        <f t="shared" si="46"/>
        <v>-1452.5811000000001</v>
      </c>
      <c r="V75" s="514">
        <f t="shared" si="47"/>
        <v>-3181.7739194999995</v>
      </c>
      <c r="W75" s="514">
        <f t="shared" si="48"/>
        <v>-5875.2185945456249</v>
      </c>
    </row>
    <row r="76" spans="1:23" s="515" customFormat="1" ht="12">
      <c r="A76" s="512" t="s">
        <v>806</v>
      </c>
      <c r="B76" s="487" t="s">
        <v>803</v>
      </c>
      <c r="C76" s="513"/>
      <c r="D76" s="514"/>
      <c r="E76" s="514"/>
      <c r="F76" s="514"/>
      <c r="G76" s="514"/>
      <c r="H76" s="514"/>
      <c r="I76" s="514"/>
      <c r="J76" s="514"/>
      <c r="K76" s="514"/>
      <c r="L76" s="514"/>
      <c r="M76" s="514"/>
      <c r="N76" s="514"/>
      <c r="O76" s="514"/>
      <c r="P76" s="514"/>
      <c r="R76" s="514"/>
      <c r="S76" s="514">
        <f t="shared" si="44"/>
        <v>0</v>
      </c>
      <c r="T76" s="514">
        <f t="shared" si="45"/>
        <v>0</v>
      </c>
      <c r="U76" s="514">
        <f t="shared" si="46"/>
        <v>0</v>
      </c>
      <c r="V76" s="514">
        <f t="shared" si="47"/>
        <v>0</v>
      </c>
      <c r="W76" s="514">
        <f t="shared" si="48"/>
        <v>0</v>
      </c>
    </row>
    <row r="77" spans="1:23" s="127" customFormat="1" ht="15.6">
      <c r="A77" s="486" t="s">
        <v>525</v>
      </c>
      <c r="B77" s="487" t="s">
        <v>803</v>
      </c>
      <c r="C77" s="487"/>
      <c r="K77" s="517">
        <f>'Merchants(corp)'!K194</f>
        <v>478.40000000000009</v>
      </c>
      <c r="L77" s="517">
        <f>'Merchants(corp)'!L194</f>
        <v>668.80000000000007</v>
      </c>
      <c r="M77" s="517">
        <f>'Merchants(corp)'!M194</f>
        <v>859.2</v>
      </c>
      <c r="N77" s="517">
        <f>'Merchants(corp)'!N194</f>
        <v>1049.6000000000001</v>
      </c>
      <c r="O77" s="517">
        <f>'Merchants(corp)'!O194</f>
        <v>1240.0000000000002</v>
      </c>
      <c r="P77" s="517">
        <f>'Merchants(corp)'!P194</f>
        <v>1430.4</v>
      </c>
      <c r="R77" s="517"/>
      <c r="S77" s="517">
        <f t="shared" si="44"/>
        <v>0</v>
      </c>
      <c r="T77" s="517">
        <f t="shared" si="45"/>
        <v>0</v>
      </c>
      <c r="U77" s="517">
        <f t="shared" si="46"/>
        <v>1147.2000000000003</v>
      </c>
      <c r="V77" s="517">
        <f t="shared" si="47"/>
        <v>1908.8000000000002</v>
      </c>
      <c r="W77" s="517">
        <f t="shared" si="48"/>
        <v>2670.4000000000005</v>
      </c>
    </row>
    <row r="78" spans="1:23" s="127" customFormat="1" ht="15.6">
      <c r="A78" s="486" t="s">
        <v>526</v>
      </c>
      <c r="B78" s="487" t="s">
        <v>803</v>
      </c>
      <c r="C78" s="487"/>
      <c r="D78" s="517">
        <f>SUM(D79:D82)</f>
        <v>0</v>
      </c>
      <c r="E78" s="517">
        <f t="shared" ref="E78:O78" si="49">SUM(E79:E82)</f>
        <v>0</v>
      </c>
      <c r="F78" s="517">
        <f t="shared" si="49"/>
        <v>0</v>
      </c>
      <c r="G78" s="517">
        <f t="shared" si="49"/>
        <v>0</v>
      </c>
      <c r="H78" s="517">
        <f t="shared" si="49"/>
        <v>0</v>
      </c>
      <c r="I78" s="517">
        <f t="shared" si="49"/>
        <v>0</v>
      </c>
      <c r="J78" s="517">
        <f t="shared" si="49"/>
        <v>-7.2</v>
      </c>
      <c r="K78" s="517">
        <f t="shared" si="49"/>
        <v>-11.960000000000003</v>
      </c>
      <c r="L78" s="517">
        <f t="shared" si="49"/>
        <v>-16.720000000000002</v>
      </c>
      <c r="M78" s="517">
        <f t="shared" si="49"/>
        <v>-21.48</v>
      </c>
      <c r="N78" s="517">
        <f t="shared" si="49"/>
        <v>-26.240000000000002</v>
      </c>
      <c r="O78" s="517">
        <f t="shared" si="49"/>
        <v>-31</v>
      </c>
      <c r="P78" s="517">
        <f>SUM(P79:P82)</f>
        <v>-35.76</v>
      </c>
      <c r="S78" s="517">
        <f t="shared" si="44"/>
        <v>0</v>
      </c>
      <c r="T78" s="517">
        <f t="shared" si="45"/>
        <v>-7.2</v>
      </c>
      <c r="U78" s="517">
        <f t="shared" si="46"/>
        <v>-28.680000000000007</v>
      </c>
      <c r="V78" s="517">
        <f t="shared" si="47"/>
        <v>-47.72</v>
      </c>
      <c r="W78" s="517">
        <f t="shared" si="48"/>
        <v>-66.759999999999991</v>
      </c>
    </row>
    <row r="79" spans="1:23" s="515" customFormat="1" ht="12">
      <c r="A79" s="512" t="s">
        <v>459</v>
      </c>
      <c r="B79" s="487" t="s">
        <v>803</v>
      </c>
      <c r="C79" s="513"/>
      <c r="D79" s="514"/>
      <c r="E79" s="514"/>
      <c r="F79" s="514"/>
      <c r="G79" s="514"/>
      <c r="H79" s="514"/>
      <c r="I79" s="514">
        <f>'Криейтеры (ЮЛ)'!I51/500</f>
        <v>0</v>
      </c>
      <c r="J79" s="514">
        <f>'Криейтеры (ЮЛ)'!J51/500</f>
        <v>0</v>
      </c>
      <c r="K79" s="514">
        <f>'Криейтеры (ЮЛ)'!K51/500</f>
        <v>0</v>
      </c>
      <c r="L79" s="514">
        <f>'Криейтеры (ЮЛ)'!L51/500</f>
        <v>0</v>
      </c>
      <c r="M79" s="514">
        <f>'Криейтеры (ЮЛ)'!M51/500</f>
        <v>0</v>
      </c>
      <c r="N79" s="514">
        <f>'Криейтеры (ЮЛ)'!N51/500</f>
        <v>0</v>
      </c>
      <c r="O79" s="514">
        <f>'Криейтеры (ЮЛ)'!O51/500</f>
        <v>0</v>
      </c>
      <c r="P79" s="514">
        <f>'Криейтеры (ЮЛ)'!P51/500</f>
        <v>0</v>
      </c>
      <c r="R79" s="514"/>
      <c r="S79" s="514">
        <f>E79+F79+G79+H79</f>
        <v>0</v>
      </c>
      <c r="T79" s="514">
        <f>I79+J79</f>
        <v>0</v>
      </c>
      <c r="U79" s="514">
        <f>K79+L79</f>
        <v>0</v>
      </c>
      <c r="V79" s="514">
        <f>M79+N79</f>
        <v>0</v>
      </c>
      <c r="W79" s="514">
        <f>O79+P79</f>
        <v>0</v>
      </c>
    </row>
    <row r="80" spans="1:23" s="127" customFormat="1">
      <c r="A80" s="512" t="s">
        <v>815</v>
      </c>
      <c r="B80" s="487" t="s">
        <v>803</v>
      </c>
      <c r="C80" s="487"/>
      <c r="D80" s="491"/>
      <c r="E80" s="514"/>
      <c r="F80" s="514"/>
      <c r="G80" s="514"/>
      <c r="H80" s="514"/>
      <c r="I80" s="514"/>
      <c r="J80" s="514"/>
      <c r="K80" s="514"/>
      <c r="L80" s="514"/>
      <c r="M80" s="514"/>
      <c r="N80" s="514"/>
      <c r="O80" s="514"/>
      <c r="P80" s="514"/>
      <c r="Q80" s="491"/>
      <c r="R80" s="514"/>
      <c r="S80" s="514">
        <f>E80+F80+G80+H80</f>
        <v>0</v>
      </c>
      <c r="T80" s="514">
        <f>I80+J80</f>
        <v>0</v>
      </c>
      <c r="U80" s="514">
        <f>K80+L80</f>
        <v>0</v>
      </c>
      <c r="V80" s="514">
        <f>M80+N80</f>
        <v>0</v>
      </c>
      <c r="W80" s="514">
        <f>O80+P80</f>
        <v>0</v>
      </c>
    </row>
    <row r="81" spans="1:24" s="515" customFormat="1" ht="12">
      <c r="A81" s="512" t="s">
        <v>484</v>
      </c>
      <c r="B81" s="487" t="s">
        <v>803</v>
      </c>
      <c r="C81" s="513"/>
      <c r="D81" s="514"/>
      <c r="E81" s="514"/>
      <c r="F81" s="514"/>
      <c r="G81" s="514"/>
      <c r="H81" s="514"/>
      <c r="I81" s="514"/>
      <c r="J81" s="514"/>
      <c r="K81" s="514"/>
      <c r="L81" s="514"/>
      <c r="M81" s="514"/>
      <c r="N81" s="514"/>
      <c r="O81" s="514"/>
      <c r="P81" s="514"/>
      <c r="R81" s="514"/>
      <c r="S81" s="514">
        <f>E81+F81+G81+H81</f>
        <v>0</v>
      </c>
      <c r="T81" s="514">
        <f>I81+J81</f>
        <v>0</v>
      </c>
      <c r="U81" s="514">
        <f>K81+L81</f>
        <v>0</v>
      </c>
      <c r="V81" s="514">
        <f>M81+N81</f>
        <v>0</v>
      </c>
      <c r="W81" s="514">
        <f>O81+P81</f>
        <v>0</v>
      </c>
    </row>
    <row r="82" spans="1:24" s="515" customFormat="1" ht="12">
      <c r="A82" s="512" t="s">
        <v>806</v>
      </c>
      <c r="B82" s="487" t="s">
        <v>803</v>
      </c>
      <c r="C82" s="513"/>
      <c r="D82" s="514"/>
      <c r="E82" s="514"/>
      <c r="F82" s="514"/>
      <c r="G82" s="514"/>
      <c r="H82" s="514"/>
      <c r="I82" s="514">
        <f>'Merchants(corp)'!I105/500</f>
        <v>0</v>
      </c>
      <c r="J82" s="514">
        <f>'Merchants(corp)'!J105/500</f>
        <v>-7.2</v>
      </c>
      <c r="K82" s="514">
        <f>'Merchants(corp)'!K105/500</f>
        <v>-11.960000000000003</v>
      </c>
      <c r="L82" s="514">
        <f>'Merchants(corp)'!L105/500</f>
        <v>-16.720000000000002</v>
      </c>
      <c r="M82" s="514">
        <f>'Merchants(corp)'!M105/500</f>
        <v>-21.48</v>
      </c>
      <c r="N82" s="514">
        <f>'Merchants(corp)'!N105/500</f>
        <v>-26.240000000000002</v>
      </c>
      <c r="O82" s="514">
        <f>'Merchants(corp)'!O105/500</f>
        <v>-31</v>
      </c>
      <c r="P82" s="514">
        <f>'Merchants(corp)'!P105/500</f>
        <v>-35.76</v>
      </c>
      <c r="R82" s="514"/>
      <c r="S82" s="514">
        <f>E82+F82+G82+H82</f>
        <v>0</v>
      </c>
      <c r="T82" s="514">
        <f>I82+J82</f>
        <v>-7.2</v>
      </c>
      <c r="U82" s="514">
        <f>K82+L82</f>
        <v>-28.680000000000007</v>
      </c>
      <c r="V82" s="514">
        <f>M82+N82</f>
        <v>-47.72</v>
      </c>
      <c r="W82" s="514">
        <f>O82+P82</f>
        <v>-66.759999999999991</v>
      </c>
    </row>
    <row r="83" spans="1:24" s="485" customFormat="1" ht="16.2">
      <c r="A83" s="489" t="s">
        <v>527</v>
      </c>
      <c r="B83" s="487" t="s">
        <v>803</v>
      </c>
      <c r="C83" s="487"/>
      <c r="D83" s="500">
        <f t="shared" ref="D83:P83" si="50">D58+D59+D71+D77+D78</f>
        <v>0</v>
      </c>
      <c r="E83" s="500">
        <f t="shared" si="50"/>
        <v>0</v>
      </c>
      <c r="F83" s="500">
        <f t="shared" si="50"/>
        <v>0</v>
      </c>
      <c r="G83" s="500">
        <f t="shared" si="50"/>
        <v>49.821477087955145</v>
      </c>
      <c r="H83" s="500">
        <f t="shared" si="50"/>
        <v>43.183958696921877</v>
      </c>
      <c r="I83" s="500">
        <f t="shared" si="50"/>
        <v>1556.2426242777519</v>
      </c>
      <c r="J83" s="500">
        <f t="shared" si="50"/>
        <v>3807.9647400016365</v>
      </c>
      <c r="K83" s="500">
        <f t="shared" si="50"/>
        <v>10206.238548437392</v>
      </c>
      <c r="L83" s="500">
        <f t="shared" si="50"/>
        <v>22892.330770435139</v>
      </c>
      <c r="M83" s="500">
        <f t="shared" si="50"/>
        <v>33360.282054837771</v>
      </c>
      <c r="N83" s="500">
        <f t="shared" si="50"/>
        <v>53817.661597308164</v>
      </c>
      <c r="O83" s="500">
        <f t="shared" si="50"/>
        <v>57180.974534505774</v>
      </c>
      <c r="P83" s="500">
        <f t="shared" si="50"/>
        <v>85020.933362263269</v>
      </c>
      <c r="R83" s="500"/>
      <c r="S83" s="500">
        <f t="shared" si="44"/>
        <v>93.005435784877022</v>
      </c>
      <c r="T83" s="500">
        <f t="shared" si="45"/>
        <v>5364.2073642793885</v>
      </c>
      <c r="U83" s="500">
        <f t="shared" si="46"/>
        <v>33098.569318872527</v>
      </c>
      <c r="V83" s="500">
        <f t="shared" si="47"/>
        <v>87177.943652145943</v>
      </c>
      <c r="W83" s="500">
        <f t="shared" si="48"/>
        <v>142201.90789676906</v>
      </c>
    </row>
    <row r="84" spans="1:24" s="485" customFormat="1" ht="16.2">
      <c r="A84" s="489" t="s">
        <v>475</v>
      </c>
      <c r="B84" s="487" t="s">
        <v>803</v>
      </c>
      <c r="C84" s="487"/>
      <c r="D84" s="546">
        <v>0</v>
      </c>
      <c r="E84" s="546">
        <v>0</v>
      </c>
      <c r="F84" s="546">
        <v>0</v>
      </c>
      <c r="G84" s="546">
        <v>0</v>
      </c>
      <c r="H84" s="546">
        <v>0</v>
      </c>
      <c r="I84" s="546">
        <v>0</v>
      </c>
      <c r="J84" s="546">
        <v>0</v>
      </c>
      <c r="K84" s="546">
        <v>0</v>
      </c>
      <c r="L84" s="546">
        <v>0</v>
      </c>
      <c r="M84" s="546">
        <v>0</v>
      </c>
      <c r="N84" s="546">
        <v>0</v>
      </c>
      <c r="O84" s="546">
        <v>0</v>
      </c>
      <c r="P84" s="546">
        <v>0</v>
      </c>
      <c r="R84" s="546"/>
      <c r="S84" s="546">
        <f t="shared" si="44"/>
        <v>0</v>
      </c>
      <c r="T84" s="546">
        <f t="shared" si="45"/>
        <v>0</v>
      </c>
      <c r="U84" s="546">
        <f t="shared" si="46"/>
        <v>0</v>
      </c>
      <c r="V84" s="546">
        <f t="shared" si="47"/>
        <v>0</v>
      </c>
      <c r="W84" s="546">
        <f t="shared" si="48"/>
        <v>0</v>
      </c>
    </row>
    <row r="85" spans="1:24" s="127" customFormat="1" ht="16.2">
      <c r="A85" s="486" t="s">
        <v>539</v>
      </c>
      <c r="B85" s="487" t="s">
        <v>803</v>
      </c>
      <c r="C85" s="487"/>
      <c r="D85" s="499">
        <f t="shared" ref="D85:P85" si="51">D83+D84</f>
        <v>0</v>
      </c>
      <c r="E85" s="499">
        <f t="shared" si="51"/>
        <v>0</v>
      </c>
      <c r="F85" s="499">
        <f t="shared" si="51"/>
        <v>0</v>
      </c>
      <c r="G85" s="499">
        <f t="shared" si="51"/>
        <v>49.821477087955145</v>
      </c>
      <c r="H85" s="499">
        <f t="shared" si="51"/>
        <v>43.183958696921877</v>
      </c>
      <c r="I85" s="499">
        <f t="shared" si="51"/>
        <v>1556.2426242777519</v>
      </c>
      <c r="J85" s="499">
        <f t="shared" si="51"/>
        <v>3807.9647400016365</v>
      </c>
      <c r="K85" s="499">
        <f t="shared" si="51"/>
        <v>10206.238548437392</v>
      </c>
      <c r="L85" s="499">
        <f t="shared" si="51"/>
        <v>22892.330770435139</v>
      </c>
      <c r="M85" s="499">
        <f t="shared" si="51"/>
        <v>33360.282054837771</v>
      </c>
      <c r="N85" s="499">
        <f t="shared" si="51"/>
        <v>53817.661597308164</v>
      </c>
      <c r="O85" s="499">
        <f t="shared" si="51"/>
        <v>57180.974534505774</v>
      </c>
      <c r="P85" s="499">
        <f t="shared" si="51"/>
        <v>85020.933362263269</v>
      </c>
      <c r="R85" s="499"/>
      <c r="S85" s="499">
        <f t="shared" si="44"/>
        <v>93.005435784877022</v>
      </c>
      <c r="T85" s="499">
        <f t="shared" si="45"/>
        <v>5364.2073642793885</v>
      </c>
      <c r="U85" s="499">
        <f t="shared" si="46"/>
        <v>33098.569318872527</v>
      </c>
      <c r="V85" s="499">
        <f t="shared" si="47"/>
        <v>87177.943652145943</v>
      </c>
      <c r="W85" s="499">
        <f t="shared" si="48"/>
        <v>142201.90789676906</v>
      </c>
    </row>
    <row r="86" spans="1:24" s="127" customFormat="1" ht="15.6">
      <c r="A86" s="486" t="s">
        <v>540</v>
      </c>
      <c r="B86" s="487" t="s">
        <v>803</v>
      </c>
      <c r="C86" s="487"/>
      <c r="S86" s="127">
        <f t="shared" si="44"/>
        <v>0</v>
      </c>
      <c r="T86" s="127">
        <f t="shared" si="45"/>
        <v>0</v>
      </c>
      <c r="U86" s="127">
        <f t="shared" si="46"/>
        <v>0</v>
      </c>
      <c r="V86" s="127">
        <f t="shared" si="47"/>
        <v>0</v>
      </c>
      <c r="W86" s="127">
        <f t="shared" si="48"/>
        <v>0</v>
      </c>
    </row>
    <row r="87" spans="1:24" s="485" customFormat="1" ht="16.2">
      <c r="A87" s="489" t="s">
        <v>676</v>
      </c>
      <c r="B87" s="487" t="s">
        <v>803</v>
      </c>
      <c r="C87" s="487"/>
      <c r="D87" s="500">
        <f>D85+D86</f>
        <v>0</v>
      </c>
      <c r="E87" s="500">
        <f t="shared" ref="E87:P87" si="52">E85+E86</f>
        <v>0</v>
      </c>
      <c r="F87" s="500">
        <f t="shared" si="52"/>
        <v>0</v>
      </c>
      <c r="G87" s="500">
        <f t="shared" si="52"/>
        <v>49.821477087955145</v>
      </c>
      <c r="H87" s="500">
        <f t="shared" si="52"/>
        <v>43.183958696921877</v>
      </c>
      <c r="I87" s="500">
        <f t="shared" si="52"/>
        <v>1556.2426242777519</v>
      </c>
      <c r="J87" s="500">
        <f t="shared" si="52"/>
        <v>3807.9647400016365</v>
      </c>
      <c r="K87" s="500">
        <f t="shared" si="52"/>
        <v>10206.238548437392</v>
      </c>
      <c r="L87" s="500">
        <f t="shared" si="52"/>
        <v>22892.330770435139</v>
      </c>
      <c r="M87" s="500">
        <f t="shared" si="52"/>
        <v>33360.282054837771</v>
      </c>
      <c r="N87" s="500">
        <f t="shared" si="52"/>
        <v>53817.661597308164</v>
      </c>
      <c r="O87" s="500">
        <f t="shared" si="52"/>
        <v>57180.974534505774</v>
      </c>
      <c r="P87" s="500">
        <f t="shared" si="52"/>
        <v>85020.933362263269</v>
      </c>
      <c r="R87" s="500"/>
      <c r="S87" s="500">
        <f t="shared" si="44"/>
        <v>93.005435784877022</v>
      </c>
      <c r="T87" s="500">
        <f t="shared" si="45"/>
        <v>5364.2073642793885</v>
      </c>
      <c r="U87" s="500">
        <f t="shared" si="46"/>
        <v>33098.569318872527</v>
      </c>
      <c r="V87" s="500">
        <f t="shared" si="47"/>
        <v>87177.943652145943</v>
      </c>
      <c r="W87" s="500">
        <f t="shared" si="48"/>
        <v>142201.90789676906</v>
      </c>
      <c r="X87" s="557" t="s">
        <v>851</v>
      </c>
    </row>
    <row r="88" spans="1:24" ht="15.6">
      <c r="A88" s="301"/>
      <c r="D88" s="3"/>
    </row>
    <row r="89" spans="1:24" s="119" customFormat="1" ht="12.6">
      <c r="A89" s="494" t="s">
        <v>797</v>
      </c>
      <c r="B89" s="116"/>
      <c r="C89" s="117"/>
      <c r="D89" s="117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R89" s="118"/>
      <c r="S89" s="118"/>
      <c r="T89" s="118"/>
      <c r="U89" s="118"/>
      <c r="V89" s="118"/>
      <c r="W89" s="118"/>
    </row>
    <row r="90" spans="1:24" s="127" customFormat="1" ht="16.2">
      <c r="A90" s="486" t="s">
        <v>513</v>
      </c>
      <c r="B90" s="487" t="s">
        <v>803</v>
      </c>
      <c r="C90" s="487"/>
      <c r="D90" s="499">
        <f>D91+D95</f>
        <v>0</v>
      </c>
      <c r="E90" s="499">
        <f t="shared" ref="E90" si="53">E91+E95</f>
        <v>0</v>
      </c>
      <c r="F90" s="499">
        <f t="shared" ref="F90" si="54">F91+F95</f>
        <v>0</v>
      </c>
      <c r="G90" s="499">
        <f t="shared" ref="G90" si="55">G91+G95</f>
        <v>168.74461686319626</v>
      </c>
      <c r="H90" s="499">
        <f t="shared" ref="H90" si="56">H91+H95</f>
        <v>538.94992942393446</v>
      </c>
      <c r="I90" s="499">
        <f t="shared" ref="I90" si="57">I91+I95</f>
        <v>2311.997069461906</v>
      </c>
      <c r="J90" s="499">
        <f t="shared" ref="J90" si="58">J91+J95</f>
        <v>6897.16288748841</v>
      </c>
      <c r="K90" s="499">
        <f t="shared" ref="K90" si="59">K91+K95</f>
        <v>6401.4331708587433</v>
      </c>
      <c r="L90" s="499">
        <f t="shared" ref="L90" si="60">L91+L95</f>
        <v>14363.710318805541</v>
      </c>
      <c r="M90" s="499">
        <f t="shared" ref="M90" si="61">M91+M95</f>
        <v>12349.883905615363</v>
      </c>
      <c r="N90" s="499">
        <f t="shared" ref="N90" si="62">N91+N95</f>
        <v>23503.785504961998</v>
      </c>
      <c r="O90" s="499">
        <f t="shared" ref="O90" si="63">O91+O95</f>
        <v>17701.342557027299</v>
      </c>
      <c r="P90" s="499">
        <f t="shared" ref="P90" si="64">P91+P95</f>
        <v>31201.874503478168</v>
      </c>
      <c r="R90" s="499"/>
      <c r="S90" s="499">
        <f t="shared" si="44"/>
        <v>707.69454628713072</v>
      </c>
      <c r="T90" s="499">
        <f t="shared" si="45"/>
        <v>9209.159956950316</v>
      </c>
      <c r="U90" s="499">
        <f t="shared" si="46"/>
        <v>20765.143489664282</v>
      </c>
      <c r="V90" s="499">
        <f t="shared" si="47"/>
        <v>35853.669410577364</v>
      </c>
      <c r="W90" s="499">
        <f t="shared" si="48"/>
        <v>48903.217060505471</v>
      </c>
    </row>
    <row r="91" spans="1:24" ht="14.4">
      <c r="A91" s="487" t="s">
        <v>466</v>
      </c>
      <c r="B91" s="487" t="s">
        <v>803</v>
      </c>
      <c r="C91" s="487"/>
      <c r="D91" s="491"/>
      <c r="E91" s="491">
        <f t="shared" ref="E91:P91" si="65">SUM(E92:E94)</f>
        <v>0</v>
      </c>
      <c r="F91" s="491">
        <f t="shared" si="65"/>
        <v>0</v>
      </c>
      <c r="G91" s="491">
        <f t="shared" si="65"/>
        <v>437.48604371939768</v>
      </c>
      <c r="H91" s="491">
        <f t="shared" si="65"/>
        <v>1397.2775948027931</v>
      </c>
      <c r="I91" s="491">
        <f t="shared" si="65"/>
        <v>5822.8074342003547</v>
      </c>
      <c r="J91" s="491">
        <f t="shared" si="65"/>
        <v>16267.79995737822</v>
      </c>
      <c r="K91" s="491">
        <f t="shared" si="65"/>
        <v>14024.419594738039</v>
      </c>
      <c r="L91" s="491">
        <f t="shared" si="65"/>
        <v>32042.169584163541</v>
      </c>
      <c r="M91" s="491">
        <f t="shared" si="65"/>
        <v>25057.735553530401</v>
      </c>
      <c r="N91" s="491">
        <f t="shared" si="65"/>
        <v>50215.377854064995</v>
      </c>
      <c r="O91" s="491">
        <f t="shared" si="65"/>
        <v>34374.432560465459</v>
      </c>
      <c r="P91" s="491">
        <f t="shared" si="65"/>
        <v>64035.974379630417</v>
      </c>
      <c r="R91" s="491"/>
      <c r="S91" s="491">
        <f t="shared" si="44"/>
        <v>1834.7636385221908</v>
      </c>
      <c r="T91" s="491">
        <f t="shared" si="45"/>
        <v>22090.607391578575</v>
      </c>
      <c r="U91" s="491">
        <f t="shared" si="46"/>
        <v>46066.58917890158</v>
      </c>
      <c r="V91" s="491">
        <f t="shared" si="47"/>
        <v>75273.113407595403</v>
      </c>
      <c r="W91" s="491">
        <f t="shared" si="48"/>
        <v>98410.406940095883</v>
      </c>
    </row>
    <row r="92" spans="1:24" s="721" customFormat="1" ht="12">
      <c r="A92" s="718" t="s">
        <v>465</v>
      </c>
      <c r="B92" s="712" t="s">
        <v>803</v>
      </c>
      <c r="C92" s="719"/>
      <c r="D92" s="720"/>
      <c r="E92" s="720">
        <f>'CashCredit_dossym (indiv)'!BR85</f>
        <v>0</v>
      </c>
      <c r="F92" s="720">
        <f>'CashCredit_dossym (indiv)'!BS85</f>
        <v>0</v>
      </c>
      <c r="G92" s="720">
        <f>'CashCredit_dossym (indiv)'!BT85</f>
        <v>437.48604371939768</v>
      </c>
      <c r="H92" s="720">
        <f>'CashCredit_dossym (indiv)'!BU85</f>
        <v>1397.2775948027931</v>
      </c>
      <c r="I92" s="720">
        <f>'CashCredit_dossym (indiv)'!BV85</f>
        <v>5822.8074342003547</v>
      </c>
      <c r="J92" s="720">
        <f>'CashCredit_dossym (indiv)'!BW85</f>
        <v>14589.00745737822</v>
      </c>
      <c r="K92" s="720">
        <f>'CashCredit_dossym (indiv)'!BX85</f>
        <v>11354.964645519289</v>
      </c>
      <c r="L92" s="720">
        <f>'CashCredit_dossym (indiv)'!BY85</f>
        <v>26995.824253694791</v>
      </c>
      <c r="M92" s="720">
        <f>'CashCredit_dossym (indiv)'!BZ85</f>
        <v>17521.705970717903</v>
      </c>
      <c r="N92" s="720">
        <f>'CashCredit_dossym (indiv)'!CA85</f>
        <v>40389.195502502487</v>
      </c>
      <c r="O92" s="720">
        <f>'CashCredit_dossym (indiv)'!CB85</f>
        <v>22091.617183902956</v>
      </c>
      <c r="P92" s="720">
        <f>'CashCredit_dossym (indiv)'!CC85</f>
        <v>49130.045721817914</v>
      </c>
      <c r="R92" s="720"/>
      <c r="S92" s="720">
        <f t="shared" si="44"/>
        <v>1834.7636385221908</v>
      </c>
      <c r="T92" s="720">
        <f t="shared" si="45"/>
        <v>20411.814891578575</v>
      </c>
      <c r="U92" s="720">
        <f t="shared" si="46"/>
        <v>38350.78889921408</v>
      </c>
      <c r="V92" s="720">
        <f t="shared" si="47"/>
        <v>57910.901473220394</v>
      </c>
      <c r="W92" s="720">
        <f t="shared" si="48"/>
        <v>71221.662905720877</v>
      </c>
    </row>
    <row r="93" spans="1:24" s="721" customFormat="1" ht="12">
      <c r="A93" s="718" t="s">
        <v>805</v>
      </c>
      <c r="B93" s="712" t="s">
        <v>803</v>
      </c>
      <c r="C93" s="719"/>
      <c r="D93" s="720"/>
      <c r="E93" s="720"/>
      <c r="F93" s="720"/>
      <c r="G93" s="720"/>
      <c r="H93" s="720"/>
      <c r="I93" s="720"/>
      <c r="J93" s="720">
        <f>'Merchants(corp)'!J38/500</f>
        <v>1678.7925</v>
      </c>
      <c r="K93" s="720">
        <f>'Merchants(corp)'!K38/500</f>
        <v>2669.4549492187502</v>
      </c>
      <c r="L93" s="720">
        <f>'Merchants(corp)'!L38/500</f>
        <v>5046.34533046875</v>
      </c>
      <c r="M93" s="720">
        <f>'Merchants(corp)'!M38/500</f>
        <v>7536.0295828124999</v>
      </c>
      <c r="N93" s="720">
        <f>'Merchants(corp)'!N38/500</f>
        <v>9826.1823515625038</v>
      </c>
      <c r="O93" s="720">
        <f>'Merchants(corp)'!O38/500</f>
        <v>12282.815376562503</v>
      </c>
      <c r="P93" s="720">
        <f>'Merchants(corp)'!P38/500</f>
        <v>14905.928657812503</v>
      </c>
      <c r="R93" s="720"/>
      <c r="S93" s="720">
        <f t="shared" si="44"/>
        <v>0</v>
      </c>
      <c r="T93" s="720">
        <f t="shared" si="45"/>
        <v>1678.7925</v>
      </c>
      <c r="U93" s="720">
        <f t="shared" si="46"/>
        <v>7715.8002796875007</v>
      </c>
      <c r="V93" s="720">
        <f t="shared" si="47"/>
        <v>17362.211934375002</v>
      </c>
      <c r="W93" s="720">
        <f t="shared" si="48"/>
        <v>27188.744034375006</v>
      </c>
    </row>
    <row r="94" spans="1:24" s="721" customFormat="1" ht="12">
      <c r="A94" s="718" t="s">
        <v>795</v>
      </c>
      <c r="B94" s="712" t="s">
        <v>803</v>
      </c>
      <c r="C94" s="719"/>
      <c r="D94" s="720"/>
      <c r="E94" s="720"/>
      <c r="F94" s="720"/>
      <c r="G94" s="720"/>
      <c r="H94" s="720"/>
      <c r="I94" s="720"/>
      <c r="J94" s="720"/>
      <c r="K94" s="720"/>
      <c r="L94" s="720"/>
      <c r="M94" s="720"/>
      <c r="N94" s="720"/>
      <c r="O94" s="720"/>
      <c r="P94" s="720"/>
      <c r="R94" s="720"/>
      <c r="S94" s="720">
        <f t="shared" si="44"/>
        <v>0</v>
      </c>
      <c r="T94" s="720">
        <f t="shared" si="45"/>
        <v>0</v>
      </c>
      <c r="U94" s="720">
        <f t="shared" si="46"/>
        <v>0</v>
      </c>
      <c r="V94" s="720">
        <f t="shared" si="47"/>
        <v>0</v>
      </c>
      <c r="W94" s="720">
        <f t="shared" si="48"/>
        <v>0</v>
      </c>
    </row>
    <row r="95" spans="1:24" ht="14.4">
      <c r="A95" s="487" t="s">
        <v>158</v>
      </c>
      <c r="B95" s="487" t="s">
        <v>803</v>
      </c>
      <c r="C95" s="487"/>
      <c r="D95" s="491"/>
      <c r="E95" s="491">
        <f>SUM(E96:E98)</f>
        <v>0</v>
      </c>
      <c r="F95" s="514">
        <f t="shared" ref="F95:P95" si="66">SUM(F96:F98)</f>
        <v>0</v>
      </c>
      <c r="G95" s="514">
        <f t="shared" si="66"/>
        <v>-268.74142685620143</v>
      </c>
      <c r="H95" s="514">
        <f t="shared" si="66"/>
        <v>-858.32766537885868</v>
      </c>
      <c r="I95" s="514">
        <f t="shared" si="66"/>
        <v>-3510.8103647384487</v>
      </c>
      <c r="J95" s="514">
        <f t="shared" si="66"/>
        <v>-9370.6370698898099</v>
      </c>
      <c r="K95" s="514">
        <f t="shared" si="66"/>
        <v>-7622.9864238792961</v>
      </c>
      <c r="L95" s="514">
        <f t="shared" si="66"/>
        <v>-17678.459265358</v>
      </c>
      <c r="M95" s="514">
        <f t="shared" si="66"/>
        <v>-12707.851647915038</v>
      </c>
      <c r="N95" s="514">
        <f t="shared" si="66"/>
        <v>-26711.592349102997</v>
      </c>
      <c r="O95" s="514">
        <f t="shared" si="66"/>
        <v>-16673.090003438159</v>
      </c>
      <c r="P95" s="514">
        <f t="shared" si="66"/>
        <v>-32834.09987615225</v>
      </c>
      <c r="R95" s="514"/>
      <c r="S95" s="514">
        <f t="shared" si="44"/>
        <v>-1127.06909223506</v>
      </c>
      <c r="T95" s="514">
        <f t="shared" si="45"/>
        <v>-12881.447434628259</v>
      </c>
      <c r="U95" s="514">
        <f t="shared" si="46"/>
        <v>-25301.445689237298</v>
      </c>
      <c r="V95" s="514">
        <f t="shared" si="47"/>
        <v>-39419.443997018039</v>
      </c>
      <c r="W95" s="514">
        <f t="shared" si="48"/>
        <v>-49507.189879590413</v>
      </c>
    </row>
    <row r="96" spans="1:24" s="515" customFormat="1" ht="12">
      <c r="A96" s="512" t="s">
        <v>465</v>
      </c>
      <c r="B96" s="487" t="s">
        <v>803</v>
      </c>
      <c r="C96" s="513"/>
      <c r="D96" s="514"/>
      <c r="E96" s="514">
        <f>'CashCredit_dossym (indiv)'!BR86</f>
        <v>0</v>
      </c>
      <c r="F96" s="514">
        <f>'CashCredit_dossym (indiv)'!BS86</f>
        <v>0</v>
      </c>
      <c r="G96" s="514">
        <f>'CashCredit_dossym (indiv)'!BT86</f>
        <v>-268.74142685620143</v>
      </c>
      <c r="H96" s="514">
        <f>'CashCredit_dossym (indiv)'!BU86</f>
        <v>-858.32766537885868</v>
      </c>
      <c r="I96" s="514">
        <f>'CashCredit_dossym (indiv)'!BV86</f>
        <v>-3510.8103647384487</v>
      </c>
      <c r="J96" s="514">
        <f>'CashCredit_dossym (indiv)'!BW86</f>
        <v>-8796.3133198898104</v>
      </c>
      <c r="K96" s="514">
        <f>'CashCredit_dossym (indiv)'!BX86</f>
        <v>-6709.7518359886708</v>
      </c>
      <c r="L96" s="514">
        <f>'CashCredit_dossym (indiv)'!BY86</f>
        <v>-15952.077968092375</v>
      </c>
      <c r="M96" s="514">
        <f>'CashCredit_dossym (indiv)'!BZ86</f>
        <v>-10129.736264321287</v>
      </c>
      <c r="N96" s="514">
        <f>'CashCredit_dossym (indiv)'!CA86</f>
        <v>-23350.003649884246</v>
      </c>
      <c r="O96" s="514">
        <f>'CashCredit_dossym (indiv)'!CB86</f>
        <v>-12471.074216719409</v>
      </c>
      <c r="P96" s="514">
        <f>'CashCredit_dossym (indiv)'!CC86</f>
        <v>-27734.703230058498</v>
      </c>
      <c r="R96" s="514"/>
      <c r="S96" s="514">
        <f t="shared" si="44"/>
        <v>-1127.06909223506</v>
      </c>
      <c r="T96" s="514">
        <f t="shared" si="45"/>
        <v>-12307.123684628259</v>
      </c>
      <c r="U96" s="514">
        <f t="shared" si="46"/>
        <v>-22661.829804081048</v>
      </c>
      <c r="V96" s="514">
        <f t="shared" si="47"/>
        <v>-33479.739914205536</v>
      </c>
      <c r="W96" s="514">
        <f t="shared" si="48"/>
        <v>-40205.777446777909</v>
      </c>
    </row>
    <row r="97" spans="1:23" s="515" customFormat="1" ht="12">
      <c r="A97" s="512" t="s">
        <v>805</v>
      </c>
      <c r="B97" s="487" t="s">
        <v>803</v>
      </c>
      <c r="C97" s="513"/>
      <c r="D97" s="514"/>
      <c r="E97" s="514"/>
      <c r="F97" s="514"/>
      <c r="G97" s="514"/>
      <c r="H97" s="514"/>
      <c r="I97" s="514"/>
      <c r="J97" s="514">
        <f>'Merchants(corp)'!J39/500</f>
        <v>-574.32375000000002</v>
      </c>
      <c r="K97" s="514">
        <f>'Merchants(corp)'!K39/500</f>
        <v>-913.23458789062511</v>
      </c>
      <c r="L97" s="514">
        <f>'Merchants(corp)'!L39/500</f>
        <v>-1726.3812972656251</v>
      </c>
      <c r="M97" s="514">
        <f>'Merchants(corp)'!M39/500</f>
        <v>-2578.1153835937503</v>
      </c>
      <c r="N97" s="514">
        <f>'Merchants(corp)'!N39/500</f>
        <v>-3361.5886992187511</v>
      </c>
      <c r="O97" s="514">
        <f>'Merchants(corp)'!O39/500</f>
        <v>-4202.0157867187509</v>
      </c>
      <c r="P97" s="514">
        <f>'Merchants(corp)'!P39/500</f>
        <v>-5099.3966460937509</v>
      </c>
      <c r="R97" s="514"/>
      <c r="S97" s="514">
        <f t="shared" si="44"/>
        <v>0</v>
      </c>
      <c r="T97" s="514">
        <f t="shared" si="45"/>
        <v>-574.32375000000002</v>
      </c>
      <c r="U97" s="514">
        <f t="shared" si="46"/>
        <v>-2639.6158851562504</v>
      </c>
      <c r="V97" s="514">
        <f t="shared" si="47"/>
        <v>-5939.7040828125009</v>
      </c>
      <c r="W97" s="514">
        <f t="shared" si="48"/>
        <v>-9301.4124328125017</v>
      </c>
    </row>
    <row r="98" spans="1:23" s="515" customFormat="1" ht="12">
      <c r="A98" s="512" t="s">
        <v>795</v>
      </c>
      <c r="B98" s="487" t="s">
        <v>803</v>
      </c>
      <c r="C98" s="513"/>
      <c r="D98" s="514"/>
      <c r="E98" s="514"/>
      <c r="F98" s="514"/>
      <c r="G98" s="514"/>
      <c r="H98" s="514"/>
      <c r="I98" s="514"/>
      <c r="J98" s="514"/>
      <c r="K98" s="514"/>
      <c r="L98" s="514"/>
      <c r="M98" s="514"/>
      <c r="N98" s="514"/>
      <c r="O98" s="514"/>
      <c r="P98" s="514"/>
      <c r="R98" s="514"/>
      <c r="S98" s="514">
        <f t="shared" si="44"/>
        <v>0</v>
      </c>
      <c r="T98" s="514">
        <f t="shared" si="45"/>
        <v>0</v>
      </c>
      <c r="U98" s="514">
        <f t="shared" si="46"/>
        <v>0</v>
      </c>
      <c r="V98" s="514">
        <f t="shared" si="47"/>
        <v>0</v>
      </c>
      <c r="W98" s="514">
        <f t="shared" si="48"/>
        <v>0</v>
      </c>
    </row>
    <row r="99" spans="1:23" s="127" customFormat="1" ht="16.2">
      <c r="A99" s="486" t="s">
        <v>514</v>
      </c>
      <c r="B99" s="487" t="s">
        <v>803</v>
      </c>
      <c r="C99" s="487"/>
      <c r="D99" s="499">
        <f>D100+D101+D102</f>
        <v>0</v>
      </c>
      <c r="E99" s="499">
        <f t="shared" ref="E99" si="67">E100+E101+E102</f>
        <v>0</v>
      </c>
      <c r="F99" s="499">
        <f t="shared" ref="F99" si="68">F100+F101+F102</f>
        <v>0</v>
      </c>
      <c r="G99" s="499">
        <f t="shared" ref="G99" si="69">G100+G101+G102</f>
        <v>0</v>
      </c>
      <c r="H99" s="499">
        <f t="shared" ref="H99" si="70">H100+H101+H102</f>
        <v>0</v>
      </c>
      <c r="I99" s="499">
        <f t="shared" ref="I99" si="71">I100+I101+I102</f>
        <v>0</v>
      </c>
      <c r="J99" s="499">
        <f t="shared" ref="J99" si="72">J100+J101+J102</f>
        <v>0</v>
      </c>
      <c r="K99" s="499">
        <f t="shared" ref="K99" si="73">K100+K101+K102</f>
        <v>0</v>
      </c>
      <c r="L99" s="499">
        <f t="shared" ref="L99" si="74">L100+L101+L102</f>
        <v>0</v>
      </c>
      <c r="M99" s="499">
        <f t="shared" ref="M99" si="75">M100+M101+M102</f>
        <v>0</v>
      </c>
      <c r="N99" s="499">
        <f t="shared" ref="N99" si="76">N100+N101+N102</f>
        <v>0</v>
      </c>
      <c r="O99" s="499">
        <f t="shared" ref="O99" si="77">O100+O101+O102</f>
        <v>0</v>
      </c>
      <c r="P99" s="499">
        <f t="shared" ref="P99" si="78">P100+P101+P102</f>
        <v>0</v>
      </c>
      <c r="R99" s="499"/>
      <c r="S99" s="499">
        <f t="shared" si="44"/>
        <v>0</v>
      </c>
      <c r="T99" s="499">
        <f t="shared" si="45"/>
        <v>0</v>
      </c>
      <c r="U99" s="499">
        <f t="shared" si="46"/>
        <v>0</v>
      </c>
      <c r="V99" s="499">
        <f t="shared" si="47"/>
        <v>0</v>
      </c>
      <c r="W99" s="499">
        <f t="shared" si="48"/>
        <v>0</v>
      </c>
    </row>
    <row r="100" spans="1:23" ht="14.4">
      <c r="A100" s="487" t="s">
        <v>275</v>
      </c>
      <c r="B100" s="487" t="s">
        <v>803</v>
      </c>
      <c r="C100" s="487"/>
      <c r="D100" s="491"/>
      <c r="E100" s="491"/>
      <c r="F100" s="491"/>
      <c r="G100" s="491"/>
      <c r="H100" s="491"/>
      <c r="I100" s="491"/>
      <c r="J100" s="491"/>
      <c r="K100" s="491"/>
      <c r="L100" s="491"/>
      <c r="M100" s="491"/>
      <c r="N100" s="491"/>
      <c r="O100" s="491"/>
      <c r="P100" s="491"/>
      <c r="R100" s="491"/>
      <c r="S100" s="491">
        <f t="shared" si="44"/>
        <v>0</v>
      </c>
      <c r="T100" s="491">
        <f t="shared" si="45"/>
        <v>0</v>
      </c>
      <c r="U100" s="491">
        <f t="shared" si="46"/>
        <v>0</v>
      </c>
      <c r="V100" s="491">
        <f t="shared" si="47"/>
        <v>0</v>
      </c>
      <c r="W100" s="491">
        <f t="shared" si="48"/>
        <v>0</v>
      </c>
    </row>
    <row r="101" spans="1:23" ht="14.4">
      <c r="A101" s="487" t="s">
        <v>274</v>
      </c>
      <c r="B101" s="487" t="s">
        <v>803</v>
      </c>
      <c r="C101" s="487"/>
      <c r="D101" s="491"/>
      <c r="E101" s="491"/>
      <c r="F101" s="491"/>
      <c r="G101" s="491"/>
      <c r="H101" s="491"/>
      <c r="I101" s="491"/>
      <c r="J101" s="491"/>
      <c r="K101" s="491"/>
      <c r="L101" s="491"/>
      <c r="M101" s="491"/>
      <c r="N101" s="491"/>
      <c r="O101" s="491"/>
      <c r="P101" s="491"/>
      <c r="R101" s="491"/>
      <c r="S101" s="491">
        <f t="shared" si="44"/>
        <v>0</v>
      </c>
      <c r="T101" s="491">
        <f t="shared" si="45"/>
        <v>0</v>
      </c>
      <c r="U101" s="491">
        <f t="shared" si="46"/>
        <v>0</v>
      </c>
      <c r="V101" s="491">
        <f t="shared" si="47"/>
        <v>0</v>
      </c>
      <c r="W101" s="491">
        <f t="shared" si="48"/>
        <v>0</v>
      </c>
    </row>
    <row r="102" spans="1:23" ht="14.4">
      <c r="A102" s="487" t="s">
        <v>515</v>
      </c>
      <c r="B102" s="487" t="s">
        <v>803</v>
      </c>
      <c r="C102" s="487"/>
      <c r="D102" s="491"/>
      <c r="E102" s="491"/>
      <c r="F102" s="491"/>
      <c r="G102" s="491"/>
      <c r="H102" s="491"/>
      <c r="I102" s="491"/>
      <c r="J102" s="491"/>
      <c r="K102" s="491"/>
      <c r="L102" s="491"/>
      <c r="M102" s="491"/>
      <c r="N102" s="491"/>
      <c r="O102" s="491"/>
      <c r="P102" s="491"/>
      <c r="R102" s="491"/>
      <c r="S102" s="491">
        <f t="shared" si="44"/>
        <v>0</v>
      </c>
      <c r="T102" s="491">
        <f t="shared" si="45"/>
        <v>0</v>
      </c>
      <c r="U102" s="491">
        <f t="shared" si="46"/>
        <v>0</v>
      </c>
      <c r="V102" s="491">
        <f t="shared" si="47"/>
        <v>0</v>
      </c>
      <c r="W102" s="491">
        <f t="shared" si="48"/>
        <v>0</v>
      </c>
    </row>
    <row r="103" spans="1:23" s="127" customFormat="1" ht="16.2">
      <c r="A103" s="486" t="s">
        <v>808</v>
      </c>
      <c r="B103" s="487" t="s">
        <v>803</v>
      </c>
      <c r="C103" s="487"/>
      <c r="D103" s="499">
        <f t="shared" ref="D103:P103" si="79">D90+D99</f>
        <v>0</v>
      </c>
      <c r="E103" s="499">
        <f t="shared" si="79"/>
        <v>0</v>
      </c>
      <c r="F103" s="499">
        <f t="shared" si="79"/>
        <v>0</v>
      </c>
      <c r="G103" s="499">
        <f t="shared" si="79"/>
        <v>168.74461686319626</v>
      </c>
      <c r="H103" s="499">
        <f t="shared" si="79"/>
        <v>538.94992942393446</v>
      </c>
      <c r="I103" s="499">
        <f t="shared" si="79"/>
        <v>2311.997069461906</v>
      </c>
      <c r="J103" s="499">
        <f t="shared" si="79"/>
        <v>6897.16288748841</v>
      </c>
      <c r="K103" s="499">
        <f t="shared" si="79"/>
        <v>6401.4331708587433</v>
      </c>
      <c r="L103" s="499">
        <f t="shared" si="79"/>
        <v>14363.710318805541</v>
      </c>
      <c r="M103" s="499">
        <f t="shared" si="79"/>
        <v>12349.883905615363</v>
      </c>
      <c r="N103" s="499">
        <f t="shared" si="79"/>
        <v>23503.785504961998</v>
      </c>
      <c r="O103" s="499">
        <f t="shared" si="79"/>
        <v>17701.342557027299</v>
      </c>
      <c r="P103" s="499">
        <f t="shared" si="79"/>
        <v>31201.874503478168</v>
      </c>
      <c r="R103" s="499"/>
      <c r="S103" s="499">
        <f t="shared" si="44"/>
        <v>707.69454628713072</v>
      </c>
      <c r="T103" s="499">
        <f t="shared" si="45"/>
        <v>9209.159956950316</v>
      </c>
      <c r="U103" s="499">
        <f t="shared" si="46"/>
        <v>20765.143489664282</v>
      </c>
      <c r="V103" s="499">
        <f t="shared" si="47"/>
        <v>35853.669410577364</v>
      </c>
      <c r="W103" s="499">
        <f t="shared" si="48"/>
        <v>48903.217060505471</v>
      </c>
    </row>
    <row r="104" spans="1:23" s="201" customFormat="1" ht="14.4">
      <c r="A104" s="488" t="s">
        <v>517</v>
      </c>
      <c r="B104" s="487" t="s">
        <v>803</v>
      </c>
      <c r="C104" s="487"/>
      <c r="D104" s="492"/>
      <c r="E104" s="491">
        <f>SUM(E105:E107)</f>
        <v>0</v>
      </c>
      <c r="F104" s="491">
        <f t="shared" ref="F104:P104" si="80">SUM(F105:F107)</f>
        <v>0</v>
      </c>
      <c r="G104" s="514">
        <f t="shared" si="80"/>
        <v>-95.68527360055981</v>
      </c>
      <c r="H104" s="514">
        <f t="shared" si="80"/>
        <v>-300.57255287555722</v>
      </c>
      <c r="I104" s="514">
        <f t="shared" si="80"/>
        <v>-1254.8644115999587</v>
      </c>
      <c r="J104" s="514">
        <f t="shared" si="80"/>
        <v>-4528.5492594619545</v>
      </c>
      <c r="K104" s="514">
        <f t="shared" si="80"/>
        <v>-4104.1144212985255</v>
      </c>
      <c r="L104" s="514">
        <f t="shared" si="80"/>
        <v>-7845.9014666806506</v>
      </c>
      <c r="M104" s="514">
        <f t="shared" si="80"/>
        <v>-5422.4231822736019</v>
      </c>
      <c r="N104" s="514">
        <f t="shared" si="80"/>
        <v>-9789.8471046409504</v>
      </c>
      <c r="O104" s="514">
        <f t="shared" si="80"/>
        <v>-6409.8932020331213</v>
      </c>
      <c r="P104" s="514">
        <f t="shared" si="80"/>
        <v>-11258.046688797433</v>
      </c>
      <c r="R104" s="514"/>
      <c r="S104" s="514">
        <f t="shared" si="44"/>
        <v>-396.25782647611703</v>
      </c>
      <c r="T104" s="514">
        <f t="shared" si="45"/>
        <v>-5783.4136710619132</v>
      </c>
      <c r="U104" s="514">
        <f t="shared" si="46"/>
        <v>-11950.015887979176</v>
      </c>
      <c r="V104" s="514">
        <f t="shared" si="47"/>
        <v>-15212.270286914552</v>
      </c>
      <c r="W104" s="514">
        <f t="shared" si="48"/>
        <v>-17667.939890830552</v>
      </c>
    </row>
    <row r="105" spans="1:23" s="515" customFormat="1" ht="12">
      <c r="A105" s="512" t="s">
        <v>465</v>
      </c>
      <c r="B105" s="487" t="s">
        <v>803</v>
      </c>
      <c r="C105" s="513"/>
      <c r="D105" s="514"/>
      <c r="E105" s="514">
        <f>'CashCredit_dossym (indiv)'!BR92</f>
        <v>0</v>
      </c>
      <c r="F105" s="514">
        <f>'CashCredit_dossym (indiv)'!BS92</f>
        <v>0</v>
      </c>
      <c r="G105" s="514">
        <f>'CashCredit_dossym (indiv)'!BT92</f>
        <v>-95.68527360055981</v>
      </c>
      <c r="H105" s="514">
        <f>'CashCredit_dossym (indiv)'!BU92</f>
        <v>-300.57255287555722</v>
      </c>
      <c r="I105" s="514">
        <f>'CashCredit_dossym (indiv)'!BV92</f>
        <v>-1254.8644115999587</v>
      </c>
      <c r="J105" s="514">
        <f>'CashCredit_dossym (indiv)'!BW92</f>
        <v>-3043.5492594619545</v>
      </c>
      <c r="K105" s="514">
        <f>'CashCredit_dossym (indiv)'!BX92</f>
        <v>-2351.5050462985246</v>
      </c>
      <c r="L105" s="514">
        <f>'CashCredit_dossym (indiv)'!BY92</f>
        <v>-5393.4858416806501</v>
      </c>
      <c r="M105" s="514">
        <f>'CashCredit_dossym (indiv)'!BZ92</f>
        <v>-3470.2669322736015</v>
      </c>
      <c r="N105" s="514">
        <f>'CashCredit_dossym (indiv)'!CA92</f>
        <v>-7690.4283546409479</v>
      </c>
      <c r="O105" s="514">
        <f>'CashCredit_dossym (indiv)'!CB92</f>
        <v>-4163.2119520331216</v>
      </c>
      <c r="P105" s="514">
        <f>'CashCredit_dossym (indiv)'!CC92</f>
        <v>-8864.1029387974322</v>
      </c>
      <c r="R105" s="514"/>
      <c r="S105" s="514">
        <f t="shared" si="44"/>
        <v>-396.25782647611703</v>
      </c>
      <c r="T105" s="514">
        <f t="shared" si="45"/>
        <v>-4298.4136710619132</v>
      </c>
      <c r="U105" s="514">
        <f t="shared" si="46"/>
        <v>-7744.9908879791747</v>
      </c>
      <c r="V105" s="514">
        <f t="shared" si="47"/>
        <v>-11160.69528691455</v>
      </c>
      <c r="W105" s="514">
        <f t="shared" si="48"/>
        <v>-13027.314890830554</v>
      </c>
    </row>
    <row r="106" spans="1:23" s="515" customFormat="1" ht="12">
      <c r="A106" s="512" t="s">
        <v>805</v>
      </c>
      <c r="B106" s="487" t="s">
        <v>803</v>
      </c>
      <c r="C106" s="513"/>
      <c r="D106" s="514"/>
      <c r="E106" s="514"/>
      <c r="F106" s="514"/>
      <c r="G106" s="514"/>
      <c r="H106" s="514"/>
      <c r="I106" s="514"/>
      <c r="J106" s="514">
        <f>'Merchants(corp)'!J42/500</f>
        <v>-1485</v>
      </c>
      <c r="K106" s="514">
        <f>'Merchants(corp)'!K42/500</f>
        <v>-1752.6093750000009</v>
      </c>
      <c r="L106" s="514">
        <f>'Merchants(corp)'!L42/500</f>
        <v>-2452.4156250000001</v>
      </c>
      <c r="M106" s="514">
        <f>'Merchants(corp)'!M42/500</f>
        <v>-1952.1562500000009</v>
      </c>
      <c r="N106" s="514">
        <f>'Merchants(corp)'!N42/500</f>
        <v>-2099.4187500000016</v>
      </c>
      <c r="O106" s="514">
        <f>'Merchants(corp)'!O42/500</f>
        <v>-2246.6812500000001</v>
      </c>
      <c r="P106" s="514">
        <f>'Merchants(corp)'!P42/500</f>
        <v>-2393.9437499999999</v>
      </c>
      <c r="R106" s="514"/>
      <c r="S106" s="514">
        <f t="shared" si="44"/>
        <v>0</v>
      </c>
      <c r="T106" s="514">
        <f t="shared" si="45"/>
        <v>-1485</v>
      </c>
      <c r="U106" s="514">
        <f t="shared" si="46"/>
        <v>-4205.0250000000015</v>
      </c>
      <c r="V106" s="514">
        <f t="shared" si="47"/>
        <v>-4051.5750000000025</v>
      </c>
      <c r="W106" s="514">
        <f t="shared" si="48"/>
        <v>-4640.625</v>
      </c>
    </row>
    <row r="107" spans="1:23" s="515" customFormat="1" ht="12">
      <c r="A107" s="512" t="s">
        <v>795</v>
      </c>
      <c r="B107" s="487" t="s">
        <v>803</v>
      </c>
      <c r="C107" s="513"/>
      <c r="D107" s="514"/>
      <c r="E107" s="514"/>
      <c r="F107" s="514"/>
      <c r="G107" s="514"/>
      <c r="H107" s="514"/>
      <c r="I107" s="514"/>
      <c r="J107" s="514"/>
      <c r="K107" s="514"/>
      <c r="L107" s="514"/>
      <c r="M107" s="514"/>
      <c r="N107" s="514"/>
      <c r="O107" s="514"/>
      <c r="P107" s="514"/>
      <c r="R107" s="514"/>
      <c r="S107" s="514">
        <f t="shared" si="44"/>
        <v>0</v>
      </c>
      <c r="T107" s="514">
        <f t="shared" si="45"/>
        <v>0</v>
      </c>
      <c r="U107" s="514">
        <f t="shared" si="46"/>
        <v>0</v>
      </c>
      <c r="V107" s="514">
        <f t="shared" si="47"/>
        <v>0</v>
      </c>
      <c r="W107" s="514">
        <f t="shared" si="48"/>
        <v>0</v>
      </c>
    </row>
    <row r="108" spans="1:23" s="485" customFormat="1" ht="16.2">
      <c r="A108" s="489" t="s">
        <v>518</v>
      </c>
      <c r="B108" s="487" t="s">
        <v>803</v>
      </c>
      <c r="C108" s="487"/>
      <c r="D108" s="500">
        <f>D103+D104</f>
        <v>0</v>
      </c>
      <c r="E108" s="500">
        <f t="shared" ref="E108" si="81">E103+E104</f>
        <v>0</v>
      </c>
      <c r="F108" s="500">
        <f t="shared" ref="F108" si="82">F103+F104</f>
        <v>0</v>
      </c>
      <c r="G108" s="500">
        <f t="shared" ref="G108" si="83">G103+G104</f>
        <v>73.059343262636446</v>
      </c>
      <c r="H108" s="500">
        <f t="shared" ref="H108" si="84">H103+H104</f>
        <v>238.37737654837724</v>
      </c>
      <c r="I108" s="500">
        <f t="shared" ref="I108" si="85">I103+I104</f>
        <v>1057.1326578619473</v>
      </c>
      <c r="J108" s="500">
        <f t="shared" ref="J108" si="86">J103+J104</f>
        <v>2368.6136280264554</v>
      </c>
      <c r="K108" s="500">
        <f t="shared" ref="K108" si="87">K103+K104</f>
        <v>2297.3187495602178</v>
      </c>
      <c r="L108" s="500">
        <f t="shared" ref="L108" si="88">L103+L104</f>
        <v>6517.8088521248901</v>
      </c>
      <c r="M108" s="500">
        <f t="shared" ref="M108" si="89">M103+M104</f>
        <v>6927.460723341761</v>
      </c>
      <c r="N108" s="500">
        <f t="shared" ref="N108" si="90">N103+N104</f>
        <v>13713.938400321047</v>
      </c>
      <c r="O108" s="500">
        <f t="shared" ref="O108" si="91">O103+O104</f>
        <v>11291.449354994178</v>
      </c>
      <c r="P108" s="500">
        <f>P103+P104</f>
        <v>19943.827814680735</v>
      </c>
      <c r="R108" s="500"/>
      <c r="S108" s="500">
        <f t="shared" si="44"/>
        <v>311.43671981101369</v>
      </c>
      <c r="T108" s="500">
        <f t="shared" si="45"/>
        <v>3425.7462858884028</v>
      </c>
      <c r="U108" s="500">
        <f t="shared" si="46"/>
        <v>8815.1276016851079</v>
      </c>
      <c r="V108" s="500">
        <f t="shared" si="47"/>
        <v>20641.399123662806</v>
      </c>
      <c r="W108" s="500">
        <f t="shared" si="48"/>
        <v>31235.277169674911</v>
      </c>
    </row>
    <row r="109" spans="1:23" s="716" customFormat="1" ht="15.6">
      <c r="A109" s="715" t="s">
        <v>471</v>
      </c>
      <c r="B109" s="712" t="s">
        <v>803</v>
      </c>
      <c r="C109" s="712"/>
      <c r="E109" s="722">
        <f>SUM(E110:E113)</f>
        <v>0</v>
      </c>
      <c r="F109" s="722">
        <f t="shared" ref="F109:P109" si="92">SUM(F110:F113)</f>
        <v>0</v>
      </c>
      <c r="G109" s="722">
        <f t="shared" si="92"/>
        <v>0</v>
      </c>
      <c r="H109" s="722">
        <f t="shared" si="92"/>
        <v>0</v>
      </c>
      <c r="I109" s="722">
        <f t="shared" si="92"/>
        <v>0</v>
      </c>
      <c r="J109" s="722">
        <f t="shared" si="92"/>
        <v>0</v>
      </c>
      <c r="K109" s="722">
        <f t="shared" si="92"/>
        <v>0</v>
      </c>
      <c r="L109" s="722">
        <f t="shared" si="92"/>
        <v>0</v>
      </c>
      <c r="M109" s="722">
        <f t="shared" si="92"/>
        <v>0</v>
      </c>
      <c r="N109" s="722">
        <f t="shared" si="92"/>
        <v>0</v>
      </c>
      <c r="O109" s="722">
        <f t="shared" si="92"/>
        <v>0</v>
      </c>
      <c r="P109" s="722">
        <f t="shared" si="92"/>
        <v>0</v>
      </c>
      <c r="R109" s="722"/>
      <c r="S109" s="722">
        <f t="shared" si="44"/>
        <v>0</v>
      </c>
      <c r="T109" s="722">
        <f t="shared" si="45"/>
        <v>0</v>
      </c>
      <c r="U109" s="722">
        <f t="shared" si="46"/>
        <v>0</v>
      </c>
      <c r="V109" s="722">
        <f t="shared" si="47"/>
        <v>0</v>
      </c>
      <c r="W109" s="722">
        <f t="shared" si="48"/>
        <v>0</v>
      </c>
    </row>
    <row r="110" spans="1:23" s="721" customFormat="1" ht="12">
      <c r="A110" s="718" t="s">
        <v>465</v>
      </c>
      <c r="B110" s="712" t="s">
        <v>803</v>
      </c>
      <c r="C110" s="719"/>
      <c r="D110" s="720"/>
      <c r="E110" s="720">
        <f>'CashCredit_dossym (indiv)'!BR94</f>
        <v>0</v>
      </c>
      <c r="F110" s="720">
        <f>'CashCredit_dossym (indiv)'!BS94</f>
        <v>0</v>
      </c>
      <c r="G110" s="720">
        <f>'CashCredit_dossym (indiv)'!BT94</f>
        <v>0</v>
      </c>
      <c r="H110" s="720">
        <f>'CashCredit_dossym (indiv)'!BU94</f>
        <v>0</v>
      </c>
      <c r="I110" s="720">
        <f>'CashCredit_dossym (indiv)'!BV94</f>
        <v>0</v>
      </c>
      <c r="J110" s="720">
        <f>'CashCredit_dossym (indiv)'!BW94</f>
        <v>0</v>
      </c>
      <c r="K110" s="720">
        <f>'CashCredit_dossym (indiv)'!BX94</f>
        <v>0</v>
      </c>
      <c r="L110" s="720">
        <f>'CashCredit_dossym (indiv)'!BY94</f>
        <v>0</v>
      </c>
      <c r="M110" s="720">
        <f>'CashCredit_dossym (indiv)'!BZ94</f>
        <v>0</v>
      </c>
      <c r="N110" s="720">
        <f>'CashCredit_dossym (indiv)'!CA94</f>
        <v>0</v>
      </c>
      <c r="O110" s="720">
        <f>'CashCredit_dossym (indiv)'!CB94</f>
        <v>0</v>
      </c>
      <c r="P110" s="720">
        <f>'CashCredit_dossym (indiv)'!CC94</f>
        <v>0</v>
      </c>
      <c r="R110" s="720"/>
      <c r="S110" s="720">
        <f t="shared" si="44"/>
        <v>0</v>
      </c>
      <c r="T110" s="720">
        <f t="shared" si="45"/>
        <v>0</v>
      </c>
      <c r="U110" s="720">
        <f t="shared" si="46"/>
        <v>0</v>
      </c>
      <c r="V110" s="720">
        <f t="shared" si="47"/>
        <v>0</v>
      </c>
      <c r="W110" s="720">
        <f t="shared" si="48"/>
        <v>0</v>
      </c>
    </row>
    <row r="111" spans="1:23" s="721" customFormat="1" ht="12">
      <c r="A111" s="718" t="s">
        <v>805</v>
      </c>
      <c r="B111" s="712" t="s">
        <v>803</v>
      </c>
      <c r="C111" s="719"/>
      <c r="D111" s="720"/>
      <c r="E111" s="720"/>
      <c r="F111" s="720"/>
      <c r="G111" s="720"/>
      <c r="H111" s="720"/>
      <c r="I111" s="720"/>
      <c r="J111" s="720"/>
      <c r="K111" s="720"/>
      <c r="L111" s="720"/>
      <c r="M111" s="720"/>
      <c r="N111" s="720"/>
      <c r="O111" s="720"/>
      <c r="P111" s="720"/>
      <c r="R111" s="720"/>
      <c r="S111" s="720">
        <f t="shared" si="44"/>
        <v>0</v>
      </c>
      <c r="T111" s="720">
        <f t="shared" si="45"/>
        <v>0</v>
      </c>
      <c r="U111" s="720">
        <f t="shared" si="46"/>
        <v>0</v>
      </c>
      <c r="V111" s="720">
        <f t="shared" si="47"/>
        <v>0</v>
      </c>
      <c r="W111" s="720">
        <f t="shared" si="48"/>
        <v>0</v>
      </c>
    </row>
    <row r="112" spans="1:23" s="721" customFormat="1" ht="12">
      <c r="A112" s="718" t="s">
        <v>18</v>
      </c>
      <c r="B112" s="712" t="s">
        <v>803</v>
      </c>
      <c r="C112" s="719"/>
      <c r="D112" s="720"/>
      <c r="E112" s="720"/>
      <c r="F112" s="720"/>
      <c r="G112" s="720"/>
      <c r="H112" s="720"/>
      <c r="I112" s="720"/>
      <c r="J112" s="720"/>
      <c r="K112" s="720"/>
      <c r="L112" s="720"/>
      <c r="M112" s="720"/>
      <c r="N112" s="720"/>
      <c r="O112" s="720"/>
      <c r="P112" s="720"/>
      <c r="R112" s="720"/>
      <c r="S112" s="720">
        <f t="shared" ref="S112" si="93">E112+F112+G112+H112</f>
        <v>0</v>
      </c>
      <c r="T112" s="720">
        <f t="shared" ref="T112" si="94">I112+J112</f>
        <v>0</v>
      </c>
      <c r="U112" s="720">
        <f t="shared" ref="U112" si="95">K112+L112</f>
        <v>0</v>
      </c>
      <c r="V112" s="720">
        <f t="shared" ref="V112" si="96">M112+N112</f>
        <v>0</v>
      </c>
      <c r="W112" s="720">
        <f t="shared" ref="W112" si="97">O112+P112</f>
        <v>0</v>
      </c>
    </row>
    <row r="113" spans="1:24" s="721" customFormat="1" ht="12">
      <c r="A113" s="718" t="s">
        <v>795</v>
      </c>
      <c r="B113" s="712" t="s">
        <v>803</v>
      </c>
      <c r="C113" s="719"/>
      <c r="D113" s="720"/>
      <c r="E113" s="720"/>
      <c r="F113" s="720"/>
      <c r="G113" s="720"/>
      <c r="H113" s="720"/>
      <c r="I113" s="720"/>
      <c r="J113" s="720"/>
      <c r="K113" s="720"/>
      <c r="L113" s="720"/>
      <c r="M113" s="720"/>
      <c r="N113" s="720"/>
      <c r="O113" s="720"/>
      <c r="P113" s="720"/>
      <c r="R113" s="720"/>
      <c r="S113" s="720">
        <f t="shared" si="44"/>
        <v>0</v>
      </c>
      <c r="T113" s="720">
        <f t="shared" si="45"/>
        <v>0</v>
      </c>
      <c r="U113" s="720">
        <f t="shared" si="46"/>
        <v>0</v>
      </c>
      <c r="V113" s="720">
        <f t="shared" si="47"/>
        <v>0</v>
      </c>
      <c r="W113" s="720">
        <f t="shared" si="48"/>
        <v>0</v>
      </c>
    </row>
    <row r="114" spans="1:24" s="127" customFormat="1" ht="15.6">
      <c r="A114" s="486" t="s">
        <v>472</v>
      </c>
      <c r="B114" s="487" t="s">
        <v>803</v>
      </c>
      <c r="C114" s="487"/>
      <c r="D114" s="514"/>
      <c r="E114" s="514">
        <f>SUM(E115:E117)</f>
        <v>0</v>
      </c>
      <c r="F114" s="514">
        <f t="shared" ref="F114:P114" si="98">SUM(F115:F117)</f>
        <v>0</v>
      </c>
      <c r="G114" s="514">
        <f t="shared" si="98"/>
        <v>-18.309962767273898</v>
      </c>
      <c r="H114" s="514">
        <f t="shared" si="98"/>
        <v>-54.929888301821705</v>
      </c>
      <c r="I114" s="514">
        <f t="shared" si="98"/>
        <v>-133.74895344261793</v>
      </c>
      <c r="J114" s="514">
        <f t="shared" si="98"/>
        <v>-133.74895344261793</v>
      </c>
      <c r="K114" s="514">
        <f t="shared" si="98"/>
        <v>-254.99180048638931</v>
      </c>
      <c r="L114" s="514">
        <f t="shared" si="98"/>
        <v>-254.99180048638925</v>
      </c>
      <c r="M114" s="514">
        <f t="shared" si="98"/>
        <v>-393.42213203471249</v>
      </c>
      <c r="N114" s="514">
        <f t="shared" si="98"/>
        <v>-393.42213203471243</v>
      </c>
      <c r="O114" s="514">
        <f t="shared" si="98"/>
        <v>-494.00237590654581</v>
      </c>
      <c r="P114" s="514">
        <f t="shared" si="98"/>
        <v>-494.00237590654575</v>
      </c>
      <c r="R114" s="514"/>
      <c r="S114" s="514">
        <f t="shared" si="44"/>
        <v>-73.239851069095607</v>
      </c>
      <c r="T114" s="514">
        <f t="shared" si="45"/>
        <v>-267.49790688523586</v>
      </c>
      <c r="U114" s="514">
        <f t="shared" si="46"/>
        <v>-509.98360097277856</v>
      </c>
      <c r="V114" s="514">
        <f t="shared" si="47"/>
        <v>-786.84426406942498</v>
      </c>
      <c r="W114" s="514">
        <f t="shared" si="48"/>
        <v>-988.00475181309162</v>
      </c>
    </row>
    <row r="115" spans="1:24" s="515" customFormat="1" ht="12">
      <c r="A115" s="512" t="s">
        <v>465</v>
      </c>
      <c r="B115" s="487" t="s">
        <v>803</v>
      </c>
      <c r="C115" s="513"/>
      <c r="D115" s="514"/>
      <c r="E115" s="514">
        <f>'CashCredit_dossym (indiv)'!BR98</f>
        <v>0</v>
      </c>
      <c r="F115" s="514">
        <f>'CashCredit_dossym (indiv)'!BS98</f>
        <v>0</v>
      </c>
      <c r="G115" s="514">
        <f>'CashCredit_dossym (indiv)'!BT98</f>
        <v>-18.309962767273898</v>
      </c>
      <c r="H115" s="514">
        <f>'CashCredit_dossym (indiv)'!BU98</f>
        <v>-54.929888301821705</v>
      </c>
      <c r="I115" s="514">
        <f>'CashCredit_dossym (indiv)'!BV98</f>
        <v>-133.74895344261793</v>
      </c>
      <c r="J115" s="514">
        <f>'CashCredit_dossym (indiv)'!BW98</f>
        <v>-133.74895344261793</v>
      </c>
      <c r="K115" s="514">
        <f>'CashCredit_dossym (indiv)'!BX98</f>
        <v>-254.99180048638931</v>
      </c>
      <c r="L115" s="514">
        <f>'CashCredit_dossym (indiv)'!BY98</f>
        <v>-254.99180048638925</v>
      </c>
      <c r="M115" s="514">
        <f>'CashCredit_dossym (indiv)'!BZ98</f>
        <v>-393.42213203471249</v>
      </c>
      <c r="N115" s="514">
        <f>'CashCredit_dossym (indiv)'!CA98</f>
        <v>-393.42213203471243</v>
      </c>
      <c r="O115" s="514">
        <f>'CashCredit_dossym (indiv)'!CB98</f>
        <v>-494.00237590654581</v>
      </c>
      <c r="P115" s="514">
        <f>'CashCredit_dossym (indiv)'!CC98</f>
        <v>-494.00237590654575</v>
      </c>
      <c r="R115" s="514"/>
      <c r="S115" s="514">
        <f t="shared" si="44"/>
        <v>-73.239851069095607</v>
      </c>
      <c r="T115" s="514">
        <f t="shared" si="45"/>
        <v>-267.49790688523586</v>
      </c>
      <c r="U115" s="514">
        <f t="shared" si="46"/>
        <v>-509.98360097277856</v>
      </c>
      <c r="V115" s="514">
        <f t="shared" si="47"/>
        <v>-786.84426406942498</v>
      </c>
      <c r="W115" s="514">
        <f t="shared" si="48"/>
        <v>-988.00475181309162</v>
      </c>
    </row>
    <row r="116" spans="1:24" s="515" customFormat="1" ht="12">
      <c r="A116" s="512" t="s">
        <v>805</v>
      </c>
      <c r="B116" s="487" t="s">
        <v>803</v>
      </c>
      <c r="C116" s="513"/>
      <c r="D116" s="514"/>
      <c r="E116" s="514"/>
      <c r="F116" s="514"/>
      <c r="G116" s="514"/>
      <c r="H116" s="514"/>
      <c r="I116" s="514"/>
      <c r="J116" s="514"/>
      <c r="K116" s="514"/>
      <c r="L116" s="514"/>
      <c r="M116" s="514"/>
      <c r="N116" s="514"/>
      <c r="O116" s="514"/>
      <c r="P116" s="514"/>
      <c r="R116" s="514"/>
      <c r="S116" s="514">
        <f t="shared" si="44"/>
        <v>0</v>
      </c>
      <c r="T116" s="514">
        <f t="shared" si="45"/>
        <v>0</v>
      </c>
      <c r="U116" s="514">
        <f t="shared" si="46"/>
        <v>0</v>
      </c>
      <c r="V116" s="514">
        <f t="shared" si="47"/>
        <v>0</v>
      </c>
      <c r="W116" s="514">
        <f t="shared" si="48"/>
        <v>0</v>
      </c>
    </row>
    <row r="117" spans="1:24" s="515" customFormat="1" ht="12">
      <c r="A117" s="512" t="s">
        <v>795</v>
      </c>
      <c r="B117" s="487" t="s">
        <v>803</v>
      </c>
      <c r="C117" s="513"/>
      <c r="D117" s="514"/>
      <c r="E117" s="514"/>
      <c r="F117" s="514"/>
      <c r="G117" s="514"/>
      <c r="H117" s="514"/>
      <c r="I117" s="514"/>
      <c r="J117" s="514"/>
      <c r="K117" s="514"/>
      <c r="L117" s="514"/>
      <c r="M117" s="514"/>
      <c r="N117" s="514"/>
      <c r="O117" s="514"/>
      <c r="P117" s="514"/>
      <c r="R117" s="514"/>
      <c r="S117" s="514">
        <f t="shared" si="44"/>
        <v>0</v>
      </c>
      <c r="T117" s="514">
        <f t="shared" si="45"/>
        <v>0</v>
      </c>
      <c r="U117" s="514">
        <f t="shared" si="46"/>
        <v>0</v>
      </c>
      <c r="V117" s="514">
        <f t="shared" si="47"/>
        <v>0</v>
      </c>
      <c r="W117" s="514">
        <f t="shared" si="48"/>
        <v>0</v>
      </c>
    </row>
    <row r="118" spans="1:24" s="127" customFormat="1" ht="15.6">
      <c r="A118" s="486" t="s">
        <v>525</v>
      </c>
      <c r="B118" s="487" t="s">
        <v>803</v>
      </c>
      <c r="C118" s="487"/>
      <c r="S118" s="127">
        <f t="shared" si="44"/>
        <v>0</v>
      </c>
      <c r="T118" s="127">
        <f t="shared" si="45"/>
        <v>0</v>
      </c>
      <c r="U118" s="127">
        <f t="shared" si="46"/>
        <v>0</v>
      </c>
      <c r="V118" s="127">
        <f t="shared" si="47"/>
        <v>0</v>
      </c>
      <c r="W118" s="127">
        <f t="shared" si="48"/>
        <v>0</v>
      </c>
    </row>
    <row r="119" spans="1:24" s="127" customFormat="1" ht="15.6">
      <c r="A119" s="486" t="s">
        <v>526</v>
      </c>
      <c r="B119" s="487" t="s">
        <v>803</v>
      </c>
      <c r="C119" s="487"/>
      <c r="E119" s="517">
        <f>E120</f>
        <v>0</v>
      </c>
      <c r="F119" s="517">
        <f t="shared" ref="F119:P119" si="99">F120</f>
        <v>0</v>
      </c>
      <c r="G119" s="517">
        <f t="shared" si="99"/>
        <v>0</v>
      </c>
      <c r="H119" s="517">
        <f t="shared" si="99"/>
        <v>0</v>
      </c>
      <c r="I119" s="517">
        <f t="shared" si="99"/>
        <v>0</v>
      </c>
      <c r="J119" s="517">
        <f t="shared" si="99"/>
        <v>0</v>
      </c>
      <c r="K119" s="517">
        <f t="shared" si="99"/>
        <v>0</v>
      </c>
      <c r="L119" s="517">
        <f t="shared" si="99"/>
        <v>0</v>
      </c>
      <c r="M119" s="517">
        <f t="shared" si="99"/>
        <v>0</v>
      </c>
      <c r="N119" s="517">
        <f t="shared" si="99"/>
        <v>0</v>
      </c>
      <c r="O119" s="517">
        <f t="shared" si="99"/>
        <v>0</v>
      </c>
      <c r="P119" s="517">
        <f t="shared" si="99"/>
        <v>0</v>
      </c>
      <c r="S119" s="127">
        <f t="shared" si="44"/>
        <v>0</v>
      </c>
      <c r="T119" s="127">
        <f t="shared" si="45"/>
        <v>0</v>
      </c>
      <c r="U119" s="127">
        <f t="shared" si="46"/>
        <v>0</v>
      </c>
      <c r="V119" s="127">
        <f t="shared" si="47"/>
        <v>0</v>
      </c>
      <c r="W119" s="127">
        <f t="shared" si="48"/>
        <v>0</v>
      </c>
    </row>
    <row r="120" spans="1:24" s="127" customFormat="1" ht="13.2">
      <c r="A120" s="512" t="s">
        <v>18</v>
      </c>
      <c r="B120" s="487" t="s">
        <v>803</v>
      </c>
      <c r="C120" s="487"/>
      <c r="E120" s="514"/>
      <c r="F120" s="514"/>
      <c r="G120" s="514"/>
      <c r="H120" s="514"/>
      <c r="I120" s="514"/>
      <c r="J120" s="514"/>
      <c r="K120" s="514"/>
      <c r="L120" s="514"/>
      <c r="M120" s="514"/>
      <c r="N120" s="514"/>
      <c r="O120" s="514"/>
      <c r="P120" s="514"/>
    </row>
    <row r="121" spans="1:24" s="485" customFormat="1" ht="16.2">
      <c r="A121" s="489" t="s">
        <v>527</v>
      </c>
      <c r="B121" s="487" t="s">
        <v>803</v>
      </c>
      <c r="C121" s="487"/>
      <c r="D121" s="500">
        <f t="shared" ref="D121:P121" si="100">D108+D109+D114+D118+D119</f>
        <v>0</v>
      </c>
      <c r="E121" s="500">
        <f>E108+E109+E114+E118+E119</f>
        <v>0</v>
      </c>
      <c r="F121" s="500">
        <f t="shared" si="100"/>
        <v>0</v>
      </c>
      <c r="G121" s="500">
        <f t="shared" si="100"/>
        <v>54.749380495362544</v>
      </c>
      <c r="H121" s="500">
        <f t="shared" si="100"/>
        <v>183.44748824655554</v>
      </c>
      <c r="I121" s="500">
        <f t="shared" si="100"/>
        <v>923.38370441932943</v>
      </c>
      <c r="J121" s="500">
        <f t="shared" si="100"/>
        <v>2234.8646745838373</v>
      </c>
      <c r="K121" s="500">
        <f t="shared" si="100"/>
        <v>2042.3269490738285</v>
      </c>
      <c r="L121" s="500">
        <f t="shared" si="100"/>
        <v>6262.8170516385007</v>
      </c>
      <c r="M121" s="500">
        <f t="shared" si="100"/>
        <v>6534.0385913070486</v>
      </c>
      <c r="N121" s="500">
        <f t="shared" si="100"/>
        <v>13320.516268286334</v>
      </c>
      <c r="O121" s="500">
        <f t="shared" si="100"/>
        <v>10797.446979087632</v>
      </c>
      <c r="P121" s="500">
        <f t="shared" si="100"/>
        <v>19449.825438774191</v>
      </c>
      <c r="R121" s="500"/>
      <c r="S121" s="500">
        <f t="shared" si="44"/>
        <v>238.19686874191808</v>
      </c>
      <c r="T121" s="500">
        <f t="shared" si="45"/>
        <v>3158.2483790031665</v>
      </c>
      <c r="U121" s="500">
        <f t="shared" si="46"/>
        <v>8305.1440007123292</v>
      </c>
      <c r="V121" s="500">
        <f t="shared" si="47"/>
        <v>19854.554859593383</v>
      </c>
      <c r="W121" s="500">
        <f t="shared" si="48"/>
        <v>30247.272417861823</v>
      </c>
    </row>
    <row r="122" spans="1:24" s="485" customFormat="1" ht="16.2">
      <c r="A122" s="489" t="s">
        <v>475</v>
      </c>
      <c r="B122" s="487" t="s">
        <v>803</v>
      </c>
      <c r="C122" s="487"/>
      <c r="D122" s="547"/>
      <c r="E122" s="547"/>
      <c r="F122" s="547"/>
      <c r="G122" s="547"/>
      <c r="H122" s="547"/>
      <c r="I122" s="547"/>
      <c r="J122" s="547"/>
      <c r="K122" s="547"/>
      <c r="L122" s="547"/>
      <c r="M122" s="547"/>
      <c r="N122" s="547"/>
      <c r="O122" s="547"/>
      <c r="P122" s="547"/>
      <c r="R122" s="547"/>
      <c r="S122" s="547">
        <f t="shared" si="44"/>
        <v>0</v>
      </c>
      <c r="T122" s="547">
        <f t="shared" si="45"/>
        <v>0</v>
      </c>
      <c r="U122" s="547">
        <f t="shared" si="46"/>
        <v>0</v>
      </c>
      <c r="V122" s="547">
        <f t="shared" si="47"/>
        <v>0</v>
      </c>
      <c r="W122" s="547">
        <f t="shared" si="48"/>
        <v>0</v>
      </c>
    </row>
    <row r="123" spans="1:24" s="127" customFormat="1" ht="16.2">
      <c r="A123" s="486" t="s">
        <v>539</v>
      </c>
      <c r="B123" s="487" t="s">
        <v>803</v>
      </c>
      <c r="C123" s="487"/>
      <c r="D123" s="546">
        <f t="shared" ref="D123:P123" si="101">D121+D122</f>
        <v>0</v>
      </c>
      <c r="E123" s="546">
        <f t="shared" si="101"/>
        <v>0</v>
      </c>
      <c r="F123" s="546">
        <f t="shared" si="101"/>
        <v>0</v>
      </c>
      <c r="G123" s="546">
        <f t="shared" si="101"/>
        <v>54.749380495362544</v>
      </c>
      <c r="H123" s="546">
        <f t="shared" si="101"/>
        <v>183.44748824655554</v>
      </c>
      <c r="I123" s="546">
        <f t="shared" si="101"/>
        <v>923.38370441932943</v>
      </c>
      <c r="J123" s="546">
        <f t="shared" si="101"/>
        <v>2234.8646745838373</v>
      </c>
      <c r="K123" s="546">
        <f t="shared" si="101"/>
        <v>2042.3269490738285</v>
      </c>
      <c r="L123" s="546">
        <f t="shared" si="101"/>
        <v>6262.8170516385007</v>
      </c>
      <c r="M123" s="546">
        <f t="shared" si="101"/>
        <v>6534.0385913070486</v>
      </c>
      <c r="N123" s="546">
        <f t="shared" si="101"/>
        <v>13320.516268286334</v>
      </c>
      <c r="O123" s="546">
        <f t="shared" si="101"/>
        <v>10797.446979087632</v>
      </c>
      <c r="P123" s="546">
        <f t="shared" si="101"/>
        <v>19449.825438774191</v>
      </c>
      <c r="R123" s="546"/>
      <c r="S123" s="546">
        <f t="shared" si="44"/>
        <v>238.19686874191808</v>
      </c>
      <c r="T123" s="546">
        <f t="shared" si="45"/>
        <v>3158.2483790031665</v>
      </c>
      <c r="U123" s="546">
        <f t="shared" si="46"/>
        <v>8305.1440007123292</v>
      </c>
      <c r="V123" s="546">
        <f t="shared" si="47"/>
        <v>19854.554859593383</v>
      </c>
      <c r="W123" s="546">
        <f t="shared" si="48"/>
        <v>30247.272417861823</v>
      </c>
    </row>
    <row r="124" spans="1:24" s="127" customFormat="1" ht="16.2">
      <c r="A124" s="486" t="s">
        <v>540</v>
      </c>
      <c r="B124" s="487" t="s">
        <v>803</v>
      </c>
      <c r="C124" s="487"/>
      <c r="D124" s="546"/>
      <c r="E124" s="546"/>
      <c r="F124" s="546"/>
      <c r="G124" s="546"/>
      <c r="H124" s="546"/>
      <c r="I124" s="546"/>
      <c r="J124" s="546"/>
      <c r="K124" s="546"/>
      <c r="L124" s="546"/>
      <c r="M124" s="546"/>
      <c r="N124" s="546"/>
      <c r="O124" s="546"/>
      <c r="P124" s="546"/>
      <c r="R124" s="546"/>
      <c r="S124" s="546">
        <f t="shared" si="44"/>
        <v>0</v>
      </c>
      <c r="T124" s="546">
        <f t="shared" si="45"/>
        <v>0</v>
      </c>
      <c r="U124" s="546">
        <f t="shared" si="46"/>
        <v>0</v>
      </c>
      <c r="V124" s="546">
        <f t="shared" si="47"/>
        <v>0</v>
      </c>
      <c r="W124" s="546">
        <f t="shared" si="48"/>
        <v>0</v>
      </c>
    </row>
    <row r="125" spans="1:24" s="485" customFormat="1" ht="16.2">
      <c r="A125" s="489" t="s">
        <v>676</v>
      </c>
      <c r="B125" s="487" t="s">
        <v>803</v>
      </c>
      <c r="C125" s="488"/>
      <c r="D125" s="547">
        <f>D123+D124</f>
        <v>0</v>
      </c>
      <c r="E125" s="547">
        <f t="shared" ref="E125" si="102">E123+E124</f>
        <v>0</v>
      </c>
      <c r="F125" s="547">
        <f t="shared" ref="F125" si="103">F123+F124</f>
        <v>0</v>
      </c>
      <c r="G125" s="547">
        <f t="shared" ref="G125" si="104">G123+G124</f>
        <v>54.749380495362544</v>
      </c>
      <c r="H125" s="547">
        <f t="shared" ref="H125" si="105">H123+H124</f>
        <v>183.44748824655554</v>
      </c>
      <c r="I125" s="547">
        <f t="shared" ref="I125" si="106">I123+I124</f>
        <v>923.38370441932943</v>
      </c>
      <c r="J125" s="547">
        <f t="shared" ref="J125" si="107">J123+J124</f>
        <v>2234.8646745838373</v>
      </c>
      <c r="K125" s="547">
        <f t="shared" ref="K125" si="108">K123+K124</f>
        <v>2042.3269490738285</v>
      </c>
      <c r="L125" s="547">
        <f t="shared" ref="L125" si="109">L123+L124</f>
        <v>6262.8170516385007</v>
      </c>
      <c r="M125" s="547">
        <f t="shared" ref="M125" si="110">M123+M124</f>
        <v>6534.0385913070486</v>
      </c>
      <c r="N125" s="547">
        <f t="shared" ref="N125" si="111">N123+N124</f>
        <v>13320.516268286334</v>
      </c>
      <c r="O125" s="547">
        <f t="shared" ref="O125" si="112">O123+O124</f>
        <v>10797.446979087632</v>
      </c>
      <c r="P125" s="547">
        <f t="shared" ref="P125" si="113">P123+P124</f>
        <v>19449.825438774191</v>
      </c>
      <c r="R125" s="547"/>
      <c r="S125" s="547">
        <f t="shared" si="44"/>
        <v>238.19686874191808</v>
      </c>
      <c r="T125" s="547">
        <f t="shared" si="45"/>
        <v>3158.2483790031665</v>
      </c>
      <c r="U125" s="547">
        <f t="shared" si="46"/>
        <v>8305.1440007123292</v>
      </c>
      <c r="V125" s="547">
        <f t="shared" si="47"/>
        <v>19854.554859593383</v>
      </c>
      <c r="W125" s="547">
        <f t="shared" si="48"/>
        <v>30247.272417861823</v>
      </c>
      <c r="X125" s="557" t="s">
        <v>851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9" tint="0.79998168889431442"/>
  </sheetPr>
  <dimension ref="A1:H25"/>
  <sheetViews>
    <sheetView workbookViewId="0"/>
  </sheetViews>
  <sheetFormatPr defaultColWidth="8.88671875" defaultRowHeight="14.4"/>
  <cols>
    <col min="1" max="1" width="60.109375" style="162" customWidth="1"/>
    <col min="2" max="2" width="8.88671875" style="162"/>
    <col min="3" max="3" width="35.88671875" style="162" customWidth="1"/>
    <col min="4" max="8" width="15.33203125" style="162" bestFit="1" customWidth="1"/>
    <col min="9" max="16384" width="8.88671875" style="162"/>
  </cols>
  <sheetData>
    <row r="1" spans="1:8" s="105" customFormat="1" ht="19.8">
      <c r="A1" s="156" t="s">
        <v>1390</v>
      </c>
      <c r="B1" s="156"/>
      <c r="C1" s="156"/>
      <c r="D1" s="156"/>
      <c r="E1" s="156"/>
      <c r="F1" s="156"/>
      <c r="G1" s="156"/>
      <c r="H1" s="156"/>
    </row>
    <row r="2" spans="1:8" s="107" customFormat="1" ht="13.8">
      <c r="A2" s="106"/>
      <c r="D2" s="109"/>
      <c r="E2" s="109"/>
      <c r="F2" s="109"/>
      <c r="G2" s="109"/>
      <c r="H2" s="109"/>
    </row>
    <row r="3" spans="1:8" s="108" customFormat="1" ht="13.8">
      <c r="A3" s="110"/>
      <c r="D3" s="640">
        <v>496.75</v>
      </c>
      <c r="E3" s="640">
        <v>519</v>
      </c>
      <c r="F3" s="640">
        <v>535</v>
      </c>
      <c r="G3" s="640">
        <v>551</v>
      </c>
      <c r="H3" s="640">
        <v>566.10696882522166</v>
      </c>
    </row>
    <row r="4" spans="1:8" s="147" customFormat="1" ht="13.8">
      <c r="D4" s="148">
        <v>2025</v>
      </c>
      <c r="E4" s="148">
        <v>2026</v>
      </c>
      <c r="F4" s="148">
        <v>2027</v>
      </c>
      <c r="G4" s="148">
        <v>2028</v>
      </c>
      <c r="H4" s="148">
        <v>2029</v>
      </c>
    </row>
    <row r="5" spans="1:8" s="149" customFormat="1" ht="13.8">
      <c r="A5" s="150"/>
      <c r="B5" s="150"/>
      <c r="C5" s="150"/>
      <c r="D5" s="151" t="s">
        <v>308</v>
      </c>
      <c r="E5" s="151" t="s">
        <v>309</v>
      </c>
      <c r="F5" s="151" t="s">
        <v>311</v>
      </c>
      <c r="G5" s="151" t="s">
        <v>310</v>
      </c>
      <c r="H5" s="151" t="s">
        <v>312</v>
      </c>
    </row>
    <row r="6" spans="1:8" s="114" customFormat="1" ht="13.8"/>
    <row r="7" spans="1:8" s="119" customFormat="1" ht="12.6">
      <c r="A7" s="494" t="s">
        <v>921</v>
      </c>
      <c r="B7" s="116"/>
      <c r="C7" s="117"/>
      <c r="D7" s="118"/>
      <c r="E7" s="118"/>
      <c r="F7" s="118"/>
      <c r="G7" s="118"/>
      <c r="H7" s="118"/>
    </row>
    <row r="8" spans="1:8" ht="16.2">
      <c r="A8" s="486" t="s">
        <v>1381</v>
      </c>
      <c r="B8" s="487" t="s">
        <v>803</v>
      </c>
      <c r="D8" s="551">
        <f>'PL (Ecosystem)'!S26</f>
        <v>-16547.846109708084</v>
      </c>
      <c r="E8" s="551">
        <f>'PL (Ecosystem)'!T26</f>
        <v>-16396.113391781877</v>
      </c>
      <c r="F8" s="551">
        <f>'PL (Ecosystem)'!U26</f>
        <v>1148.0219620019416</v>
      </c>
      <c r="G8" s="551">
        <f>'PL (Ecosystem)'!V26</f>
        <v>52717.094989392965</v>
      </c>
      <c r="H8" s="551">
        <f>'PL (Ecosystem)'!W26</f>
        <v>103136.02364504342</v>
      </c>
    </row>
    <row r="9" spans="1:8" ht="16.2">
      <c r="A9" s="486" t="s">
        <v>1388</v>
      </c>
      <c r="B9" s="487" t="s">
        <v>803</v>
      </c>
      <c r="D9" s="551">
        <f>D25/D3</f>
        <v>10746.636789366426</v>
      </c>
      <c r="E9" s="551">
        <f>E25/E3</f>
        <v>15172.386956881825</v>
      </c>
      <c r="F9" s="551">
        <f>F25/F3</f>
        <v>17741.362833979703</v>
      </c>
      <c r="G9" s="551">
        <f>G25/G3</f>
        <v>20884.609634698543</v>
      </c>
      <c r="H9" s="551">
        <f>H25/H3</f>
        <v>24127.51666277921</v>
      </c>
    </row>
    <row r="10" spans="1:8" ht="16.2">
      <c r="A10" s="486"/>
      <c r="B10" s="487"/>
      <c r="D10" s="551"/>
      <c r="E10" s="551"/>
      <c r="F10" s="551"/>
      <c r="G10" s="551"/>
      <c r="H10" s="551"/>
    </row>
    <row r="11" spans="1:8" ht="16.2">
      <c r="A11" s="489" t="s">
        <v>1382</v>
      </c>
      <c r="B11" s="488" t="s">
        <v>803</v>
      </c>
      <c r="C11" s="239"/>
      <c r="D11" s="552">
        <f>D8+D9</f>
        <v>-5801.2093203416571</v>
      </c>
      <c r="E11" s="552">
        <f t="shared" ref="E11:H11" si="0">E8+E9</f>
        <v>-1223.7264349000525</v>
      </c>
      <c r="F11" s="552">
        <f t="shared" si="0"/>
        <v>18889.384795981645</v>
      </c>
      <c r="G11" s="552">
        <f t="shared" si="0"/>
        <v>73601.704624091508</v>
      </c>
      <c r="H11" s="552">
        <f t="shared" si="0"/>
        <v>127263.54030782262</v>
      </c>
    </row>
    <row r="13" spans="1:8" s="119" customFormat="1" ht="12.6">
      <c r="A13" s="494" t="s">
        <v>917</v>
      </c>
      <c r="B13" s="116"/>
      <c r="C13" s="117"/>
      <c r="D13" s="118"/>
      <c r="E13" s="118"/>
      <c r="F13" s="118"/>
      <c r="G13" s="118"/>
      <c r="H13" s="118"/>
    </row>
    <row r="14" spans="1:8">
      <c r="A14" s="162" t="s">
        <v>914</v>
      </c>
      <c r="B14" s="487" t="s">
        <v>1267</v>
      </c>
      <c r="C14" s="487" t="s">
        <v>1389</v>
      </c>
      <c r="D14" s="570">
        <v>-2576519.7310112761</v>
      </c>
      <c r="E14" s="570">
        <v>-2697432.1342991171</v>
      </c>
      <c r="F14" s="570">
        <v>-2845659.9445664808</v>
      </c>
      <c r="G14" s="570">
        <v>-3032975.9416014301</v>
      </c>
      <c r="H14" s="570">
        <v>-3245284.2575135306</v>
      </c>
    </row>
    <row r="15" spans="1:8">
      <c r="A15" s="162" t="s">
        <v>1383</v>
      </c>
      <c r="B15" s="487" t="s">
        <v>231</v>
      </c>
      <c r="D15" s="307">
        <v>0.2</v>
      </c>
      <c r="E15" s="307">
        <v>0.2</v>
      </c>
      <c r="F15" s="307">
        <v>0.2</v>
      </c>
      <c r="G15" s="307">
        <v>0.2</v>
      </c>
      <c r="H15" s="307">
        <v>0.2</v>
      </c>
    </row>
    <row r="17" spans="1:8">
      <c r="A17" s="162" t="s">
        <v>915</v>
      </c>
      <c r="B17" s="487" t="s">
        <v>1267</v>
      </c>
      <c r="C17" s="487" t="s">
        <v>1389</v>
      </c>
      <c r="D17" s="570">
        <v>11561255.481036311</v>
      </c>
      <c r="E17" s="570">
        <v>14251585.620887406</v>
      </c>
      <c r="F17" s="570">
        <v>16309368.636011602</v>
      </c>
      <c r="G17" s="570">
        <v>18922102.236971837</v>
      </c>
      <c r="H17" s="570">
        <v>21913055.461732324</v>
      </c>
    </row>
    <row r="18" spans="1:8">
      <c r="A18" s="162" t="s">
        <v>916</v>
      </c>
      <c r="B18" s="487" t="s">
        <v>1267</v>
      </c>
      <c r="C18" s="487" t="s">
        <v>1389</v>
      </c>
      <c r="D18" s="570">
        <v>-3387928.2716760468</v>
      </c>
      <c r="E18" s="570">
        <v>-3426225.4229524573</v>
      </c>
      <c r="F18" s="570">
        <v>-3702153.7325668838</v>
      </c>
      <c r="G18" s="570">
        <v>-4017786.1791225541</v>
      </c>
      <c r="H18" s="570">
        <v>-4629066.3335566474</v>
      </c>
    </row>
    <row r="19" spans="1:8">
      <c r="A19" s="162" t="s">
        <v>307</v>
      </c>
      <c r="B19" s="487" t="s">
        <v>1267</v>
      </c>
      <c r="C19" s="487" t="s">
        <v>1389</v>
      </c>
      <c r="D19" s="570">
        <v>-3332247.4285910083</v>
      </c>
      <c r="E19" s="570">
        <v>-3462663.8191265259</v>
      </c>
      <c r="F19" s="570">
        <v>-3646499.844958812</v>
      </c>
      <c r="G19" s="570">
        <v>-3953898.4316964149</v>
      </c>
      <c r="H19" s="570">
        <v>-4212374.1911509288</v>
      </c>
    </row>
    <row r="20" spans="1:8">
      <c r="A20" s="636" t="s">
        <v>1384</v>
      </c>
      <c r="B20" s="637" t="s">
        <v>1267</v>
      </c>
      <c r="C20" s="638"/>
      <c r="D20" s="639">
        <f>-D14*D15</f>
        <v>515303.94620225526</v>
      </c>
      <c r="E20" s="639">
        <f t="shared" ref="E20:H20" si="1">-E14*E15</f>
        <v>539486.4268598234</v>
      </c>
      <c r="F20" s="639">
        <f t="shared" si="1"/>
        <v>569131.98891329614</v>
      </c>
      <c r="G20" s="639">
        <f t="shared" si="1"/>
        <v>606595.18832028599</v>
      </c>
      <c r="H20" s="639">
        <f t="shared" si="1"/>
        <v>649056.85150270618</v>
      </c>
    </row>
    <row r="21" spans="1:8">
      <c r="A21" s="162" t="s">
        <v>1385</v>
      </c>
      <c r="B21" s="487" t="s">
        <v>1267</v>
      </c>
      <c r="D21" s="634">
        <f>D19+D20</f>
        <v>-2816943.482388753</v>
      </c>
      <c r="E21" s="634">
        <f t="shared" ref="E21:H21" si="2">E19+E20</f>
        <v>-2923177.3922667024</v>
      </c>
      <c r="F21" s="634">
        <f t="shared" si="2"/>
        <v>-3077367.8560455157</v>
      </c>
      <c r="G21" s="634">
        <f t="shared" si="2"/>
        <v>-3347303.2433761288</v>
      </c>
      <c r="H21" s="634">
        <f t="shared" si="2"/>
        <v>-3563317.3396482226</v>
      </c>
    </row>
    <row r="22" spans="1:8">
      <c r="A22" s="162" t="s">
        <v>1386</v>
      </c>
      <c r="B22" s="487" t="s">
        <v>1267</v>
      </c>
      <c r="D22" s="634">
        <f>D17+D18+D21</f>
        <v>5356383.7269715108</v>
      </c>
      <c r="E22" s="634">
        <f t="shared" ref="E22:H22" si="3">E17+E18+E21</f>
        <v>7902182.805668246</v>
      </c>
      <c r="F22" s="634">
        <f t="shared" si="3"/>
        <v>9529847.0473992024</v>
      </c>
      <c r="G22" s="634">
        <f t="shared" si="3"/>
        <v>11557012.814473154</v>
      </c>
      <c r="H22" s="634">
        <f t="shared" si="3"/>
        <v>13720671.788527453</v>
      </c>
    </row>
    <row r="23" spans="1:8">
      <c r="A23" s="162" t="s">
        <v>918</v>
      </c>
      <c r="B23" s="487" t="s">
        <v>1267</v>
      </c>
      <c r="C23" s="487" t="s">
        <v>1389</v>
      </c>
      <c r="D23" s="634">
        <v>-17991.901853738098</v>
      </c>
      <c r="E23" s="634">
        <v>-27713.975046578336</v>
      </c>
      <c r="F23" s="634">
        <v>-38217.931220060244</v>
      </c>
      <c r="G23" s="634">
        <v>-49592.905754257321</v>
      </c>
      <c r="H23" s="634">
        <v>-61916.465281486351</v>
      </c>
    </row>
    <row r="24" spans="1:8">
      <c r="B24" s="487"/>
      <c r="C24" s="487"/>
      <c r="D24" s="634"/>
      <c r="E24" s="634"/>
      <c r="F24" s="634"/>
      <c r="G24" s="634"/>
      <c r="H24" s="634"/>
    </row>
    <row r="25" spans="1:8">
      <c r="A25" s="239" t="s">
        <v>1387</v>
      </c>
      <c r="B25" s="488" t="s">
        <v>1267</v>
      </c>
      <c r="C25" s="239"/>
      <c r="D25" s="635">
        <f>D22+D23</f>
        <v>5338391.8251177724</v>
      </c>
      <c r="E25" s="635">
        <f t="shared" ref="E25:H25" si="4">E22+E23</f>
        <v>7874468.8306216672</v>
      </c>
      <c r="F25" s="635">
        <f t="shared" si="4"/>
        <v>9491629.1161791421</v>
      </c>
      <c r="G25" s="635">
        <f t="shared" si="4"/>
        <v>11507419.908718897</v>
      </c>
      <c r="H25" s="635">
        <f t="shared" si="4"/>
        <v>13658755.323245967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5" tint="0.79998168889431442"/>
  </sheetPr>
  <dimension ref="A1:J108"/>
  <sheetViews>
    <sheetView workbookViewId="0"/>
  </sheetViews>
  <sheetFormatPr defaultColWidth="8.88671875" defaultRowHeight="14.4"/>
  <cols>
    <col min="1" max="1" width="64.6640625" style="162" bestFit="1" customWidth="1"/>
    <col min="2" max="2" width="13.44140625" style="162" customWidth="1"/>
    <col min="3" max="3" width="12" style="162" bestFit="1" customWidth="1"/>
    <col min="4" max="5" width="13.5546875" style="162" bestFit="1" customWidth="1"/>
    <col min="6" max="6" width="15.6640625" style="162" bestFit="1" customWidth="1"/>
    <col min="7" max="7" width="15.88671875" style="162" bestFit="1" customWidth="1"/>
    <col min="8" max="9" width="8.88671875" style="162"/>
    <col min="10" max="10" width="15.88671875" style="162" bestFit="1" customWidth="1"/>
    <col min="11" max="16384" width="8.88671875" style="162"/>
  </cols>
  <sheetData>
    <row r="1" spans="1:8">
      <c r="A1" s="571"/>
      <c r="B1" s="572"/>
      <c r="C1" s="586"/>
      <c r="D1" s="586"/>
      <c r="E1" s="586"/>
      <c r="F1" s="586"/>
      <c r="G1" s="586"/>
      <c r="H1" s="573"/>
    </row>
    <row r="2" spans="1:8">
      <c r="A2" s="574" t="s">
        <v>244</v>
      </c>
      <c r="B2" s="220" t="s">
        <v>228</v>
      </c>
      <c r="C2" s="588">
        <v>2029</v>
      </c>
      <c r="H2" s="575"/>
    </row>
    <row r="3" spans="1:8" ht="16.2">
      <c r="A3" s="576" t="s">
        <v>855</v>
      </c>
      <c r="B3" s="220" t="s">
        <v>228</v>
      </c>
      <c r="C3" s="151" t="s">
        <v>312</v>
      </c>
      <c r="H3" s="575"/>
    </row>
    <row r="4" spans="1:8">
      <c r="A4" s="577"/>
      <c r="B4" s="220"/>
      <c r="H4" s="575"/>
    </row>
    <row r="5" spans="1:8">
      <c r="A5" s="578" t="s">
        <v>1171</v>
      </c>
      <c r="B5" s="138" t="s">
        <v>394</v>
      </c>
      <c r="C5" s="134">
        <f>Goals!W9</f>
        <v>8003045.6242299993</v>
      </c>
      <c r="H5" s="575"/>
    </row>
    <row r="6" spans="1:8">
      <c r="A6" s="578" t="s">
        <v>876</v>
      </c>
      <c r="B6" s="138" t="s">
        <v>898</v>
      </c>
      <c r="C6" s="134">
        <f>Goals!W10</f>
        <v>6402436.499384</v>
      </c>
      <c r="H6" s="575"/>
    </row>
    <row r="7" spans="1:8">
      <c r="A7" s="578" t="s">
        <v>877</v>
      </c>
      <c r="B7" s="138" t="s">
        <v>898</v>
      </c>
      <c r="C7" s="134">
        <f>Goals!W11</f>
        <v>1507002.9331499357</v>
      </c>
      <c r="H7" s="575"/>
    </row>
    <row r="8" spans="1:8">
      <c r="A8" s="578" t="s">
        <v>875</v>
      </c>
      <c r="B8" s="138" t="s">
        <v>898</v>
      </c>
      <c r="C8" s="134">
        <f>Goals!W12</f>
        <v>1374307.481383191</v>
      </c>
      <c r="H8" s="575"/>
    </row>
    <row r="9" spans="1:8">
      <c r="A9" s="578" t="s">
        <v>878</v>
      </c>
      <c r="B9" s="138" t="s">
        <v>394</v>
      </c>
      <c r="C9" s="134">
        <f>Goals!W13</f>
        <v>149000</v>
      </c>
      <c r="H9" s="575"/>
    </row>
    <row r="10" spans="1:8">
      <c r="A10" s="579"/>
      <c r="B10" s="155"/>
      <c r="H10" s="575"/>
    </row>
    <row r="11" spans="1:8" ht="16.2">
      <c r="A11" s="576" t="s">
        <v>546</v>
      </c>
      <c r="H11" s="575"/>
    </row>
    <row r="12" spans="1:8">
      <c r="A12" s="580"/>
      <c r="B12" s="138"/>
      <c r="H12" s="575"/>
    </row>
    <row r="13" spans="1:8" ht="16.2">
      <c r="A13" s="581" t="s">
        <v>547</v>
      </c>
      <c r="B13" s="558"/>
      <c r="C13" s="562">
        <f>Goals!W130</f>
        <v>0.33756728314070455</v>
      </c>
      <c r="E13" s="612"/>
      <c r="H13" s="575"/>
    </row>
    <row r="14" spans="1:8" ht="16.2">
      <c r="A14" s="581"/>
      <c r="B14" s="558"/>
      <c r="C14" s="562"/>
      <c r="H14" s="575"/>
    </row>
    <row r="15" spans="1:8" ht="16.2">
      <c r="A15" s="581" t="s">
        <v>912</v>
      </c>
      <c r="B15" s="558"/>
      <c r="C15" s="560">
        <f>Goals!W132</f>
        <v>127.26354030782262</v>
      </c>
      <c r="H15" s="575"/>
    </row>
    <row r="16" spans="1:8" ht="16.2">
      <c r="A16" s="581"/>
      <c r="B16" s="558"/>
      <c r="C16" s="560"/>
      <c r="H16" s="575"/>
    </row>
    <row r="17" spans="1:8" ht="16.2">
      <c r="A17" s="581" t="s">
        <v>548</v>
      </c>
      <c r="B17" s="558"/>
      <c r="C17" s="562">
        <f>Goals!W134</f>
        <v>0.91721397021299156</v>
      </c>
      <c r="H17" s="575"/>
    </row>
    <row r="18" spans="1:8" ht="16.2">
      <c r="A18" s="581"/>
      <c r="B18" s="558"/>
      <c r="C18" s="562"/>
      <c r="H18" s="575"/>
    </row>
    <row r="19" spans="1:8" ht="16.2">
      <c r="A19" s="581" t="s">
        <v>549</v>
      </c>
      <c r="B19" s="558"/>
      <c r="C19" s="562">
        <f>Goals!W136</f>
        <v>1.6560621502717283</v>
      </c>
      <c r="H19" s="575"/>
    </row>
    <row r="20" spans="1:8" ht="15" thickBot="1">
      <c r="A20" s="582"/>
      <c r="B20" s="583"/>
      <c r="C20" s="583"/>
      <c r="D20" s="583"/>
      <c r="E20" s="583"/>
      <c r="F20" s="583"/>
      <c r="G20" s="583"/>
      <c r="H20" s="584"/>
    </row>
    <row r="21" spans="1:8">
      <c r="A21" s="587"/>
      <c r="H21" s="575"/>
    </row>
    <row r="22" spans="1:8">
      <c r="A22" s="587"/>
      <c r="C22" s="588">
        <v>2025</v>
      </c>
      <c r="D22" s="588">
        <v>2026</v>
      </c>
      <c r="E22" s="588">
        <v>2027</v>
      </c>
      <c r="F22" s="588">
        <v>2028</v>
      </c>
      <c r="G22" s="588">
        <v>2029</v>
      </c>
      <c r="H22" s="575"/>
    </row>
    <row r="23" spans="1:8">
      <c r="A23" s="589" t="s">
        <v>798</v>
      </c>
      <c r="B23" s="116"/>
      <c r="C23" s="151" t="s">
        <v>308</v>
      </c>
      <c r="D23" s="151" t="s">
        <v>309</v>
      </c>
      <c r="E23" s="151" t="s">
        <v>311</v>
      </c>
      <c r="F23" s="151" t="s">
        <v>310</v>
      </c>
      <c r="G23" s="151" t="s">
        <v>312</v>
      </c>
      <c r="H23" s="575"/>
    </row>
    <row r="24" spans="1:8" ht="16.2">
      <c r="A24" s="590" t="s">
        <v>871</v>
      </c>
      <c r="B24" s="487" t="s">
        <v>803</v>
      </c>
      <c r="C24" s="542">
        <f>'PL (Ecosystem)'!S8</f>
        <v>649.45725405091844</v>
      </c>
      <c r="D24" s="542">
        <f>'PL (Ecosystem)'!T8</f>
        <v>9212.7553212691801</v>
      </c>
      <c r="E24" s="542">
        <f>'PL (Ecosystem)'!U8</f>
        <v>23634.4633900224</v>
      </c>
      <c r="F24" s="542">
        <f>'PL (Ecosystem)'!V8</f>
        <v>47345.354230374709</v>
      </c>
      <c r="G24" s="542">
        <f>'PL (Ecosystem)'!W8</f>
        <v>71920.505737474334</v>
      </c>
      <c r="H24" s="575"/>
    </row>
    <row r="25" spans="1:8">
      <c r="A25" s="591" t="s">
        <v>861</v>
      </c>
      <c r="B25" s="487" t="s">
        <v>803</v>
      </c>
      <c r="C25" s="543">
        <f>'PL (Ecosystem)'!S9</f>
        <v>1834.7636385221908</v>
      </c>
      <c r="D25" s="543">
        <f>'PL (Ecosystem)'!T9</f>
        <v>26221.607391578575</v>
      </c>
      <c r="E25" s="543">
        <f>'PL (Ecosystem)'!U9</f>
        <v>67978.502609435847</v>
      </c>
      <c r="F25" s="543">
        <f>'PL (Ecosystem)'!V9</f>
        <v>127223.350700273</v>
      </c>
      <c r="G25" s="543">
        <f>'PL (Ecosystem)'!W9</f>
        <v>182291.94847308152</v>
      </c>
      <c r="H25" s="575"/>
    </row>
    <row r="26" spans="1:8">
      <c r="A26" s="591" t="s">
        <v>867</v>
      </c>
      <c r="B26" s="487" t="s">
        <v>803</v>
      </c>
      <c r="C26" s="514">
        <f>'PL (Ecosystem)'!S10</f>
        <v>-1185.3063844712724</v>
      </c>
      <c r="D26" s="514">
        <f>'PL (Ecosystem)'!T10</f>
        <v>-17008.852070309396</v>
      </c>
      <c r="E26" s="514">
        <f>'PL (Ecosystem)'!U10</f>
        <v>-44344.039219413447</v>
      </c>
      <c r="F26" s="514">
        <f>'PL (Ecosystem)'!V10</f>
        <v>-79877.996469898295</v>
      </c>
      <c r="G26" s="514">
        <f>'PL (Ecosystem)'!W10</f>
        <v>-110371.44273560718</v>
      </c>
      <c r="H26" s="575"/>
    </row>
    <row r="27" spans="1:8" ht="16.2">
      <c r="A27" s="590" t="s">
        <v>870</v>
      </c>
      <c r="B27" s="487" t="s">
        <v>803</v>
      </c>
      <c r="C27" s="542">
        <f>'PL (Ecosystem)'!S11</f>
        <v>202.05904035786284</v>
      </c>
      <c r="D27" s="542">
        <f>'PL (Ecosystem)'!T11</f>
        <v>2162.902128528232</v>
      </c>
      <c r="E27" s="542">
        <f>'PL (Ecosystem)'!U11</f>
        <v>6237.4492822011671</v>
      </c>
      <c r="F27" s="542">
        <f>'PL (Ecosystem)'!V11</f>
        <v>11884.178811572336</v>
      </c>
      <c r="G27" s="542">
        <f>'PL (Ecosystem)'!W11</f>
        <v>18623.980702731496</v>
      </c>
      <c r="H27" s="575"/>
    </row>
    <row r="28" spans="1:8">
      <c r="A28" s="591" t="s">
        <v>862</v>
      </c>
      <c r="B28" s="487" t="s">
        <v>803</v>
      </c>
      <c r="C28" s="514">
        <f>'PL (Ecosystem)'!S12</f>
        <v>-1448.6768320032561</v>
      </c>
      <c r="D28" s="514">
        <f>'PL (Ecosystem)'!T12</f>
        <v>-10004.547428130336</v>
      </c>
      <c r="E28" s="514">
        <f>'PL (Ecosystem)'!U12</f>
        <v>-33522.949587309427</v>
      </c>
      <c r="F28" s="514">
        <f>'PL (Ecosystem)'!V12</f>
        <v>-70509.656352570222</v>
      </c>
      <c r="G28" s="514">
        <f>'PL (Ecosystem)'!W12</f>
        <v>-110867.2805259726</v>
      </c>
      <c r="H28" s="575"/>
    </row>
    <row r="29" spans="1:8">
      <c r="A29" s="591" t="s">
        <v>874</v>
      </c>
      <c r="B29" s="487" t="s">
        <v>803</v>
      </c>
      <c r="C29" s="543">
        <f>'PL (Ecosystem)'!S13</f>
        <v>1709.6076973134595</v>
      </c>
      <c r="D29" s="543">
        <f>'PL (Ecosystem)'!T13</f>
        <v>12203.621077592474</v>
      </c>
      <c r="E29" s="543">
        <f>'PL (Ecosystem)'!U13</f>
        <v>39990.780056244956</v>
      </c>
      <c r="F29" s="543">
        <f>'PL (Ecosystem)'!V13</f>
        <v>82774.815211962501</v>
      </c>
      <c r="G29" s="543">
        <f>'PL (Ecosystem)'!W13</f>
        <v>129653.69956100214</v>
      </c>
      <c r="H29" s="575"/>
    </row>
    <row r="30" spans="1:8">
      <c r="A30" s="591" t="s">
        <v>869</v>
      </c>
      <c r="B30" s="487" t="s">
        <v>803</v>
      </c>
      <c r="C30" s="514">
        <f>'PL (Ecosystem)'!S14</f>
        <v>-58.871824952340489</v>
      </c>
      <c r="D30" s="514">
        <f>'PL (Ecosystem)'!T14</f>
        <v>-36.171520933906052</v>
      </c>
      <c r="E30" s="514">
        <f>'PL (Ecosystem)'!U14</f>
        <v>-230.38118673436816</v>
      </c>
      <c r="F30" s="514">
        <f>'PL (Ecosystem)'!V14</f>
        <v>-380.980047819937</v>
      </c>
      <c r="G30" s="514">
        <f>'PL (Ecosystem)'!W14</f>
        <v>-162.43833229803693</v>
      </c>
      <c r="H30" s="575"/>
    </row>
    <row r="31" spans="1:8" ht="16.2">
      <c r="A31" s="590" t="s">
        <v>868</v>
      </c>
      <c r="B31" s="487" t="s">
        <v>803</v>
      </c>
      <c r="C31" s="546">
        <f>'PL (Ecosystem)'!S15</f>
        <v>851.51629440878128</v>
      </c>
      <c r="D31" s="546">
        <f>'PL (Ecosystem)'!T15</f>
        <v>11375.657449797412</v>
      </c>
      <c r="E31" s="546">
        <f>'PL (Ecosystem)'!U15</f>
        <v>29871.912672223567</v>
      </c>
      <c r="F31" s="546">
        <f>'PL (Ecosystem)'!V15</f>
        <v>59229.533041947048</v>
      </c>
      <c r="G31" s="546">
        <f>'PL (Ecosystem)'!W15</f>
        <v>90544.48644020583</v>
      </c>
      <c r="H31" s="575"/>
    </row>
    <row r="32" spans="1:8">
      <c r="A32" s="592" t="s">
        <v>873</v>
      </c>
      <c r="B32" s="487" t="s">
        <v>803</v>
      </c>
      <c r="C32" s="514">
        <f>'PL (Ecosystem)'!S16</f>
        <v>-396.25782647611703</v>
      </c>
      <c r="D32" s="514">
        <f>'PL (Ecosystem)'!T16</f>
        <v>-9383.4136710619132</v>
      </c>
      <c r="E32" s="514">
        <f>'PL (Ecosystem)'!U16</f>
        <v>-24419.778387979182</v>
      </c>
      <c r="F32" s="514">
        <f>'PL (Ecosystem)'!V16</f>
        <v>-29633.459702930188</v>
      </c>
      <c r="G32" s="514">
        <f>'PL (Ecosystem)'!W16</f>
        <v>-32882.201401933147</v>
      </c>
      <c r="H32" s="575"/>
    </row>
    <row r="33" spans="1:8" ht="16.2">
      <c r="A33" s="590" t="s">
        <v>872</v>
      </c>
      <c r="B33" s="487" t="s">
        <v>803</v>
      </c>
      <c r="C33" s="544">
        <f>'PL (Ecosystem)'!S17</f>
        <v>455.2584679326643</v>
      </c>
      <c r="D33" s="544">
        <f>'PL (Ecosystem)'!T17</f>
        <v>1992.2437787354995</v>
      </c>
      <c r="E33" s="544">
        <f>'PL (Ecosystem)'!U17</f>
        <v>5452.1342842443846</v>
      </c>
      <c r="F33" s="544">
        <f>'PL (Ecosystem)'!V17</f>
        <v>29596.073339016861</v>
      </c>
      <c r="G33" s="544">
        <f>'PL (Ecosystem)'!W17</f>
        <v>57662.285038272676</v>
      </c>
      <c r="H33" s="575"/>
    </row>
    <row r="34" spans="1:8" ht="15.6">
      <c r="A34" s="590" t="s">
        <v>863</v>
      </c>
      <c r="B34" s="487" t="s">
        <v>803</v>
      </c>
      <c r="C34" s="545">
        <f>'PL (Ecosystem)'!S18</f>
        <v>630.14237307446467</v>
      </c>
      <c r="D34" s="545">
        <f>'PL (Ecosystem)'!T18</f>
        <v>16906.267977882071</v>
      </c>
      <c r="E34" s="545">
        <f>'PL (Ecosystem)'!U18</f>
        <v>61074.102136405061</v>
      </c>
      <c r="F34" s="545">
        <f>'PL (Ecosystem)'!V18</f>
        <v>113212.91263848654</v>
      </c>
      <c r="G34" s="545">
        <f>'PL (Ecosystem)'!W18</f>
        <v>158564.14631270221</v>
      </c>
      <c r="H34" s="575"/>
    </row>
    <row r="35" spans="1:8" ht="15.6">
      <c r="A35" s="590" t="s">
        <v>864</v>
      </c>
      <c r="B35" s="487" t="s">
        <v>803</v>
      </c>
      <c r="C35" s="514">
        <f>'PL (Ecosystem)'!S19</f>
        <v>-754.19853648033393</v>
      </c>
      <c r="D35" s="514">
        <f>'PL (Ecosystem)'!T19</f>
        <v>-10368.856013335017</v>
      </c>
      <c r="E35" s="514">
        <f>'PL (Ecosystem)'!U19</f>
        <v>-26241.043101064584</v>
      </c>
      <c r="F35" s="514">
        <f>'PL (Ecosystem)'!V19</f>
        <v>-37637.567465764085</v>
      </c>
      <c r="G35" s="514">
        <f>'PL (Ecosystem)'!W19</f>
        <v>-46380.891036344037</v>
      </c>
      <c r="H35" s="575"/>
    </row>
    <row r="36" spans="1:8" ht="15.6">
      <c r="A36" s="590" t="s">
        <v>865</v>
      </c>
      <c r="B36" s="487" t="s">
        <v>803</v>
      </c>
      <c r="C36" s="545">
        <f>'PL (Ecosystem)'!S20</f>
        <v>0</v>
      </c>
      <c r="D36" s="545">
        <f>'PL (Ecosystem)'!T20</f>
        <v>0</v>
      </c>
      <c r="E36" s="545">
        <f>'PL (Ecosystem)'!U20</f>
        <v>1147.2000000000003</v>
      </c>
      <c r="F36" s="545">
        <f>'PL (Ecosystem)'!V20</f>
        <v>1908.8000000000002</v>
      </c>
      <c r="G36" s="545">
        <f>'PL (Ecosystem)'!W20</f>
        <v>2670.4000000000005</v>
      </c>
      <c r="H36" s="575"/>
    </row>
    <row r="37" spans="1:8" ht="15.6">
      <c r="A37" s="590" t="s">
        <v>866</v>
      </c>
      <c r="B37" s="487" t="s">
        <v>803</v>
      </c>
      <c r="C37" s="514">
        <f>'PL (Ecosystem)'!S21</f>
        <v>0</v>
      </c>
      <c r="D37" s="514">
        <f>'PL (Ecosystem)'!T21</f>
        <v>-7.2</v>
      </c>
      <c r="E37" s="514">
        <f>'PL (Ecosystem)'!U21</f>
        <v>-28.680000000000007</v>
      </c>
      <c r="F37" s="514">
        <f>'PL (Ecosystem)'!V21</f>
        <v>-47.72</v>
      </c>
      <c r="G37" s="514">
        <f>'PL (Ecosystem)'!W21</f>
        <v>-66.759999999999991</v>
      </c>
      <c r="H37" s="575"/>
    </row>
    <row r="38" spans="1:8" ht="16.2">
      <c r="A38" s="593" t="s">
        <v>860</v>
      </c>
      <c r="B38" s="487" t="s">
        <v>803</v>
      </c>
      <c r="C38" s="544">
        <f>'PL (Ecosystem)'!S22</f>
        <v>331.2023045267951</v>
      </c>
      <c r="D38" s="544">
        <f>'PL (Ecosystem)'!T22</f>
        <v>8522.4557432825568</v>
      </c>
      <c r="E38" s="544">
        <f>'PL (Ecosystem)'!U22</f>
        <v>41403.713319584858</v>
      </c>
      <c r="F38" s="544">
        <f>'PL (Ecosystem)'!V22</f>
        <v>107032.49851173931</v>
      </c>
      <c r="G38" s="544">
        <f>'PL (Ecosystem)'!W22</f>
        <v>172449.18031463085</v>
      </c>
      <c r="H38" s="575"/>
    </row>
    <row r="39" spans="1:8" ht="16.2">
      <c r="A39" s="593" t="s">
        <v>859</v>
      </c>
      <c r="B39" s="487" t="s">
        <v>803</v>
      </c>
      <c r="C39" s="546">
        <f>'PL (Ecosystem)'!S24</f>
        <v>-16879.04841423488</v>
      </c>
      <c r="D39" s="546">
        <f>'PL (Ecosystem)'!T24</f>
        <v>-24918.569135064434</v>
      </c>
      <c r="E39" s="546">
        <f>'PL (Ecosystem)'!U24</f>
        <v>-40255.691357582917</v>
      </c>
      <c r="F39" s="546">
        <f>'PL (Ecosystem)'!V24</f>
        <v>-54315.403522346358</v>
      </c>
      <c r="G39" s="546">
        <f>'PL (Ecosystem)'!W24</f>
        <v>-69313.15666958745</v>
      </c>
      <c r="H39" s="575"/>
    </row>
    <row r="40" spans="1:8" ht="16.2">
      <c r="A40" s="590" t="s">
        <v>858</v>
      </c>
      <c r="B40" s="487" t="s">
        <v>803</v>
      </c>
      <c r="C40" s="551">
        <f>'PL (Ecosystem)'!S26</f>
        <v>-16547.846109708084</v>
      </c>
      <c r="D40" s="551">
        <f>'PL (Ecosystem)'!T26</f>
        <v>-16396.113391781877</v>
      </c>
      <c r="E40" s="551">
        <f>'PL (Ecosystem)'!U26</f>
        <v>1148.0219620019416</v>
      </c>
      <c r="F40" s="551">
        <f>'PL (Ecosystem)'!V26</f>
        <v>52717.094989392965</v>
      </c>
      <c r="G40" s="551">
        <f>'PL (Ecosystem)'!W26</f>
        <v>103136.02364504342</v>
      </c>
      <c r="H40" s="575"/>
    </row>
    <row r="41" spans="1:8" ht="16.2">
      <c r="A41" s="590" t="s">
        <v>857</v>
      </c>
      <c r="B41" s="487" t="s">
        <v>803</v>
      </c>
      <c r="C41" s="551">
        <f>'PL (Ecosystem)'!S27</f>
        <v>0</v>
      </c>
      <c r="D41" s="551">
        <f>'PL (Ecosystem)'!T27</f>
        <v>0</v>
      </c>
      <c r="E41" s="551">
        <f>'PL (Ecosystem)'!U27</f>
        <v>0</v>
      </c>
      <c r="F41" s="551">
        <f>'PL (Ecosystem)'!V27</f>
        <v>0</v>
      </c>
      <c r="G41" s="551">
        <f>'PL (Ecosystem)'!W27</f>
        <v>0</v>
      </c>
      <c r="H41" s="575"/>
    </row>
    <row r="42" spans="1:8" ht="16.2">
      <c r="A42" s="593" t="s">
        <v>920</v>
      </c>
      <c r="B42" s="487" t="s">
        <v>803</v>
      </c>
      <c r="C42" s="552">
        <f>'PL (Ecosystem)'!S28</f>
        <v>-16547.846109708084</v>
      </c>
      <c r="D42" s="552">
        <f>'PL (Ecosystem)'!T28</f>
        <v>-16396.113391781877</v>
      </c>
      <c r="E42" s="552">
        <f>'PL (Ecosystem)'!U28</f>
        <v>1148.0219620019416</v>
      </c>
      <c r="F42" s="552">
        <f>'PL (Ecosystem)'!V28</f>
        <v>52717.094989392965</v>
      </c>
      <c r="G42" s="552">
        <f>'PL (Ecosystem)'!W28</f>
        <v>103136.02364504342</v>
      </c>
      <c r="H42" s="575"/>
    </row>
    <row r="43" spans="1:8" ht="16.2">
      <c r="A43" s="593"/>
      <c r="B43" s="487"/>
      <c r="C43" s="552"/>
      <c r="D43" s="552"/>
      <c r="E43" s="552"/>
      <c r="F43" s="552"/>
      <c r="G43" s="552"/>
      <c r="H43" s="575"/>
    </row>
    <row r="44" spans="1:8" ht="16.2">
      <c r="A44" s="593" t="s">
        <v>919</v>
      </c>
      <c r="B44" s="487" t="s">
        <v>803</v>
      </c>
      <c r="C44" s="552">
        <f>'PL (Ecosystem+KEM)'!D11</f>
        <v>-5801.2093203416571</v>
      </c>
      <c r="D44" s="552">
        <f>'PL (Ecosystem+KEM)'!E11</f>
        <v>-1223.7264349000525</v>
      </c>
      <c r="E44" s="552">
        <f>'PL (Ecosystem+KEM)'!F11</f>
        <v>18889.384795981645</v>
      </c>
      <c r="F44" s="552">
        <f>'PL (Ecosystem+KEM)'!G11</f>
        <v>73601.704624091508</v>
      </c>
      <c r="G44" s="552">
        <f>'PL (Ecosystem+KEM)'!H11</f>
        <v>127263.54030782262</v>
      </c>
      <c r="H44" s="575"/>
    </row>
    <row r="45" spans="1:8" ht="15" thickBot="1">
      <c r="A45" s="582"/>
      <c r="B45" s="583"/>
      <c r="C45" s="583"/>
      <c r="D45" s="583"/>
      <c r="E45" s="583"/>
      <c r="F45" s="583"/>
      <c r="G45" s="583"/>
      <c r="H45" s="584"/>
    </row>
    <row r="46" spans="1:8">
      <c r="A46" s="585"/>
      <c r="B46" s="586"/>
      <c r="C46" s="586"/>
      <c r="D46" s="586"/>
      <c r="E46" s="586"/>
      <c r="F46" s="586"/>
      <c r="G46" s="586"/>
      <c r="H46" s="573"/>
    </row>
    <row r="47" spans="1:8">
      <c r="A47" s="587"/>
      <c r="C47" s="588">
        <v>2025</v>
      </c>
      <c r="D47" s="588">
        <v>2026</v>
      </c>
      <c r="E47" s="588">
        <v>2027</v>
      </c>
      <c r="F47" s="588">
        <v>2028</v>
      </c>
      <c r="G47" s="588">
        <v>2029</v>
      </c>
      <c r="H47" s="575"/>
    </row>
    <row r="48" spans="1:8">
      <c r="A48" s="589" t="s">
        <v>800</v>
      </c>
      <c r="B48" s="116"/>
      <c r="C48" s="151" t="s">
        <v>308</v>
      </c>
      <c r="D48" s="151" t="s">
        <v>309</v>
      </c>
      <c r="E48" s="151" t="s">
        <v>311</v>
      </c>
      <c r="F48" s="151" t="s">
        <v>310</v>
      </c>
      <c r="G48" s="151" t="s">
        <v>312</v>
      </c>
      <c r="H48" s="575"/>
    </row>
    <row r="49" spans="1:10">
      <c r="A49" s="587"/>
      <c r="H49" s="575"/>
    </row>
    <row r="50" spans="1:10" ht="15.6">
      <c r="A50" s="590" t="s">
        <v>880</v>
      </c>
      <c r="B50" s="487" t="s">
        <v>803</v>
      </c>
      <c r="C50" s="595">
        <f>'BS (Ecosystem)'!S9</f>
        <v>35413.155272745098</v>
      </c>
      <c r="D50" s="595">
        <f>'BS (Ecosystem)'!T9</f>
        <v>172382.70031982529</v>
      </c>
      <c r="E50" s="595">
        <f>'BS (Ecosystem)'!U9</f>
        <v>450388.02553854627</v>
      </c>
      <c r="F50" s="595">
        <f>'BS (Ecosystem)'!V9</f>
        <v>756409.23704480717</v>
      </c>
      <c r="G50" s="595">
        <f>'BS (Ecosystem)'!W9</f>
        <v>1037959.3146792927</v>
      </c>
      <c r="H50" s="575"/>
    </row>
    <row r="51" spans="1:10">
      <c r="A51" s="596" t="s">
        <v>882</v>
      </c>
      <c r="B51" s="487" t="s">
        <v>803</v>
      </c>
      <c r="C51" s="597">
        <f>'BS (Ecosystem)'!S10</f>
        <v>35413.155272745098</v>
      </c>
      <c r="D51" s="597">
        <f>'BS (Ecosystem)'!T10</f>
        <v>132946.95031982529</v>
      </c>
      <c r="E51" s="597">
        <f>'BS (Ecosystem)'!U10</f>
        <v>279939.3955385462</v>
      </c>
      <c r="F51" s="597">
        <f>'BS (Ecosystem)'!V10</f>
        <v>439273.62575867423</v>
      </c>
      <c r="G51" s="597">
        <f>'BS (Ecosystem)'!W10</f>
        <v>563890.76179878763</v>
      </c>
      <c r="H51" s="575"/>
    </row>
    <row r="52" spans="1:10">
      <c r="A52" s="596" t="s">
        <v>881</v>
      </c>
      <c r="B52" s="487" t="s">
        <v>803</v>
      </c>
      <c r="C52" s="597">
        <f>'BS (Ecosystem)'!S15</f>
        <v>0</v>
      </c>
      <c r="D52" s="597">
        <f>'BS (Ecosystem)'!T15</f>
        <v>39435.75</v>
      </c>
      <c r="E52" s="597">
        <f>'BS (Ecosystem)'!U15</f>
        <v>170448.63000000006</v>
      </c>
      <c r="F52" s="597">
        <f>'BS (Ecosystem)'!V15</f>
        <v>317135.61128613295</v>
      </c>
      <c r="G52" s="597">
        <f>'BS (Ecosystem)'!W15</f>
        <v>474068.55288050498</v>
      </c>
      <c r="H52" s="575"/>
    </row>
    <row r="53" spans="1:10" ht="15.6">
      <c r="A53" s="598" t="s">
        <v>885</v>
      </c>
      <c r="B53" s="487" t="s">
        <v>803</v>
      </c>
      <c r="C53" s="599">
        <f>'BS (Ecosystem)'!S21</f>
        <v>43146.733397745098</v>
      </c>
      <c r="D53" s="599">
        <f>'BS (Ecosystem)'!T21</f>
        <v>184325.46594482529</v>
      </c>
      <c r="E53" s="599">
        <f>'BS (Ecosystem)'!U21</f>
        <v>468487.58803854627</v>
      </c>
      <c r="F53" s="599">
        <f>'BS (Ecosystem)'!V21</f>
        <v>861238.31498917867</v>
      </c>
      <c r="G53" s="599">
        <f>'BS (Ecosystem)'!W21</f>
        <v>1255700.7761420913</v>
      </c>
      <c r="H53" s="575"/>
      <c r="J53" s="604"/>
    </row>
    <row r="54" spans="1:10" ht="15.6">
      <c r="A54" s="598"/>
      <c r="B54" s="487"/>
      <c r="C54" s="599"/>
      <c r="D54" s="599"/>
      <c r="E54" s="599"/>
      <c r="F54" s="599"/>
      <c r="G54" s="599"/>
      <c r="H54" s="575"/>
    </row>
    <row r="55" spans="1:10" ht="15.6">
      <c r="A55" s="590" t="s">
        <v>884</v>
      </c>
      <c r="B55" s="495"/>
      <c r="C55" s="595">
        <f>C56+C57</f>
        <v>30885.678659840483</v>
      </c>
      <c r="D55" s="595">
        <f t="shared" ref="D55:G55" si="0">D56+D57</f>
        <v>168246.34258119727</v>
      </c>
      <c r="E55" s="595">
        <f t="shared" si="0"/>
        <v>454978.4223582024</v>
      </c>
      <c r="F55" s="595">
        <f t="shared" si="0"/>
        <v>840317.15753927373</v>
      </c>
      <c r="G55" s="595">
        <f t="shared" si="0"/>
        <v>1131643.5950471428</v>
      </c>
      <c r="H55" s="575"/>
    </row>
    <row r="56" spans="1:10">
      <c r="A56" s="596" t="s">
        <v>882</v>
      </c>
      <c r="B56" s="487" t="s">
        <v>803</v>
      </c>
      <c r="C56" s="597">
        <f>'BS (Ecosystem)'!S23</f>
        <v>30885.678659840483</v>
      </c>
      <c r="D56" s="597">
        <f>'BS (Ecosystem)'!T23</f>
        <v>55806.342581197256</v>
      </c>
      <c r="E56" s="597">
        <f>'BS (Ecosystem)'!U23</f>
        <v>192396.39569153573</v>
      </c>
      <c r="F56" s="597">
        <f>'BS (Ecosystem)'!V23</f>
        <v>424901.57140594034</v>
      </c>
      <c r="G56" s="597">
        <f>'BS (Ecosystem)'!W23</f>
        <v>558987.83747914282</v>
      </c>
      <c r="H56" s="575"/>
    </row>
    <row r="57" spans="1:10">
      <c r="A57" s="596" t="s">
        <v>881</v>
      </c>
      <c r="B57" s="487" t="s">
        <v>803</v>
      </c>
      <c r="C57" s="597">
        <f>'BS (Ecosystem)'!S27</f>
        <v>0</v>
      </c>
      <c r="D57" s="597">
        <f>'BS (Ecosystem)'!T27</f>
        <v>112440</v>
      </c>
      <c r="E57" s="597">
        <f>'BS (Ecosystem)'!U27</f>
        <v>262582.02666666667</v>
      </c>
      <c r="F57" s="597">
        <f>'BS (Ecosystem)'!V27</f>
        <v>415415.58613333339</v>
      </c>
      <c r="G57" s="597">
        <f>'BS (Ecosystem)'!W27</f>
        <v>572655.757568</v>
      </c>
      <c r="H57" s="575"/>
    </row>
    <row r="58" spans="1:10" ht="15.6">
      <c r="A58" s="598" t="s">
        <v>886</v>
      </c>
      <c r="B58" s="487" t="s">
        <v>803</v>
      </c>
      <c r="C58" s="599">
        <f>'BS (Ecosystem)'!S33</f>
        <v>59694.579507453178</v>
      </c>
      <c r="D58" s="599">
        <f>'BS (Ecosystem)'!T33</f>
        <v>217269.42544631526</v>
      </c>
      <c r="E58" s="599">
        <f>'BS (Ecosystem)'!U33</f>
        <v>500283.52557803428</v>
      </c>
      <c r="F58" s="599">
        <f>'BS (Ecosystem)'!V33</f>
        <v>840317.15753927373</v>
      </c>
      <c r="G58" s="599">
        <f>'BS (Ecosystem)'!W33</f>
        <v>1131643.5950471428</v>
      </c>
      <c r="H58" s="575"/>
    </row>
    <row r="59" spans="1:10" ht="15.6">
      <c r="A59" s="600"/>
      <c r="B59" s="495"/>
      <c r="H59" s="575"/>
    </row>
    <row r="60" spans="1:10" ht="15.6">
      <c r="A60" s="601" t="s">
        <v>920</v>
      </c>
      <c r="B60" s="487" t="s">
        <v>803</v>
      </c>
      <c r="C60" s="594">
        <f>'BS (Ecosystem)'!S35</f>
        <v>-16547.846109708084</v>
      </c>
      <c r="D60" s="594">
        <f>'BS (Ecosystem)'!T35</f>
        <v>-32943.959501489961</v>
      </c>
      <c r="E60" s="594">
        <f>'BS (Ecosystem)'!U35</f>
        <v>-31795.937539488019</v>
      </c>
      <c r="F60" s="594">
        <f>'BS (Ecosystem)'!V35</f>
        <v>20921.157449904946</v>
      </c>
      <c r="G60" s="594">
        <f>'BS (Ecosystem)'!W35</f>
        <v>124057.18109494836</v>
      </c>
      <c r="H60" s="575"/>
    </row>
    <row r="61" spans="1:10" ht="15.6" hidden="1">
      <c r="A61" s="601"/>
      <c r="B61" s="487"/>
      <c r="H61" s="575"/>
    </row>
    <row r="62" spans="1:10" hidden="1">
      <c r="A62" s="602" t="s">
        <v>879</v>
      </c>
      <c r="B62" s="487" t="s">
        <v>803</v>
      </c>
      <c r="C62" s="487">
        <f>'BS (Ecosystem)'!S38</f>
        <v>0</v>
      </c>
      <c r="D62" s="487">
        <f>'BS (Ecosystem)'!T38</f>
        <v>0</v>
      </c>
      <c r="E62" s="487">
        <f>'BS (Ecosystem)'!U38</f>
        <v>0</v>
      </c>
      <c r="F62" s="487">
        <f>'BS (Ecosystem)'!V38</f>
        <v>0</v>
      </c>
      <c r="G62" s="487">
        <f>'BS (Ecosystem)'!W38</f>
        <v>0</v>
      </c>
      <c r="H62" s="575"/>
    </row>
    <row r="63" spans="1:10" ht="15" thickBot="1">
      <c r="A63" s="582"/>
      <c r="B63" s="583"/>
      <c r="C63" s="583"/>
      <c r="D63" s="583"/>
      <c r="E63" s="583"/>
      <c r="F63" s="583"/>
      <c r="G63" s="583"/>
      <c r="H63" s="584"/>
    </row>
    <row r="64" spans="1:10">
      <c r="A64" s="585"/>
      <c r="B64" s="586"/>
      <c r="C64" s="586"/>
      <c r="D64" s="586"/>
      <c r="E64" s="586"/>
      <c r="F64" s="586"/>
      <c r="G64" s="586"/>
      <c r="H64" s="573"/>
    </row>
    <row r="65" spans="1:8">
      <c r="A65" s="587"/>
      <c r="C65" s="588">
        <v>2025</v>
      </c>
      <c r="D65" s="588">
        <v>2026</v>
      </c>
      <c r="E65" s="588">
        <v>2027</v>
      </c>
      <c r="F65" s="588">
        <v>2028</v>
      </c>
      <c r="G65" s="588">
        <v>2029</v>
      </c>
      <c r="H65" s="575"/>
    </row>
    <row r="66" spans="1:8">
      <c r="A66" s="587"/>
      <c r="C66" s="151" t="s">
        <v>308</v>
      </c>
      <c r="D66" s="151" t="s">
        <v>309</v>
      </c>
      <c r="E66" s="151" t="s">
        <v>311</v>
      </c>
      <c r="F66" s="151" t="s">
        <v>310</v>
      </c>
      <c r="G66" s="151" t="s">
        <v>312</v>
      </c>
      <c r="H66" s="575"/>
    </row>
    <row r="67" spans="1:8">
      <c r="A67" s="587"/>
      <c r="H67" s="575"/>
    </row>
    <row r="68" spans="1:8" ht="15.6">
      <c r="A68" s="590" t="s">
        <v>877</v>
      </c>
      <c r="B68" s="487" t="s">
        <v>898</v>
      </c>
      <c r="C68" s="597">
        <f>Funnel!E117</f>
        <v>55590.31951015404</v>
      </c>
      <c r="D68" s="597">
        <f>Funnel!F117</f>
        <v>399794.50493692665</v>
      </c>
      <c r="E68" s="597">
        <f>Funnel!G117</f>
        <v>851814.28035451949</v>
      </c>
      <c r="F68" s="597">
        <f>Funnel!H117</f>
        <v>1224673.5323498745</v>
      </c>
      <c r="G68" s="597">
        <f>Funnel!I117</f>
        <v>1507002.9331499357</v>
      </c>
      <c r="H68" s="575"/>
    </row>
    <row r="69" spans="1:8" ht="15.6">
      <c r="A69" s="590" t="s">
        <v>875</v>
      </c>
      <c r="B69" s="487" t="s">
        <v>898</v>
      </c>
      <c r="C69" s="597">
        <f>Funnel!E119</f>
        <v>62782.218375397133</v>
      </c>
      <c r="D69" s="597">
        <f>Funnel!F119</f>
        <v>380630.58278709499</v>
      </c>
      <c r="E69" s="597">
        <f>Funnel!G119</f>
        <v>786819.93688129715</v>
      </c>
      <c r="F69" s="597">
        <f>Funnel!H119</f>
        <v>1127530.7612798668</v>
      </c>
      <c r="G69" s="597">
        <f>Funnel!I119</f>
        <v>1374307.481383191</v>
      </c>
      <c r="H69" s="575"/>
    </row>
    <row r="70" spans="1:8">
      <c r="A70" s="587"/>
      <c r="H70" s="575"/>
    </row>
    <row r="71" spans="1:8" ht="15.6">
      <c r="A71" s="590" t="s">
        <v>880</v>
      </c>
      <c r="B71" s="487" t="s">
        <v>803</v>
      </c>
      <c r="C71" s="595">
        <f>'BS (Ecosystem)'!S9</f>
        <v>35413.155272745098</v>
      </c>
      <c r="D71" s="595">
        <f>'BS (Ecosystem)'!T9</f>
        <v>172382.70031982529</v>
      </c>
      <c r="E71" s="595">
        <f>'BS (Ecosystem)'!U9</f>
        <v>450388.02553854627</v>
      </c>
      <c r="F71" s="595">
        <f>'BS (Ecosystem)'!V9</f>
        <v>756409.23704480717</v>
      </c>
      <c r="G71" s="595">
        <f>'BS (Ecosystem)'!W9</f>
        <v>1037959.3146792927</v>
      </c>
      <c r="H71" s="575"/>
    </row>
    <row r="72" spans="1:8">
      <c r="A72" s="596" t="s">
        <v>887</v>
      </c>
      <c r="B72" s="487" t="s">
        <v>803</v>
      </c>
      <c r="C72" s="597">
        <f>'BS (Ecosystem)'!S10</f>
        <v>35413.155272745098</v>
      </c>
      <c r="D72" s="597">
        <f>'BS (Ecosystem)'!T10</f>
        <v>132946.95031982529</v>
      </c>
      <c r="E72" s="597">
        <f>'BS (Ecosystem)'!U10</f>
        <v>279939.3955385462</v>
      </c>
      <c r="F72" s="597">
        <f>'BS (Ecosystem)'!V10</f>
        <v>439273.62575867423</v>
      </c>
      <c r="G72" s="597">
        <f>'BS (Ecosystem)'!W10</f>
        <v>563890.76179878763</v>
      </c>
      <c r="H72" s="575"/>
    </row>
    <row r="73" spans="1:8">
      <c r="A73" s="603" t="s">
        <v>888</v>
      </c>
      <c r="B73" s="487" t="s">
        <v>803</v>
      </c>
      <c r="C73" s="511" t="e">
        <f>'BS (Ecosystem)'!#REF!</f>
        <v>#REF!</v>
      </c>
      <c r="D73" s="511" t="e">
        <f>'BS (Ecosystem)'!#REF!</f>
        <v>#REF!</v>
      </c>
      <c r="E73" s="511" t="e">
        <f>'BS (Ecosystem)'!#REF!</f>
        <v>#REF!</v>
      </c>
      <c r="F73" s="511" t="e">
        <f>'BS (Ecosystem)'!#REF!</f>
        <v>#REF!</v>
      </c>
      <c r="G73" s="511" t="e">
        <f>'BS (Ecosystem)'!#REF!</f>
        <v>#REF!</v>
      </c>
      <c r="H73" s="575"/>
    </row>
    <row r="74" spans="1:8">
      <c r="A74" s="603" t="s">
        <v>889</v>
      </c>
      <c r="B74" s="487" t="s">
        <v>803</v>
      </c>
      <c r="C74" s="511">
        <f>'BS (Ecosystem)'!S11</f>
        <v>83.385479265231069</v>
      </c>
      <c r="D74" s="511">
        <f>'BS (Ecosystem)'!T11</f>
        <v>599.69175740538992</v>
      </c>
      <c r="E74" s="511">
        <f>'BS (Ecosystem)'!U11</f>
        <v>1277.7214205317794</v>
      </c>
      <c r="F74" s="511">
        <f>'BS (Ecosystem)'!V11</f>
        <v>1837.010298524812</v>
      </c>
      <c r="G74" s="511">
        <f>'BS (Ecosystem)'!W11</f>
        <v>2260.5043997249036</v>
      </c>
      <c r="H74" s="575"/>
    </row>
    <row r="75" spans="1:8">
      <c r="A75" s="603" t="s">
        <v>284</v>
      </c>
      <c r="B75" s="487" t="s">
        <v>803</v>
      </c>
      <c r="C75" s="511">
        <f>'BS (Ecosystem)'!S12</f>
        <v>446.07043392877341</v>
      </c>
      <c r="D75" s="511">
        <f>'BS (Ecosystem)'!T12</f>
        <v>13215.579061550998</v>
      </c>
      <c r="E75" s="511">
        <f>'BS (Ecosystem)'!U12</f>
        <v>32933.382857179138</v>
      </c>
      <c r="F75" s="511">
        <f>'BS (Ecosystem)'!V12</f>
        <v>52999.143083321178</v>
      </c>
      <c r="G75" s="511">
        <f>'BS (Ecosystem)'!W12</f>
        <v>72336.051982564561</v>
      </c>
      <c r="H75" s="575"/>
    </row>
    <row r="76" spans="1:8">
      <c r="A76" s="603" t="s">
        <v>283</v>
      </c>
      <c r="B76" s="487" t="s">
        <v>803</v>
      </c>
      <c r="C76" s="511">
        <f>'BS (Ecosystem)'!S13</f>
        <v>0</v>
      </c>
      <c r="D76" s="511">
        <f>'BS (Ecosystem)'!T13</f>
        <v>11215.711509866544</v>
      </c>
      <c r="E76" s="511">
        <f>'BS (Ecosystem)'!U13</f>
        <v>39986.965658141031</v>
      </c>
      <c r="F76" s="511">
        <f>'BS (Ecosystem)'!V13</f>
        <v>67002.986986069634</v>
      </c>
      <c r="G76" s="511">
        <f>'BS (Ecosystem)'!W13</f>
        <v>90706.080323753224</v>
      </c>
      <c r="H76" s="575"/>
    </row>
    <row r="77" spans="1:8">
      <c r="A77" s="603" t="s">
        <v>469</v>
      </c>
      <c r="B77" s="487" t="s">
        <v>803</v>
      </c>
      <c r="C77" s="511" t="e">
        <f>'BS (Ecosystem)'!#REF!</f>
        <v>#REF!</v>
      </c>
      <c r="D77" s="511" t="e">
        <f>'BS (Ecosystem)'!#REF!</f>
        <v>#REF!</v>
      </c>
      <c r="E77" s="511" t="e">
        <f>'BS (Ecosystem)'!#REF!</f>
        <v>#REF!</v>
      </c>
      <c r="F77" s="511" t="e">
        <f>'BS (Ecosystem)'!#REF!</f>
        <v>#REF!</v>
      </c>
      <c r="G77" s="511" t="e">
        <f>'BS (Ecosystem)'!#REF!</f>
        <v>#REF!</v>
      </c>
      <c r="H77" s="575"/>
    </row>
    <row r="78" spans="1:8">
      <c r="A78" s="603" t="s">
        <v>890</v>
      </c>
      <c r="B78" s="487" t="s">
        <v>803</v>
      </c>
      <c r="C78" s="511">
        <f>'BS (Ecosystem)'!S14</f>
        <v>34883.699359551094</v>
      </c>
      <c r="D78" s="511">
        <f>'BS (Ecosystem)'!T14</f>
        <v>107915.96799100237</v>
      </c>
      <c r="E78" s="511">
        <f>'BS (Ecosystem)'!U14</f>
        <v>205741.32560269427</v>
      </c>
      <c r="F78" s="511">
        <f>'BS (Ecosystem)'!V14</f>
        <v>317434.48539075861</v>
      </c>
      <c r="G78" s="511">
        <f>'BS (Ecosystem)'!W14</f>
        <v>398588.125092745</v>
      </c>
      <c r="H78" s="575"/>
    </row>
    <row r="79" spans="1:8">
      <c r="A79" s="587"/>
      <c r="H79" s="575"/>
    </row>
    <row r="80" spans="1:8" ht="15.6">
      <c r="A80" s="598" t="s">
        <v>885</v>
      </c>
      <c r="B80" s="487" t="s">
        <v>803</v>
      </c>
      <c r="C80" s="599">
        <f>C53</f>
        <v>43146.733397745098</v>
      </c>
      <c r="D80" s="599">
        <f t="shared" ref="D80:G80" si="1">D53</f>
        <v>184325.46594482529</v>
      </c>
      <c r="E80" s="599">
        <f t="shared" si="1"/>
        <v>468487.58803854627</v>
      </c>
      <c r="F80" s="599">
        <f t="shared" si="1"/>
        <v>861238.31498917867</v>
      </c>
      <c r="G80" s="599">
        <f t="shared" si="1"/>
        <v>1255700.7761420913</v>
      </c>
      <c r="H80" s="575"/>
    </row>
    <row r="81" spans="1:8">
      <c r="A81" s="587"/>
      <c r="H81" s="575"/>
    </row>
    <row r="82" spans="1:8" ht="15.6">
      <c r="A82" s="590" t="s">
        <v>884</v>
      </c>
      <c r="B82" s="487" t="s">
        <v>803</v>
      </c>
      <c r="C82" s="595">
        <f>'BS (Ecosystem)'!S23+'BS (Ecosystem)'!S27</f>
        <v>30885.678659840483</v>
      </c>
      <c r="D82" s="595">
        <f>'BS (Ecosystem)'!T23+'BS (Ecosystem)'!T27</f>
        <v>168246.34258119727</v>
      </c>
      <c r="E82" s="595">
        <f>'BS (Ecosystem)'!U23+'BS (Ecosystem)'!U27</f>
        <v>454978.4223582024</v>
      </c>
      <c r="F82" s="595">
        <f>'BS (Ecosystem)'!V23+'BS (Ecosystem)'!V27</f>
        <v>840317.15753927373</v>
      </c>
      <c r="G82" s="595">
        <f>'BS (Ecosystem)'!W23+'BS (Ecosystem)'!W27</f>
        <v>1131643.5950471428</v>
      </c>
      <c r="H82" s="575"/>
    </row>
    <row r="83" spans="1:8">
      <c r="A83" s="596" t="s">
        <v>891</v>
      </c>
      <c r="B83" s="487" t="s">
        <v>803</v>
      </c>
      <c r="C83" s="597">
        <f>'BS (Ecosystem)'!S23</f>
        <v>30885.678659840483</v>
      </c>
      <c r="D83" s="597">
        <f>'BS (Ecosystem)'!T23</f>
        <v>55806.342581197256</v>
      </c>
      <c r="E83" s="597">
        <f>'BS (Ecosystem)'!U23</f>
        <v>192396.39569153573</v>
      </c>
      <c r="F83" s="597">
        <f>'BS (Ecosystem)'!V23</f>
        <v>424901.57140594034</v>
      </c>
      <c r="G83" s="597">
        <f>'BS (Ecosystem)'!W23</f>
        <v>558987.83747914282</v>
      </c>
      <c r="H83" s="575"/>
    </row>
    <row r="84" spans="1:8">
      <c r="A84" s="603" t="s">
        <v>893</v>
      </c>
      <c r="B84" s="487" t="s">
        <v>803</v>
      </c>
      <c r="C84" s="511">
        <f>'BS (Ecosystem)'!S24</f>
        <v>1005.04362758901</v>
      </c>
      <c r="D84" s="511">
        <f>'BS (Ecosystem)'!T24</f>
        <v>1887.95755908316</v>
      </c>
      <c r="E84" s="511">
        <f>'BS (Ecosystem)'!U24</f>
        <v>2426.07240988376</v>
      </c>
      <c r="F84" s="511">
        <f>'BS (Ecosystem)'!V24</f>
        <v>3117.5633740715598</v>
      </c>
      <c r="G84" s="511">
        <f>'BS (Ecosystem)'!W24</f>
        <v>4006.1464578537002</v>
      </c>
      <c r="H84" s="575"/>
    </row>
    <row r="85" spans="1:8">
      <c r="A85" s="603" t="s">
        <v>894</v>
      </c>
      <c r="B85" s="487" t="s">
        <v>803</v>
      </c>
      <c r="C85" s="511">
        <f>'BS (Ecosystem)'!S25</f>
        <v>444.72255608123231</v>
      </c>
      <c r="D85" s="511">
        <f>'BS (Ecosystem)'!T25</f>
        <v>6396.7120789908267</v>
      </c>
      <c r="E85" s="511">
        <f>'BS (Ecosystem)'!U25</f>
        <v>27258.056971344628</v>
      </c>
      <c r="F85" s="511">
        <f>'BS (Ecosystem)'!V25</f>
        <v>68581.717811592986</v>
      </c>
      <c r="G85" s="511">
        <f>'BS (Ecosystem)'!W25</f>
        <v>120560.23465199486</v>
      </c>
      <c r="H85" s="575"/>
    </row>
    <row r="86" spans="1:8">
      <c r="A86" s="603" t="s">
        <v>892</v>
      </c>
      <c r="B86" s="487" t="s">
        <v>803</v>
      </c>
      <c r="C86" s="511">
        <f>'BS (Ecosystem)'!S26</f>
        <v>29435.912476170241</v>
      </c>
      <c r="D86" s="511">
        <f>'BS (Ecosystem)'!T26</f>
        <v>47521.672943123267</v>
      </c>
      <c r="E86" s="511">
        <f>'BS (Ecosystem)'!U26</f>
        <v>162712.26631030734</v>
      </c>
      <c r="F86" s="511">
        <f>'BS (Ecosystem)'!V26</f>
        <v>353202.29022027581</v>
      </c>
      <c r="G86" s="511">
        <f>'BS (Ecosystem)'!W26</f>
        <v>434421.45636929426</v>
      </c>
      <c r="H86" s="575"/>
    </row>
    <row r="87" spans="1:8">
      <c r="A87" s="587"/>
      <c r="H87" s="575"/>
    </row>
    <row r="88" spans="1:8" ht="15.6">
      <c r="A88" s="598" t="s">
        <v>886</v>
      </c>
      <c r="B88" s="487" t="s">
        <v>803</v>
      </c>
      <c r="C88" s="599">
        <f>C58</f>
        <v>59694.579507453178</v>
      </c>
      <c r="D88" s="599">
        <f t="shared" ref="D88:G88" si="2">D58</f>
        <v>217269.42544631526</v>
      </c>
      <c r="E88" s="599">
        <f t="shared" si="2"/>
        <v>500283.52557803428</v>
      </c>
      <c r="F88" s="599">
        <f t="shared" si="2"/>
        <v>840317.15753927373</v>
      </c>
      <c r="G88" s="599">
        <f t="shared" si="2"/>
        <v>1131643.5950471428</v>
      </c>
      <c r="H88" s="575"/>
    </row>
    <row r="89" spans="1:8" ht="15" thickBot="1">
      <c r="A89" s="582"/>
      <c r="B89" s="583"/>
      <c r="C89" s="583"/>
      <c r="D89" s="583"/>
      <c r="E89" s="583"/>
      <c r="F89" s="583"/>
      <c r="G89" s="583"/>
      <c r="H89" s="584"/>
    </row>
    <row r="90" spans="1:8">
      <c r="A90" s="585"/>
      <c r="B90" s="586"/>
      <c r="C90" s="586"/>
      <c r="D90" s="586"/>
      <c r="E90" s="586"/>
      <c r="F90" s="586"/>
      <c r="G90" s="586"/>
      <c r="H90" s="573"/>
    </row>
    <row r="91" spans="1:8">
      <c r="A91" s="587"/>
      <c r="C91" s="588">
        <v>2025</v>
      </c>
      <c r="D91" s="588">
        <v>2026</v>
      </c>
      <c r="E91" s="588">
        <v>2027</v>
      </c>
      <c r="F91" s="588">
        <v>2028</v>
      </c>
      <c r="G91" s="588">
        <v>2029</v>
      </c>
      <c r="H91" s="575"/>
    </row>
    <row r="92" spans="1:8">
      <c r="A92" s="587"/>
      <c r="C92" s="151" t="s">
        <v>308</v>
      </c>
      <c r="D92" s="151" t="s">
        <v>309</v>
      </c>
      <c r="E92" s="151" t="s">
        <v>311</v>
      </c>
      <c r="F92" s="151" t="s">
        <v>310</v>
      </c>
      <c r="G92" s="151" t="s">
        <v>312</v>
      </c>
      <c r="H92" s="575"/>
    </row>
    <row r="93" spans="1:8">
      <c r="A93" s="587"/>
      <c r="H93" s="575"/>
    </row>
    <row r="94" spans="1:8">
      <c r="A94" s="578" t="s">
        <v>878</v>
      </c>
      <c r="B94" s="487" t="s">
        <v>394</v>
      </c>
      <c r="C94" s="597">
        <f>Goals!S13</f>
        <v>0</v>
      </c>
      <c r="D94" s="597">
        <f>Goals!T13</f>
        <v>30000</v>
      </c>
      <c r="E94" s="597">
        <f>Goals!U13</f>
        <v>69666.666666666672</v>
      </c>
      <c r="F94" s="597">
        <f>Goals!V13</f>
        <v>109333.33333333334</v>
      </c>
      <c r="G94" s="597">
        <f>Goals!W13</f>
        <v>149000</v>
      </c>
      <c r="H94" s="575"/>
    </row>
    <row r="95" spans="1:8" ht="15.6">
      <c r="A95" s="590"/>
      <c r="B95" s="487"/>
      <c r="C95" s="597"/>
      <c r="D95" s="597"/>
      <c r="E95" s="597"/>
      <c r="F95" s="597"/>
      <c r="G95" s="597"/>
      <c r="H95" s="575"/>
    </row>
    <row r="96" spans="1:8" ht="15.6">
      <c r="A96" s="590" t="s">
        <v>880</v>
      </c>
      <c r="B96" s="487" t="s">
        <v>803</v>
      </c>
      <c r="C96" s="595">
        <f>C71</f>
        <v>35413.155272745098</v>
      </c>
      <c r="D96" s="595">
        <f t="shared" ref="D96:G96" si="3">D71</f>
        <v>172382.70031982529</v>
      </c>
      <c r="E96" s="595">
        <f t="shared" si="3"/>
        <v>450388.02553854627</v>
      </c>
      <c r="F96" s="595">
        <f t="shared" si="3"/>
        <v>756409.23704480717</v>
      </c>
      <c r="G96" s="595">
        <f t="shared" si="3"/>
        <v>1037959.3146792927</v>
      </c>
      <c r="H96" s="575"/>
    </row>
    <row r="97" spans="1:10">
      <c r="A97" s="596" t="s">
        <v>895</v>
      </c>
      <c r="B97" s="487" t="s">
        <v>803</v>
      </c>
      <c r="C97" s="597">
        <f>'BS (Ecosystem)'!S15</f>
        <v>0</v>
      </c>
      <c r="D97" s="597">
        <f>'BS (Ecosystem)'!T15</f>
        <v>39435.75</v>
      </c>
      <c r="E97" s="597">
        <f>'BS (Ecosystem)'!U15</f>
        <v>170448.63000000006</v>
      </c>
      <c r="F97" s="597">
        <f>'BS (Ecosystem)'!V15</f>
        <v>317135.61128613295</v>
      </c>
      <c r="G97" s="597">
        <f>'BS (Ecosystem)'!W15</f>
        <v>474068.55288050498</v>
      </c>
      <c r="H97" s="575"/>
    </row>
    <row r="98" spans="1:10">
      <c r="A98" s="603" t="s">
        <v>896</v>
      </c>
      <c r="B98" s="487" t="s">
        <v>803</v>
      </c>
      <c r="C98" s="511">
        <f>'BS (Ecosystem)'!S16</f>
        <v>0</v>
      </c>
      <c r="D98" s="511">
        <f>'BS (Ecosystem)'!T16</f>
        <v>30600</v>
      </c>
      <c r="E98" s="511">
        <f>'BS (Ecosystem)'!U16</f>
        <v>136592.98125000007</v>
      </c>
      <c r="F98" s="511">
        <f>'BS (Ecosystem)'!V16</f>
        <v>259173.09128613293</v>
      </c>
      <c r="G98" s="511">
        <f>'BS (Ecosystem)'!W16</f>
        <v>388494.31413050496</v>
      </c>
      <c r="H98" s="575"/>
    </row>
    <row r="99" spans="1:10">
      <c r="A99" s="603" t="s">
        <v>897</v>
      </c>
      <c r="B99" s="487" t="s">
        <v>803</v>
      </c>
      <c r="C99" s="511">
        <f>'BS (Ecosystem)'!S17</f>
        <v>0</v>
      </c>
      <c r="D99" s="511">
        <f>'BS (Ecosystem)'!T17</f>
        <v>8835.75</v>
      </c>
      <c r="E99" s="511">
        <f>'BS (Ecosystem)'!U17</f>
        <v>33855.64875</v>
      </c>
      <c r="F99" s="511">
        <f>'BS (Ecosystem)'!V17</f>
        <v>57962.520000000011</v>
      </c>
      <c r="G99" s="511">
        <f>'BS (Ecosystem)'!W17</f>
        <v>85574.238750000019</v>
      </c>
      <c r="H99" s="575"/>
    </row>
    <row r="100" spans="1:10">
      <c r="A100" s="603"/>
      <c r="B100" s="487"/>
      <c r="H100" s="575"/>
    </row>
    <row r="101" spans="1:10" ht="15.6">
      <c r="A101" s="598" t="s">
        <v>885</v>
      </c>
      <c r="B101" s="487" t="s">
        <v>803</v>
      </c>
      <c r="C101" s="599">
        <f>C80</f>
        <v>43146.733397745098</v>
      </c>
      <c r="D101" s="599">
        <f t="shared" ref="D101:G101" si="4">D80</f>
        <v>184325.46594482529</v>
      </c>
      <c r="E101" s="599">
        <f t="shared" si="4"/>
        <v>468487.58803854627</v>
      </c>
      <c r="F101" s="599">
        <f t="shared" si="4"/>
        <v>861238.31498917867</v>
      </c>
      <c r="G101" s="599">
        <f t="shared" si="4"/>
        <v>1255700.7761420913</v>
      </c>
      <c r="H101" s="575"/>
    </row>
    <row r="102" spans="1:10">
      <c r="A102" s="587"/>
      <c r="H102" s="575"/>
    </row>
    <row r="103" spans="1:10">
      <c r="A103" s="596" t="s">
        <v>895</v>
      </c>
      <c r="B103" s="487" t="s">
        <v>803</v>
      </c>
      <c r="C103" s="597">
        <f>'BS (Ecosystem)'!S27</f>
        <v>0</v>
      </c>
      <c r="D103" s="597">
        <f>'BS (Ecosystem)'!T27</f>
        <v>112440</v>
      </c>
      <c r="E103" s="597">
        <f>'BS (Ecosystem)'!U27</f>
        <v>262582.02666666667</v>
      </c>
      <c r="F103" s="597">
        <f>'BS (Ecosystem)'!V27</f>
        <v>415415.58613333339</v>
      </c>
      <c r="G103" s="597">
        <f>'BS (Ecosystem)'!W27</f>
        <v>572655.757568</v>
      </c>
      <c r="H103" s="575"/>
    </row>
    <row r="104" spans="1:10">
      <c r="A104" s="603" t="s">
        <v>883</v>
      </c>
      <c r="B104" s="487" t="s">
        <v>803</v>
      </c>
      <c r="C104" s="511">
        <f>'BS (Ecosystem)'!S28</f>
        <v>0</v>
      </c>
      <c r="D104" s="511">
        <f>'BS (Ecosystem)'!T28</f>
        <v>111000</v>
      </c>
      <c r="E104" s="511">
        <f>'BS (Ecosystem)'!U28</f>
        <v>257766.66666666669</v>
      </c>
      <c r="F104" s="511">
        <f>'BS (Ecosystem)'!V28</f>
        <v>404533.33333333337</v>
      </c>
      <c r="G104" s="511">
        <f>'BS (Ecosystem)'!W28</f>
        <v>551300</v>
      </c>
      <c r="H104" s="575"/>
      <c r="J104" s="611"/>
    </row>
    <row r="105" spans="1:10">
      <c r="A105" s="603" t="s">
        <v>892</v>
      </c>
      <c r="B105" s="487" t="s">
        <v>803</v>
      </c>
      <c r="C105" s="511">
        <f>'BS (Ecosystem)'!S29</f>
        <v>0</v>
      </c>
      <c r="D105" s="511">
        <f>'BS (Ecosystem)'!T29</f>
        <v>1440</v>
      </c>
      <c r="E105" s="511">
        <f>'BS (Ecosystem)'!U29</f>
        <v>4815.3599999999997</v>
      </c>
      <c r="F105" s="511">
        <f>'BS (Ecosystem)'!V29</f>
        <v>10882.2528</v>
      </c>
      <c r="G105" s="511">
        <f>'BS (Ecosystem)'!W29</f>
        <v>21355.757568000001</v>
      </c>
      <c r="H105" s="575"/>
    </row>
    <row r="106" spans="1:10">
      <c r="A106" s="587"/>
      <c r="H106" s="575"/>
    </row>
    <row r="107" spans="1:10" ht="15.6">
      <c r="A107" s="598" t="s">
        <v>886</v>
      </c>
      <c r="B107" s="487" t="s">
        <v>803</v>
      </c>
      <c r="C107" s="599">
        <f>C88</f>
        <v>59694.579507453178</v>
      </c>
      <c r="D107" s="599">
        <f t="shared" ref="D107:G107" si="5">D88</f>
        <v>217269.42544631526</v>
      </c>
      <c r="E107" s="599">
        <f t="shared" si="5"/>
        <v>500283.52557803428</v>
      </c>
      <c r="F107" s="599">
        <f t="shared" si="5"/>
        <v>840317.15753927373</v>
      </c>
      <c r="G107" s="599">
        <f t="shared" si="5"/>
        <v>1131643.5950471428</v>
      </c>
      <c r="H107" s="575"/>
    </row>
    <row r="108" spans="1:10" ht="15" thickBot="1">
      <c r="A108" s="582"/>
      <c r="B108" s="583"/>
      <c r="C108" s="583"/>
      <c r="D108" s="583"/>
      <c r="E108" s="583"/>
      <c r="F108" s="583"/>
      <c r="G108" s="583"/>
      <c r="H108" s="584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5" tint="0.79998168889431442"/>
  </sheetPr>
  <dimension ref="B1:K114"/>
  <sheetViews>
    <sheetView zoomScaleNormal="100" workbookViewId="0">
      <selection activeCell="B1" sqref="B1"/>
    </sheetView>
  </sheetViews>
  <sheetFormatPr defaultColWidth="8.88671875" defaultRowHeight="13.8"/>
  <cols>
    <col min="1" max="1" width="1.6640625" style="641" customWidth="1"/>
    <col min="2" max="2" width="59.6640625" style="641" bestFit="1" customWidth="1"/>
    <col min="3" max="3" width="13.44140625" style="641" customWidth="1"/>
    <col min="4" max="4" width="12" style="641" bestFit="1" customWidth="1"/>
    <col min="5" max="6" width="13.5546875" style="641" bestFit="1" customWidth="1"/>
    <col min="7" max="7" width="15.6640625" style="641" bestFit="1" customWidth="1"/>
    <col min="8" max="8" width="15.88671875" style="641" bestFit="1" customWidth="1"/>
    <col min="9" max="10" width="8.88671875" style="641"/>
    <col min="11" max="11" width="15.88671875" style="641" bestFit="1" customWidth="1"/>
    <col min="12" max="16384" width="8.88671875" style="641"/>
  </cols>
  <sheetData>
    <row r="1" spans="2:9">
      <c r="B1" s="675"/>
      <c r="C1" s="674"/>
      <c r="D1" s="655"/>
      <c r="E1" s="655"/>
      <c r="F1" s="655"/>
      <c r="G1" s="655"/>
      <c r="H1" s="655"/>
      <c r="I1" s="654"/>
    </row>
    <row r="2" spans="2:9">
      <c r="B2" s="676" t="s">
        <v>244</v>
      </c>
      <c r="C2" s="673" t="s">
        <v>228</v>
      </c>
      <c r="D2" s="653">
        <v>2029</v>
      </c>
      <c r="I2" s="644"/>
    </row>
    <row r="3" spans="2:9" ht="15.6">
      <c r="B3" s="677" t="s">
        <v>855</v>
      </c>
      <c r="C3" s="673" t="s">
        <v>228</v>
      </c>
      <c r="D3" s="651" t="s">
        <v>312</v>
      </c>
      <c r="I3" s="644"/>
    </row>
    <row r="4" spans="2:9">
      <c r="B4" s="673"/>
      <c r="C4" s="673"/>
      <c r="I4" s="644"/>
    </row>
    <row r="5" spans="2:9">
      <c r="B5" s="678" t="s">
        <v>945</v>
      </c>
      <c r="C5" s="670" t="s">
        <v>394</v>
      </c>
      <c r="D5" s="672">
        <v>8003045.6242299993</v>
      </c>
      <c r="I5" s="644"/>
    </row>
    <row r="6" spans="2:9">
      <c r="B6" s="678" t="s">
        <v>944</v>
      </c>
      <c r="C6" s="670" t="s">
        <v>898</v>
      </c>
      <c r="D6" s="672">
        <v>6402436.499384</v>
      </c>
      <c r="I6" s="644"/>
    </row>
    <row r="7" spans="2:9">
      <c r="B7" s="678" t="s">
        <v>943</v>
      </c>
      <c r="C7" s="670" t="s">
        <v>898</v>
      </c>
      <c r="D7" s="672">
        <v>1507002.9331499357</v>
      </c>
      <c r="I7" s="644"/>
    </row>
    <row r="8" spans="2:9">
      <c r="B8" s="678" t="s">
        <v>942</v>
      </c>
      <c r="C8" s="670" t="s">
        <v>898</v>
      </c>
      <c r="D8" s="672">
        <v>1374307.481383191</v>
      </c>
      <c r="I8" s="644"/>
    </row>
    <row r="9" spans="2:9">
      <c r="B9" s="678" t="s">
        <v>927</v>
      </c>
      <c r="C9" s="670" t="s">
        <v>394</v>
      </c>
      <c r="D9" s="672">
        <v>149000</v>
      </c>
      <c r="I9" s="644"/>
    </row>
    <row r="10" spans="2:9">
      <c r="B10" s="678" t="s">
        <v>926</v>
      </c>
      <c r="C10" s="670" t="s">
        <v>394</v>
      </c>
      <c r="D10" s="672">
        <v>99837.125226562537</v>
      </c>
      <c r="I10" s="644"/>
    </row>
    <row r="11" spans="2:9">
      <c r="B11" s="679"/>
      <c r="C11" s="671"/>
      <c r="I11" s="644"/>
    </row>
    <row r="12" spans="2:9" ht="15.6">
      <c r="B12" s="677" t="s">
        <v>546</v>
      </c>
      <c r="I12" s="644"/>
    </row>
    <row r="13" spans="2:9" ht="6.6" customHeight="1">
      <c r="B13" s="680"/>
      <c r="C13" s="670"/>
      <c r="I13" s="644"/>
    </row>
    <row r="14" spans="2:9" ht="15.6">
      <c r="B14" s="681" t="s">
        <v>547</v>
      </c>
      <c r="C14" s="667"/>
      <c r="D14" s="666">
        <f>Presentation!C13</f>
        <v>0.33756728314070455</v>
      </c>
      <c r="F14" s="669"/>
      <c r="I14" s="644"/>
    </row>
    <row r="15" spans="2:9" ht="6.6" customHeight="1">
      <c r="B15" s="681"/>
      <c r="C15" s="667"/>
      <c r="D15" s="666"/>
      <c r="I15" s="644"/>
    </row>
    <row r="16" spans="2:9" ht="15.6">
      <c r="B16" s="681" t="s">
        <v>912</v>
      </c>
      <c r="C16" s="667"/>
      <c r="D16" s="691">
        <f>Presentation!C15</f>
        <v>127.26354030782262</v>
      </c>
      <c r="I16" s="644"/>
    </row>
    <row r="17" spans="2:9" ht="6.6" customHeight="1">
      <c r="B17" s="681"/>
      <c r="C17" s="667"/>
      <c r="D17" s="668"/>
      <c r="I17" s="644"/>
    </row>
    <row r="18" spans="2:9" ht="15.6">
      <c r="B18" s="681" t="s">
        <v>548</v>
      </c>
      <c r="C18" s="667"/>
      <c r="D18" s="666">
        <f>Presentation!C17</f>
        <v>0.91721397021299156</v>
      </c>
      <c r="I18" s="644"/>
    </row>
    <row r="19" spans="2:9" ht="6.6" customHeight="1">
      <c r="B19" s="681"/>
      <c r="C19" s="667"/>
      <c r="D19" s="666"/>
      <c r="I19" s="644"/>
    </row>
    <row r="20" spans="2:9" ht="15.6">
      <c r="B20" s="681" t="s">
        <v>549</v>
      </c>
      <c r="C20" s="667"/>
      <c r="D20" s="666">
        <f>Presentation!C19</f>
        <v>1.6560621502717283</v>
      </c>
      <c r="I20" s="644"/>
    </row>
    <row r="21" spans="2:9" ht="14.4" thickBot="1">
      <c r="B21" s="643"/>
      <c r="C21" s="643"/>
      <c r="D21" s="643"/>
      <c r="E21" s="643"/>
      <c r="F21" s="643"/>
      <c r="G21" s="643"/>
      <c r="H21" s="643"/>
      <c r="I21" s="642"/>
    </row>
    <row r="22" spans="2:9">
      <c r="I22" s="644"/>
    </row>
    <row r="23" spans="2:9">
      <c r="D23" s="653">
        <v>2025</v>
      </c>
      <c r="E23" s="653">
        <v>2026</v>
      </c>
      <c r="F23" s="653">
        <v>2027</v>
      </c>
      <c r="G23" s="653">
        <v>2028</v>
      </c>
      <c r="H23" s="653">
        <v>2029</v>
      </c>
      <c r="I23" s="644"/>
    </row>
    <row r="24" spans="2:9">
      <c r="B24" s="682" t="s">
        <v>798</v>
      </c>
      <c r="C24" s="652"/>
      <c r="D24" s="651" t="s">
        <v>308</v>
      </c>
      <c r="E24" s="651" t="s">
        <v>309</v>
      </c>
      <c r="F24" s="651" t="s">
        <v>311</v>
      </c>
      <c r="G24" s="651" t="s">
        <v>310</v>
      </c>
      <c r="H24" s="651" t="s">
        <v>312</v>
      </c>
      <c r="I24" s="644"/>
    </row>
    <row r="25" spans="2:9" ht="15.6">
      <c r="B25" s="683" t="s">
        <v>941</v>
      </c>
      <c r="C25" s="646" t="s">
        <v>803</v>
      </c>
      <c r="D25" s="665">
        <v>649.45725405091844</v>
      </c>
      <c r="E25" s="665">
        <v>9212.7553212691801</v>
      </c>
      <c r="F25" s="665">
        <v>23634.4633900224</v>
      </c>
      <c r="G25" s="665">
        <v>47345.354230374709</v>
      </c>
      <c r="H25" s="665">
        <v>71920.505737474334</v>
      </c>
      <c r="I25" s="644"/>
    </row>
    <row r="26" spans="2:9">
      <c r="B26" s="646" t="s">
        <v>861</v>
      </c>
      <c r="C26" s="646" t="s">
        <v>803</v>
      </c>
      <c r="D26" s="664">
        <v>1834.7636385221908</v>
      </c>
      <c r="E26" s="664">
        <v>26221.607391578575</v>
      </c>
      <c r="F26" s="664">
        <v>67978.502609435847</v>
      </c>
      <c r="G26" s="664">
        <v>127223.350700273</v>
      </c>
      <c r="H26" s="664">
        <v>182291.94847308152</v>
      </c>
      <c r="I26" s="644"/>
    </row>
    <row r="27" spans="2:9">
      <c r="B27" s="646" t="s">
        <v>867</v>
      </c>
      <c r="C27" s="646" t="s">
        <v>803</v>
      </c>
      <c r="D27" s="662">
        <v>-1185.3063844712724</v>
      </c>
      <c r="E27" s="662">
        <v>-17008.852070309396</v>
      </c>
      <c r="F27" s="662">
        <v>-44344.039219413447</v>
      </c>
      <c r="G27" s="662">
        <v>-79877.996469898295</v>
      </c>
      <c r="H27" s="662">
        <v>-110371.44273560718</v>
      </c>
      <c r="I27" s="644"/>
    </row>
    <row r="28" spans="2:9" ht="15.6">
      <c r="B28" s="683" t="s">
        <v>870</v>
      </c>
      <c r="C28" s="646" t="s">
        <v>803</v>
      </c>
      <c r="D28" s="665">
        <v>202.05904035786284</v>
      </c>
      <c r="E28" s="665">
        <v>2162.902128528232</v>
      </c>
      <c r="F28" s="665">
        <v>6237.4492822011671</v>
      </c>
      <c r="G28" s="665">
        <v>11884.178811572336</v>
      </c>
      <c r="H28" s="665">
        <v>18623.980702731496</v>
      </c>
      <c r="I28" s="644"/>
    </row>
    <row r="29" spans="2:9">
      <c r="B29" s="646" t="s">
        <v>862</v>
      </c>
      <c r="C29" s="646" t="s">
        <v>803</v>
      </c>
      <c r="D29" s="662">
        <v>-1448.6768320032561</v>
      </c>
      <c r="E29" s="662">
        <v>-10004.547428130336</v>
      </c>
      <c r="F29" s="662">
        <v>-33522.949587309427</v>
      </c>
      <c r="G29" s="662">
        <v>-70509.656352570222</v>
      </c>
      <c r="H29" s="662">
        <v>-110867.2805259726</v>
      </c>
      <c r="I29" s="644"/>
    </row>
    <row r="30" spans="2:9">
      <c r="B30" s="646" t="s">
        <v>874</v>
      </c>
      <c r="C30" s="646" t="s">
        <v>803</v>
      </c>
      <c r="D30" s="664">
        <v>1709.6076973134595</v>
      </c>
      <c r="E30" s="664">
        <v>12203.621077592474</v>
      </c>
      <c r="F30" s="664">
        <v>39990.780056244956</v>
      </c>
      <c r="G30" s="664">
        <v>82774.815211962501</v>
      </c>
      <c r="H30" s="664">
        <v>129653.69956100214</v>
      </c>
      <c r="I30" s="644"/>
    </row>
    <row r="31" spans="2:9">
      <c r="B31" s="646" t="s">
        <v>869</v>
      </c>
      <c r="C31" s="646" t="s">
        <v>803</v>
      </c>
      <c r="D31" s="662">
        <v>-58.871824952340489</v>
      </c>
      <c r="E31" s="662">
        <v>-36.171520933906052</v>
      </c>
      <c r="F31" s="662">
        <v>-230.38118673436816</v>
      </c>
      <c r="G31" s="662">
        <v>-380.980047819937</v>
      </c>
      <c r="H31" s="662">
        <v>-162.43833229803693</v>
      </c>
      <c r="I31" s="644"/>
    </row>
    <row r="32" spans="2:9" ht="15">
      <c r="B32" s="683" t="s">
        <v>868</v>
      </c>
      <c r="C32" s="646" t="s">
        <v>803</v>
      </c>
      <c r="D32" s="660">
        <v>851.51629440878128</v>
      </c>
      <c r="E32" s="660">
        <v>11375.657449797412</v>
      </c>
      <c r="F32" s="660">
        <v>29871.912672223567</v>
      </c>
      <c r="G32" s="660">
        <v>59229.533041947048</v>
      </c>
      <c r="H32" s="660">
        <v>90544.48644020583</v>
      </c>
      <c r="I32" s="644"/>
    </row>
    <row r="33" spans="2:9">
      <c r="B33" s="684" t="s">
        <v>873</v>
      </c>
      <c r="C33" s="646" t="s">
        <v>803</v>
      </c>
      <c r="D33" s="662">
        <v>-396.25782647611703</v>
      </c>
      <c r="E33" s="662">
        <v>-9383.4136710619132</v>
      </c>
      <c r="F33" s="662">
        <v>-24419.778387979182</v>
      </c>
      <c r="G33" s="662">
        <v>-29633.459702930188</v>
      </c>
      <c r="H33" s="662">
        <v>-32882.201401933147</v>
      </c>
      <c r="I33" s="644"/>
    </row>
    <row r="34" spans="2:9" ht="15.6">
      <c r="B34" s="683" t="s">
        <v>872</v>
      </c>
      <c r="C34" s="646" t="s">
        <v>803</v>
      </c>
      <c r="D34" s="661">
        <v>455.2584679326643</v>
      </c>
      <c r="E34" s="661">
        <v>1992.2437787354995</v>
      </c>
      <c r="F34" s="661">
        <v>5452.1342842443846</v>
      </c>
      <c r="G34" s="661">
        <v>29596.073339016861</v>
      </c>
      <c r="H34" s="661">
        <v>57662.285038272676</v>
      </c>
      <c r="I34" s="644"/>
    </row>
    <row r="35" spans="2:9" ht="15">
      <c r="B35" s="683" t="s">
        <v>863</v>
      </c>
      <c r="C35" s="646" t="s">
        <v>803</v>
      </c>
      <c r="D35" s="663">
        <v>630.14237307446467</v>
      </c>
      <c r="E35" s="663">
        <v>16906.267977882071</v>
      </c>
      <c r="F35" s="663">
        <v>61074.102136405061</v>
      </c>
      <c r="G35" s="663">
        <v>113212.91263848654</v>
      </c>
      <c r="H35" s="663">
        <v>158564.14631270221</v>
      </c>
      <c r="I35" s="644"/>
    </row>
    <row r="36" spans="2:9" ht="15">
      <c r="B36" s="683" t="s">
        <v>864</v>
      </c>
      <c r="C36" s="646" t="s">
        <v>803</v>
      </c>
      <c r="D36" s="662">
        <v>-754.19853648033393</v>
      </c>
      <c r="E36" s="662">
        <v>-10368.856013335017</v>
      </c>
      <c r="F36" s="662">
        <v>-26241.043101064584</v>
      </c>
      <c r="G36" s="662">
        <v>-37637.567465764085</v>
      </c>
      <c r="H36" s="662">
        <v>-46380.891036344037</v>
      </c>
      <c r="I36" s="644"/>
    </row>
    <row r="37" spans="2:9" ht="15">
      <c r="B37" s="683" t="s">
        <v>865</v>
      </c>
      <c r="C37" s="646" t="s">
        <v>803</v>
      </c>
      <c r="D37" s="663">
        <v>0</v>
      </c>
      <c r="E37" s="663">
        <v>0</v>
      </c>
      <c r="F37" s="663">
        <v>1147.2000000000003</v>
      </c>
      <c r="G37" s="663">
        <v>1908.8000000000002</v>
      </c>
      <c r="H37" s="663">
        <v>2670.4000000000005</v>
      </c>
      <c r="I37" s="644"/>
    </row>
    <row r="38" spans="2:9" ht="15">
      <c r="B38" s="683" t="s">
        <v>866</v>
      </c>
      <c r="C38" s="646" t="s">
        <v>803</v>
      </c>
      <c r="D38" s="662">
        <v>0</v>
      </c>
      <c r="E38" s="662">
        <v>-7.2</v>
      </c>
      <c r="F38" s="662">
        <v>-28.680000000000007</v>
      </c>
      <c r="G38" s="662">
        <v>-47.72</v>
      </c>
      <c r="H38" s="662">
        <v>-66.759999999999991</v>
      </c>
      <c r="I38" s="644"/>
    </row>
    <row r="39" spans="2:9" ht="15.6">
      <c r="B39" s="685" t="s">
        <v>860</v>
      </c>
      <c r="C39" s="646" t="s">
        <v>803</v>
      </c>
      <c r="D39" s="661">
        <v>331.2023045267951</v>
      </c>
      <c r="E39" s="661">
        <v>8522.4557432825568</v>
      </c>
      <c r="F39" s="661">
        <v>41403.713319584858</v>
      </c>
      <c r="G39" s="661">
        <v>107032.49851173931</v>
      </c>
      <c r="H39" s="661">
        <v>172449.18031463085</v>
      </c>
      <c r="I39" s="644"/>
    </row>
    <row r="40" spans="2:9" ht="15.6">
      <c r="B40" s="685" t="s">
        <v>859</v>
      </c>
      <c r="C40" s="646" t="s">
        <v>803</v>
      </c>
      <c r="D40" s="660">
        <v>-16879.04841423488</v>
      </c>
      <c r="E40" s="660">
        <v>-24918.569135064434</v>
      </c>
      <c r="F40" s="660">
        <v>-40255.691357582917</v>
      </c>
      <c r="G40" s="660">
        <v>-54315.403522346358</v>
      </c>
      <c r="H40" s="660">
        <v>-69313.15666958745</v>
      </c>
      <c r="I40" s="644"/>
    </row>
    <row r="41" spans="2:9" ht="15.6">
      <c r="B41" s="683" t="s">
        <v>858</v>
      </c>
      <c r="C41" s="646" t="s">
        <v>803</v>
      </c>
      <c r="D41" s="659">
        <v>-16547.846109708084</v>
      </c>
      <c r="E41" s="659">
        <v>-16396.113391781877</v>
      </c>
      <c r="F41" s="659">
        <v>1148.0219620019416</v>
      </c>
      <c r="G41" s="659">
        <v>52717.094989392965</v>
      </c>
      <c r="H41" s="659">
        <v>103136.02364504342</v>
      </c>
      <c r="I41" s="644"/>
    </row>
    <row r="42" spans="2:9" ht="15.6">
      <c r="B42" s="683" t="s">
        <v>857</v>
      </c>
      <c r="C42" s="646" t="s">
        <v>803</v>
      </c>
      <c r="D42" s="659">
        <v>0</v>
      </c>
      <c r="E42" s="659">
        <v>0</v>
      </c>
      <c r="F42" s="659">
        <v>0</v>
      </c>
      <c r="G42" s="659">
        <v>0</v>
      </c>
      <c r="H42" s="659">
        <v>0</v>
      </c>
      <c r="I42" s="644"/>
    </row>
    <row r="43" spans="2:9" ht="15.6">
      <c r="B43" s="685" t="s">
        <v>940</v>
      </c>
      <c r="C43" s="646" t="s">
        <v>803</v>
      </c>
      <c r="D43" s="656">
        <v>-16547.846109708084</v>
      </c>
      <c r="E43" s="656">
        <v>-16396.113391781877</v>
      </c>
      <c r="F43" s="656">
        <v>1148.0219620019416</v>
      </c>
      <c r="G43" s="656">
        <v>52717.094989392965</v>
      </c>
      <c r="H43" s="656">
        <v>103136.02364504342</v>
      </c>
      <c r="I43" s="644"/>
    </row>
    <row r="44" spans="2:9" ht="6" customHeight="1">
      <c r="B44" s="685"/>
      <c r="C44" s="646"/>
      <c r="D44" s="656"/>
      <c r="E44" s="656"/>
      <c r="F44" s="656"/>
      <c r="G44" s="656"/>
      <c r="H44" s="656"/>
      <c r="I44" s="644"/>
    </row>
    <row r="45" spans="2:9" ht="15.6">
      <c r="B45" s="683" t="s">
        <v>947</v>
      </c>
      <c r="C45" s="646" t="s">
        <v>803</v>
      </c>
      <c r="D45" s="659">
        <f>'PL (Ecosystem+KEM)'!D9</f>
        <v>10746.636789366426</v>
      </c>
      <c r="E45" s="659">
        <f>'PL (Ecosystem+KEM)'!E9</f>
        <v>15172.386956881825</v>
      </c>
      <c r="F45" s="659">
        <f>'PL (Ecosystem+KEM)'!F9</f>
        <v>17741.362833979703</v>
      </c>
      <c r="G45" s="659">
        <f>'PL (Ecosystem+KEM)'!G9</f>
        <v>20884.609634698543</v>
      </c>
      <c r="H45" s="659">
        <f>'PL (Ecosystem+KEM)'!H9</f>
        <v>24127.51666277921</v>
      </c>
      <c r="I45" s="644"/>
    </row>
    <row r="46" spans="2:9" ht="6" customHeight="1">
      <c r="B46" s="685"/>
      <c r="C46" s="646"/>
      <c r="D46" s="656"/>
      <c r="E46" s="656"/>
      <c r="F46" s="656"/>
      <c r="G46" s="656"/>
      <c r="H46" s="656"/>
      <c r="I46" s="644"/>
    </row>
    <row r="47" spans="2:9" ht="15.6">
      <c r="B47" s="685" t="s">
        <v>946</v>
      </c>
      <c r="C47" s="646" t="s">
        <v>803</v>
      </c>
      <c r="D47" s="656">
        <f>'PL (Ecosystem+KEM)'!D11</f>
        <v>-5801.2093203416571</v>
      </c>
      <c r="E47" s="656">
        <f>'PL (Ecosystem+KEM)'!E11</f>
        <v>-1223.7264349000525</v>
      </c>
      <c r="F47" s="656">
        <f>'PL (Ecosystem+KEM)'!F11</f>
        <v>18889.384795981645</v>
      </c>
      <c r="G47" s="656">
        <f>'PL (Ecosystem+KEM)'!G11</f>
        <v>73601.704624091508</v>
      </c>
      <c r="H47" s="656">
        <f>'PL (Ecosystem+KEM)'!H11</f>
        <v>127263.54030782262</v>
      </c>
      <c r="I47" s="644"/>
    </row>
    <row r="48" spans="2:9" ht="15.6">
      <c r="B48" s="685"/>
      <c r="C48" s="646"/>
      <c r="D48" s="656"/>
      <c r="E48" s="656"/>
      <c r="F48" s="656"/>
      <c r="G48" s="656"/>
      <c r="H48" s="656"/>
      <c r="I48" s="644"/>
    </row>
    <row r="49" spans="2:11" ht="14.4" thickBot="1">
      <c r="B49" s="643"/>
      <c r="C49" s="643"/>
      <c r="D49" s="643"/>
      <c r="E49" s="643"/>
      <c r="F49" s="643"/>
      <c r="G49" s="643"/>
      <c r="H49" s="643"/>
      <c r="I49" s="642"/>
    </row>
    <row r="50" spans="2:11">
      <c r="B50" s="655"/>
      <c r="C50" s="655"/>
      <c r="D50" s="655"/>
      <c r="E50" s="655"/>
      <c r="F50" s="655"/>
      <c r="G50" s="655"/>
      <c r="H50" s="655"/>
      <c r="I50" s="654"/>
    </row>
    <row r="51" spans="2:11">
      <c r="D51" s="653">
        <v>2025</v>
      </c>
      <c r="E51" s="653">
        <v>2026</v>
      </c>
      <c r="F51" s="653">
        <v>2027</v>
      </c>
      <c r="G51" s="653">
        <v>2028</v>
      </c>
      <c r="H51" s="653">
        <v>2029</v>
      </c>
      <c r="I51" s="644"/>
    </row>
    <row r="52" spans="2:11">
      <c r="B52" s="682" t="s">
        <v>800</v>
      </c>
      <c r="C52" s="652"/>
      <c r="D52" s="651" t="s">
        <v>308</v>
      </c>
      <c r="E52" s="651" t="s">
        <v>309</v>
      </c>
      <c r="F52" s="651" t="s">
        <v>311</v>
      </c>
      <c r="G52" s="651" t="s">
        <v>310</v>
      </c>
      <c r="H52" s="651" t="s">
        <v>312</v>
      </c>
      <c r="I52" s="644"/>
    </row>
    <row r="53" spans="2:11">
      <c r="I53" s="644"/>
    </row>
    <row r="54" spans="2:11" ht="15">
      <c r="B54" s="683" t="s">
        <v>880</v>
      </c>
      <c r="C54" s="646" t="s">
        <v>803</v>
      </c>
      <c r="D54" s="650">
        <v>35413.155272745098</v>
      </c>
      <c r="E54" s="650">
        <v>172382.70031982529</v>
      </c>
      <c r="F54" s="650">
        <v>450388.02553854627</v>
      </c>
      <c r="G54" s="650">
        <v>756409.23704480717</v>
      </c>
      <c r="H54" s="650">
        <v>1037959.3146792927</v>
      </c>
      <c r="I54" s="644"/>
    </row>
    <row r="55" spans="2:11" ht="14.4">
      <c r="B55" s="686" t="s">
        <v>931</v>
      </c>
      <c r="C55" s="646" t="s">
        <v>803</v>
      </c>
      <c r="D55" s="649">
        <v>35413.155272745098</v>
      </c>
      <c r="E55" s="649">
        <v>132946.95031982529</v>
      </c>
      <c r="F55" s="649">
        <v>279939.3955385462</v>
      </c>
      <c r="G55" s="649">
        <v>439273.62575867423</v>
      </c>
      <c r="H55" s="649">
        <v>563890.76179878763</v>
      </c>
      <c r="I55" s="644"/>
    </row>
    <row r="56" spans="2:11" ht="14.4">
      <c r="B56" s="686" t="s">
        <v>923</v>
      </c>
      <c r="C56" s="646" t="s">
        <v>803</v>
      </c>
      <c r="D56" s="649">
        <v>0</v>
      </c>
      <c r="E56" s="649">
        <v>39435.75</v>
      </c>
      <c r="F56" s="649">
        <v>170448.63000000006</v>
      </c>
      <c r="G56" s="649">
        <v>317135.61128613295</v>
      </c>
      <c r="H56" s="649">
        <v>474068.55288050498</v>
      </c>
      <c r="I56" s="644"/>
    </row>
    <row r="57" spans="2:11" ht="15.6">
      <c r="B57" s="685" t="s">
        <v>885</v>
      </c>
      <c r="C57" s="646" t="s">
        <v>803</v>
      </c>
      <c r="D57" s="645">
        <v>43146.733397745098</v>
      </c>
      <c r="E57" s="645">
        <v>184325.46594482529</v>
      </c>
      <c r="F57" s="645">
        <v>468487.58803854627</v>
      </c>
      <c r="G57" s="645">
        <v>861238.31498917867</v>
      </c>
      <c r="H57" s="645">
        <v>1255700.7761420913</v>
      </c>
      <c r="I57" s="644"/>
      <c r="K57" s="658"/>
    </row>
    <row r="58" spans="2:11" ht="15.6">
      <c r="B58" s="685"/>
      <c r="C58" s="646"/>
      <c r="D58" s="645"/>
      <c r="E58" s="645"/>
      <c r="F58" s="645"/>
      <c r="G58" s="645"/>
      <c r="H58" s="645"/>
      <c r="I58" s="644"/>
    </row>
    <row r="59" spans="2:11" ht="15">
      <c r="B59" s="683" t="s">
        <v>884</v>
      </c>
      <c r="C59" s="657"/>
      <c r="D59" s="650">
        <v>30885.678659840483</v>
      </c>
      <c r="E59" s="650">
        <v>168246.34258119727</v>
      </c>
      <c r="F59" s="650">
        <v>454978.4223582024</v>
      </c>
      <c r="G59" s="650">
        <v>840317.15753927373</v>
      </c>
      <c r="H59" s="650">
        <v>1131643.5950471428</v>
      </c>
      <c r="I59" s="644"/>
    </row>
    <row r="60" spans="2:11" ht="14.4">
      <c r="B60" s="686" t="s">
        <v>931</v>
      </c>
      <c r="C60" s="646" t="s">
        <v>803</v>
      </c>
      <c r="D60" s="649">
        <v>30885.678659840483</v>
      </c>
      <c r="E60" s="649">
        <v>55806.342581197256</v>
      </c>
      <c r="F60" s="649">
        <v>192396.39569153573</v>
      </c>
      <c r="G60" s="649">
        <v>424901.57140594034</v>
      </c>
      <c r="H60" s="649">
        <v>558987.83747914282</v>
      </c>
      <c r="I60" s="644"/>
    </row>
    <row r="61" spans="2:11" ht="14.4">
      <c r="B61" s="692" t="s">
        <v>923</v>
      </c>
      <c r="C61" s="646" t="s">
        <v>803</v>
      </c>
      <c r="D61" s="649">
        <v>0</v>
      </c>
      <c r="E61" s="649">
        <v>112440</v>
      </c>
      <c r="F61" s="649">
        <v>262582.02666666667</v>
      </c>
      <c r="G61" s="649">
        <v>415415.58613333339</v>
      </c>
      <c r="H61" s="649">
        <v>572655.757568</v>
      </c>
      <c r="I61" s="644"/>
    </row>
    <row r="62" spans="2:11" ht="15.6">
      <c r="B62" s="685" t="s">
        <v>886</v>
      </c>
      <c r="C62" s="646" t="s">
        <v>803</v>
      </c>
      <c r="D62" s="645">
        <v>59694.579507453178</v>
      </c>
      <c r="E62" s="645">
        <v>217269.42544631526</v>
      </c>
      <c r="F62" s="645">
        <v>500283.52557803428</v>
      </c>
      <c r="G62" s="645">
        <v>840317.15753927373</v>
      </c>
      <c r="H62" s="645">
        <v>1131643.5950471428</v>
      </c>
      <c r="I62" s="644"/>
    </row>
    <row r="63" spans="2:11" ht="15">
      <c r="B63" s="687"/>
      <c r="C63" s="657"/>
      <c r="I63" s="644"/>
      <c r="J63" s="641" t="s">
        <v>922</v>
      </c>
    </row>
    <row r="64" spans="2:11" ht="15.6" hidden="1">
      <c r="B64" s="688" t="s">
        <v>939</v>
      </c>
      <c r="C64" s="646" t="s">
        <v>803</v>
      </c>
      <c r="D64" s="656">
        <v>-16547.846109708084</v>
      </c>
      <c r="E64" s="656">
        <v>-32943.959501489961</v>
      </c>
      <c r="F64" s="656">
        <v>-31795.937539488019</v>
      </c>
      <c r="G64" s="656">
        <v>20921.157449904946</v>
      </c>
      <c r="H64" s="656">
        <v>124057.18109494836</v>
      </c>
      <c r="I64" s="644"/>
    </row>
    <row r="65" spans="2:11" ht="15">
      <c r="B65" s="688"/>
      <c r="C65" s="646"/>
      <c r="I65" s="644"/>
    </row>
    <row r="66" spans="2:11" ht="15.6" hidden="1">
      <c r="B66" s="689" t="s">
        <v>879</v>
      </c>
      <c r="C66" s="646" t="s">
        <v>803</v>
      </c>
      <c r="D66" s="656">
        <v>-28808.900847612698</v>
      </c>
      <c r="E66" s="656">
        <v>-32475.2367554099</v>
      </c>
      <c r="F66" s="656">
        <v>-12361.143718341926</v>
      </c>
      <c r="G66" s="656">
        <v>111075.09360885952</v>
      </c>
      <c r="H66" s="656">
        <v>161860.52276289352</v>
      </c>
      <c r="I66" s="644"/>
    </row>
    <row r="67" spans="2:11" ht="14.4" thickBot="1">
      <c r="B67" s="643"/>
      <c r="C67" s="643"/>
      <c r="D67" s="643"/>
      <c r="E67" s="643"/>
      <c r="F67" s="643"/>
      <c r="G67" s="643"/>
      <c r="I67" s="642"/>
    </row>
    <row r="68" spans="2:11">
      <c r="B68" s="655"/>
      <c r="C68" s="655"/>
      <c r="D68" s="655"/>
      <c r="E68" s="655"/>
      <c r="F68" s="655"/>
      <c r="G68" s="655"/>
      <c r="I68" s="654"/>
    </row>
    <row r="69" spans="2:11">
      <c r="D69" s="653">
        <v>2025</v>
      </c>
      <c r="E69" s="653">
        <v>2026</v>
      </c>
      <c r="F69" s="653">
        <v>2027</v>
      </c>
      <c r="G69" s="653">
        <v>2028</v>
      </c>
      <c r="H69" s="653">
        <v>2029</v>
      </c>
      <c r="I69" s="644"/>
    </row>
    <row r="70" spans="2:11">
      <c r="B70" s="682" t="s">
        <v>938</v>
      </c>
      <c r="C70" s="652"/>
      <c r="D70" s="651" t="s">
        <v>308</v>
      </c>
      <c r="E70" s="651" t="s">
        <v>309</v>
      </c>
      <c r="F70" s="651" t="s">
        <v>311</v>
      </c>
      <c r="G70" s="651" t="s">
        <v>310</v>
      </c>
      <c r="H70" s="651" t="s">
        <v>312</v>
      </c>
      <c r="I70" s="644"/>
    </row>
    <row r="71" spans="2:11">
      <c r="I71" s="644"/>
    </row>
    <row r="72" spans="2:11" ht="15.6">
      <c r="B72" s="683" t="s">
        <v>937</v>
      </c>
      <c r="C72" s="646" t="s">
        <v>898</v>
      </c>
      <c r="D72" s="649">
        <v>55590.31951015404</v>
      </c>
      <c r="E72" s="649">
        <v>399794.50493692665</v>
      </c>
      <c r="F72" s="649">
        <v>851814.28035451949</v>
      </c>
      <c r="G72" s="649">
        <v>1224673.5323498745</v>
      </c>
      <c r="H72" s="649">
        <v>1507002.9331499357</v>
      </c>
      <c r="I72" s="644"/>
    </row>
    <row r="73" spans="2:11" ht="15.6">
      <c r="B73" s="683" t="s">
        <v>936</v>
      </c>
      <c r="C73" s="646" t="s">
        <v>898</v>
      </c>
      <c r="D73" s="649">
        <v>62782.218375397133</v>
      </c>
      <c r="E73" s="649">
        <v>380630.58278709499</v>
      </c>
      <c r="F73" s="649">
        <v>786819.93688129715</v>
      </c>
      <c r="G73" s="649">
        <v>1127530.7612798668</v>
      </c>
      <c r="H73" s="649">
        <v>1374307.481383191</v>
      </c>
      <c r="I73" s="644"/>
    </row>
    <row r="74" spans="2:11">
      <c r="I74" s="644"/>
    </row>
    <row r="75" spans="2:11" ht="15" hidden="1">
      <c r="B75" s="683" t="s">
        <v>880</v>
      </c>
      <c r="C75" s="646" t="s">
        <v>803</v>
      </c>
      <c r="D75" s="650">
        <v>35413.155272745098</v>
      </c>
      <c r="E75" s="650">
        <v>172382.70031982529</v>
      </c>
      <c r="F75" s="650">
        <v>450388.02553854627</v>
      </c>
      <c r="G75" s="650">
        <v>756409.23704480717</v>
      </c>
      <c r="H75" s="650">
        <v>1037959.3146792927</v>
      </c>
      <c r="I75" s="644"/>
    </row>
    <row r="76" spans="2:11" ht="14.4">
      <c r="B76" s="686" t="s">
        <v>931</v>
      </c>
      <c r="C76" s="646" t="s">
        <v>803</v>
      </c>
      <c r="D76" s="649">
        <v>35413.155272745098</v>
      </c>
      <c r="E76" s="649">
        <v>132946.95031982529</v>
      </c>
      <c r="F76" s="649">
        <v>279939.3955385462</v>
      </c>
      <c r="G76" s="649">
        <v>439273.62575867423</v>
      </c>
      <c r="H76" s="649">
        <v>563890.76179878763</v>
      </c>
      <c r="I76" s="644"/>
      <c r="K76" s="641">
        <v>0.54326865593283669</v>
      </c>
    </row>
    <row r="77" spans="2:11" hidden="1">
      <c r="B77" s="690" t="s">
        <v>888</v>
      </c>
      <c r="C77" s="646" t="s">
        <v>803</v>
      </c>
      <c r="D77" s="647">
        <v>0</v>
      </c>
      <c r="E77" s="647">
        <v>0</v>
      </c>
      <c r="F77" s="647">
        <v>0</v>
      </c>
      <c r="G77" s="647">
        <v>0</v>
      </c>
      <c r="H77" s="647">
        <v>0</v>
      </c>
      <c r="I77" s="644"/>
    </row>
    <row r="78" spans="2:11">
      <c r="B78" s="690" t="s">
        <v>935</v>
      </c>
      <c r="C78" s="646" t="s">
        <v>803</v>
      </c>
      <c r="D78" s="647">
        <v>83.385479265231069</v>
      </c>
      <c r="E78" s="647">
        <v>599.69175740538992</v>
      </c>
      <c r="F78" s="647">
        <v>1277.7214205317794</v>
      </c>
      <c r="G78" s="647">
        <v>1837.010298524812</v>
      </c>
      <c r="H78" s="647">
        <v>2260.5043997249036</v>
      </c>
      <c r="I78" s="644"/>
    </row>
    <row r="79" spans="2:11">
      <c r="B79" s="690" t="s">
        <v>934</v>
      </c>
      <c r="C79" s="646" t="s">
        <v>803</v>
      </c>
      <c r="D79" s="647">
        <v>446.07043392877341</v>
      </c>
      <c r="E79" s="647">
        <v>13215.579061550998</v>
      </c>
      <c r="F79" s="647">
        <v>32933.382857179138</v>
      </c>
      <c r="G79" s="647">
        <v>52999.143083321178</v>
      </c>
      <c r="H79" s="647">
        <v>72336.051982564561</v>
      </c>
      <c r="I79" s="644"/>
    </row>
    <row r="80" spans="2:11">
      <c r="B80" s="690" t="s">
        <v>933</v>
      </c>
      <c r="C80" s="646" t="s">
        <v>803</v>
      </c>
      <c r="D80" s="647">
        <v>0</v>
      </c>
      <c r="E80" s="647">
        <v>11215.711509866544</v>
      </c>
      <c r="F80" s="647">
        <v>39986.965658141031</v>
      </c>
      <c r="G80" s="647">
        <v>67002.986986069634</v>
      </c>
      <c r="H80" s="647">
        <v>90706.080323753224</v>
      </c>
      <c r="I80" s="644"/>
    </row>
    <row r="81" spans="2:9" hidden="1">
      <c r="B81" s="690" t="s">
        <v>469</v>
      </c>
      <c r="C81" s="646" t="s">
        <v>803</v>
      </c>
      <c r="D81" s="647">
        <v>0</v>
      </c>
      <c r="E81" s="647">
        <v>0</v>
      </c>
      <c r="F81" s="647">
        <v>0</v>
      </c>
      <c r="G81" s="647">
        <v>0</v>
      </c>
      <c r="H81" s="647">
        <v>0</v>
      </c>
      <c r="I81" s="644"/>
    </row>
    <row r="82" spans="2:9">
      <c r="B82" s="690" t="s">
        <v>932</v>
      </c>
      <c r="C82" s="646" t="s">
        <v>803</v>
      </c>
      <c r="D82" s="647">
        <v>34883.699359551094</v>
      </c>
      <c r="E82" s="647">
        <v>107915.96799100237</v>
      </c>
      <c r="F82" s="647">
        <v>205741.32560269427</v>
      </c>
      <c r="G82" s="647">
        <v>317434.48539075861</v>
      </c>
      <c r="H82" s="647">
        <v>398588.125092745</v>
      </c>
      <c r="I82" s="644"/>
    </row>
    <row r="83" spans="2:9">
      <c r="I83" s="644"/>
    </row>
    <row r="84" spans="2:9" ht="15.6" hidden="1">
      <c r="B84" s="685" t="s">
        <v>885</v>
      </c>
      <c r="C84" s="646" t="s">
        <v>803</v>
      </c>
      <c r="D84" s="645">
        <v>43146.733397745098</v>
      </c>
      <c r="E84" s="645">
        <v>184325.46594482529</v>
      </c>
      <c r="F84" s="645">
        <v>468487.58803854627</v>
      </c>
      <c r="G84" s="645">
        <v>861238.31498917867</v>
      </c>
      <c r="H84" s="645">
        <v>1255700.7761420913</v>
      </c>
      <c r="I84" s="644"/>
    </row>
    <row r="85" spans="2:9">
      <c r="I85" s="644"/>
    </row>
    <row r="86" spans="2:9" ht="15" hidden="1">
      <c r="B86" s="683" t="s">
        <v>884</v>
      </c>
      <c r="C86" s="646" t="s">
        <v>803</v>
      </c>
      <c r="D86" s="650">
        <v>30885.678659840483</v>
      </c>
      <c r="E86" s="650">
        <v>168246.34258119727</v>
      </c>
      <c r="F86" s="650">
        <v>454978.4223582024</v>
      </c>
      <c r="G86" s="650">
        <v>840317.15753927373</v>
      </c>
      <c r="H86" s="650">
        <v>1131643.5950471428</v>
      </c>
      <c r="I86" s="644"/>
    </row>
    <row r="87" spans="2:9" ht="14.4">
      <c r="B87" s="686" t="s">
        <v>931</v>
      </c>
      <c r="C87" s="646" t="s">
        <v>803</v>
      </c>
      <c r="D87" s="649">
        <v>30885.678659840483</v>
      </c>
      <c r="E87" s="649">
        <v>55806.342581197256</v>
      </c>
      <c r="F87" s="649">
        <v>192396.39569153573</v>
      </c>
      <c r="G87" s="649">
        <v>424901.57140594034</v>
      </c>
      <c r="H87" s="649">
        <v>558987.83747914282</v>
      </c>
      <c r="I87" s="644"/>
    </row>
    <row r="88" spans="2:9">
      <c r="B88" s="690" t="s">
        <v>930</v>
      </c>
      <c r="C88" s="646" t="s">
        <v>803</v>
      </c>
      <c r="D88" s="647">
        <v>1005.04362758901</v>
      </c>
      <c r="E88" s="647">
        <v>1887.95755908316</v>
      </c>
      <c r="F88" s="647">
        <v>2426.07240988376</v>
      </c>
      <c r="G88" s="647">
        <v>3117.5633740715598</v>
      </c>
      <c r="H88" s="647">
        <v>4006.1464578537002</v>
      </c>
      <c r="I88" s="644"/>
    </row>
    <row r="89" spans="2:9">
      <c r="B89" s="690" t="s">
        <v>929</v>
      </c>
      <c r="C89" s="646" t="s">
        <v>803</v>
      </c>
      <c r="D89" s="647">
        <v>444.72255608123231</v>
      </c>
      <c r="E89" s="647">
        <v>6396.7120789908267</v>
      </c>
      <c r="F89" s="647">
        <v>27258.056971344628</v>
      </c>
      <c r="G89" s="647">
        <v>68581.717811592986</v>
      </c>
      <c r="H89" s="647">
        <v>120560.23465199486</v>
      </c>
      <c r="I89" s="644"/>
    </row>
    <row r="90" spans="2:9">
      <c r="B90" s="690" t="s">
        <v>892</v>
      </c>
      <c r="C90" s="646" t="s">
        <v>803</v>
      </c>
      <c r="D90" s="647">
        <v>29435.912476170241</v>
      </c>
      <c r="E90" s="647">
        <v>47521.672943123267</v>
      </c>
      <c r="F90" s="647">
        <v>162712.26631030734</v>
      </c>
      <c r="G90" s="647">
        <v>353202.29022027581</v>
      </c>
      <c r="H90" s="647">
        <v>434421.45636929426</v>
      </c>
      <c r="I90" s="644"/>
    </row>
    <row r="91" spans="2:9">
      <c r="I91" s="644"/>
    </row>
    <row r="92" spans="2:9" ht="15.6" hidden="1">
      <c r="B92" s="685" t="s">
        <v>886</v>
      </c>
      <c r="C92" s="646" t="s">
        <v>803</v>
      </c>
      <c r="D92" s="645">
        <v>59694.579507453178</v>
      </c>
      <c r="E92" s="645">
        <v>217269.42544631526</v>
      </c>
      <c r="F92" s="645">
        <v>500283.52557803428</v>
      </c>
      <c r="G92" s="645">
        <v>840317.15753927373</v>
      </c>
      <c r="H92" s="645">
        <v>1131643.5950471428</v>
      </c>
      <c r="I92" s="644"/>
    </row>
    <row r="93" spans="2:9" ht="14.4" thickBot="1">
      <c r="B93" s="643"/>
      <c r="C93" s="643"/>
      <c r="D93" s="643"/>
      <c r="E93" s="643"/>
      <c r="F93" s="643"/>
      <c r="G93" s="643" t="s">
        <v>922</v>
      </c>
      <c r="H93" s="643"/>
      <c r="I93" s="642"/>
    </row>
    <row r="94" spans="2:9">
      <c r="B94" s="655"/>
      <c r="C94" s="655"/>
      <c r="D94" s="655"/>
      <c r="E94" s="655"/>
      <c r="F94" s="655"/>
      <c r="G94" s="655"/>
      <c r="H94" s="655"/>
      <c r="I94" s="654"/>
    </row>
    <row r="95" spans="2:9">
      <c r="D95" s="653">
        <v>2025</v>
      </c>
      <c r="E95" s="653">
        <v>2026</v>
      </c>
      <c r="F95" s="653">
        <v>2027</v>
      </c>
      <c r="G95" s="653">
        <v>2028</v>
      </c>
      <c r="H95" s="653">
        <v>2029</v>
      </c>
      <c r="I95" s="644"/>
    </row>
    <row r="96" spans="2:9">
      <c r="B96" s="682" t="s">
        <v>928</v>
      </c>
      <c r="C96" s="652"/>
      <c r="D96" s="651" t="s">
        <v>308</v>
      </c>
      <c r="E96" s="651" t="s">
        <v>309</v>
      </c>
      <c r="F96" s="651" t="s">
        <v>311</v>
      </c>
      <c r="G96" s="651" t="s">
        <v>310</v>
      </c>
      <c r="H96" s="651" t="s">
        <v>312</v>
      </c>
      <c r="I96" s="644"/>
    </row>
    <row r="97" spans="2:11">
      <c r="I97" s="644"/>
    </row>
    <row r="98" spans="2:11" ht="14.4">
      <c r="B98" s="678" t="s">
        <v>927</v>
      </c>
      <c r="C98" s="646" t="s">
        <v>394</v>
      </c>
      <c r="D98" s="649">
        <v>0</v>
      </c>
      <c r="E98" s="649">
        <v>30000</v>
      </c>
      <c r="F98" s="649">
        <v>69666.666666666672</v>
      </c>
      <c r="G98" s="649">
        <v>109333.33333333334</v>
      </c>
      <c r="H98" s="649">
        <v>149000</v>
      </c>
      <c r="I98" s="644"/>
    </row>
    <row r="99" spans="2:11" ht="14.4">
      <c r="B99" s="678" t="s">
        <v>926</v>
      </c>
      <c r="C99" s="646" t="s">
        <v>394</v>
      </c>
      <c r="D99" s="649">
        <v>0</v>
      </c>
      <c r="E99" s="649">
        <v>15000</v>
      </c>
      <c r="F99" s="649">
        <v>38403.750000000007</v>
      </c>
      <c r="G99" s="649">
        <v>66447.675000000017</v>
      </c>
      <c r="H99" s="649">
        <v>99837.125226562537</v>
      </c>
      <c r="I99" s="644"/>
    </row>
    <row r="100" spans="2:11" ht="15.6">
      <c r="B100" s="683"/>
      <c r="C100" s="646"/>
      <c r="D100" s="649"/>
      <c r="E100" s="649"/>
      <c r="F100" s="649"/>
      <c r="G100" s="649"/>
      <c r="H100" s="649"/>
      <c r="I100" s="644"/>
    </row>
    <row r="101" spans="2:11" ht="15" hidden="1">
      <c r="B101" s="683" t="s">
        <v>880</v>
      </c>
      <c r="C101" s="646" t="s">
        <v>803</v>
      </c>
      <c r="D101" s="650">
        <v>35413.155272745098</v>
      </c>
      <c r="E101" s="650">
        <v>172382.70031982529</v>
      </c>
      <c r="F101" s="650">
        <v>450388.02553854627</v>
      </c>
      <c r="G101" s="650">
        <v>756409.23704480717</v>
      </c>
      <c r="H101" s="650">
        <v>1037959.3146792927</v>
      </c>
      <c r="I101" s="644"/>
    </row>
    <row r="102" spans="2:11" ht="14.4">
      <c r="B102" s="686" t="s">
        <v>923</v>
      </c>
      <c r="C102" s="646" t="s">
        <v>803</v>
      </c>
      <c r="D102" s="649">
        <v>0</v>
      </c>
      <c r="E102" s="649">
        <v>39435.75</v>
      </c>
      <c r="F102" s="649">
        <v>170448.63000000006</v>
      </c>
      <c r="G102" s="649">
        <v>317135.61128613295</v>
      </c>
      <c r="H102" s="649">
        <v>474068.55288050498</v>
      </c>
      <c r="I102" s="644"/>
      <c r="K102" s="641">
        <v>0.4567313440671632</v>
      </c>
    </row>
    <row r="103" spans="2:11">
      <c r="B103" s="690" t="s">
        <v>925</v>
      </c>
      <c r="C103" s="646" t="s">
        <v>803</v>
      </c>
      <c r="D103" s="647">
        <v>0</v>
      </c>
      <c r="E103" s="647">
        <v>30600</v>
      </c>
      <c r="F103" s="647">
        <v>136592.98125000007</v>
      </c>
      <c r="G103" s="647">
        <v>259173.09128613293</v>
      </c>
      <c r="H103" s="647">
        <v>388494.31413050496</v>
      </c>
      <c r="I103" s="644"/>
    </row>
    <row r="104" spans="2:11">
      <c r="B104" s="690" t="s">
        <v>924</v>
      </c>
      <c r="C104" s="646" t="s">
        <v>803</v>
      </c>
      <c r="D104" s="647">
        <v>0</v>
      </c>
      <c r="E104" s="647">
        <v>8835.75</v>
      </c>
      <c r="F104" s="647">
        <v>33855.64875</v>
      </c>
      <c r="G104" s="647">
        <v>57962.520000000011</v>
      </c>
      <c r="H104" s="647">
        <v>85574.238750000019</v>
      </c>
      <c r="I104" s="644"/>
    </row>
    <row r="105" spans="2:11">
      <c r="B105" s="690"/>
      <c r="C105" s="646"/>
      <c r="I105" s="644"/>
    </row>
    <row r="106" spans="2:11" ht="15.6" hidden="1">
      <c r="B106" s="685" t="s">
        <v>885</v>
      </c>
      <c r="C106" s="646" t="s">
        <v>803</v>
      </c>
      <c r="D106" s="645">
        <v>43146.733397745098</v>
      </c>
      <c r="E106" s="645">
        <v>184325.46594482529</v>
      </c>
      <c r="F106" s="645">
        <v>468487.58803854627</v>
      </c>
      <c r="G106" s="645">
        <v>861238.31498917867</v>
      </c>
      <c r="H106" s="645">
        <v>1255700.7761420913</v>
      </c>
      <c r="I106" s="644"/>
    </row>
    <row r="107" spans="2:11">
      <c r="I107" s="644"/>
    </row>
    <row r="108" spans="2:11" ht="14.4">
      <c r="B108" s="686" t="s">
        <v>923</v>
      </c>
      <c r="C108" s="646" t="s">
        <v>803</v>
      </c>
      <c r="D108" s="649">
        <v>0</v>
      </c>
      <c r="E108" s="649">
        <v>112440</v>
      </c>
      <c r="F108" s="649">
        <v>262582.02666666667</v>
      </c>
      <c r="G108" s="649">
        <v>415415.58613333339</v>
      </c>
      <c r="H108" s="649">
        <v>572655.757568</v>
      </c>
      <c r="I108" s="644"/>
    </row>
    <row r="109" spans="2:11">
      <c r="B109" s="690" t="s">
        <v>883</v>
      </c>
      <c r="C109" s="646" t="s">
        <v>803</v>
      </c>
      <c r="D109" s="647">
        <v>0</v>
      </c>
      <c r="E109" s="647">
        <v>111000</v>
      </c>
      <c r="F109" s="647">
        <v>257766.66666666669</v>
      </c>
      <c r="G109" s="647">
        <v>404533.33333333337</v>
      </c>
      <c r="H109" s="647">
        <v>551300</v>
      </c>
      <c r="I109" s="644"/>
      <c r="K109" s="648"/>
    </row>
    <row r="110" spans="2:11">
      <c r="B110" s="690" t="s">
        <v>892</v>
      </c>
      <c r="C110" s="646" t="s">
        <v>803</v>
      </c>
      <c r="D110" s="647">
        <v>0</v>
      </c>
      <c r="E110" s="647">
        <v>1440</v>
      </c>
      <c r="F110" s="647">
        <v>4815.3599999999997</v>
      </c>
      <c r="G110" s="647">
        <v>10882.2528</v>
      </c>
      <c r="H110" s="647">
        <v>21355.757568000001</v>
      </c>
      <c r="I110" s="644"/>
    </row>
    <row r="111" spans="2:11">
      <c r="I111" s="644"/>
    </row>
    <row r="112" spans="2:11" ht="15.6" hidden="1">
      <c r="B112" s="685" t="s">
        <v>886</v>
      </c>
      <c r="C112" s="646" t="s">
        <v>803</v>
      </c>
      <c r="D112" s="645">
        <v>59694.579507453178</v>
      </c>
      <c r="E112" s="645">
        <v>217269.42544631526</v>
      </c>
      <c r="F112" s="645">
        <v>500283.52557803428</v>
      </c>
      <c r="G112" s="645">
        <v>840317.15753927373</v>
      </c>
      <c r="H112" s="645">
        <v>1131643.5950471428</v>
      </c>
      <c r="I112" s="644"/>
    </row>
    <row r="113" spans="2:9" ht="14.4" thickBot="1">
      <c r="B113" s="643"/>
      <c r="C113" s="643"/>
      <c r="D113" s="643"/>
      <c r="E113" s="643"/>
      <c r="F113" s="643"/>
      <c r="G113" s="643"/>
      <c r="H113" s="643"/>
      <c r="I113" s="642"/>
    </row>
    <row r="114" spans="2:9">
      <c r="F114" s="641" t="s">
        <v>922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5" tint="0.79998168889431442"/>
  </sheetPr>
  <dimension ref="A2:A70"/>
  <sheetViews>
    <sheetView zoomScale="110" zoomScaleNormal="110" workbookViewId="0">
      <selection activeCell="A2" sqref="A2"/>
    </sheetView>
  </sheetViews>
  <sheetFormatPr defaultColWidth="8.88671875" defaultRowHeight="14.4"/>
  <cols>
    <col min="1" max="16384" width="8.88671875" style="162"/>
  </cols>
  <sheetData>
    <row r="2" spans="1:1">
      <c r="A2" s="239" t="s">
        <v>1391</v>
      </c>
    </row>
    <row r="3" spans="1:1">
      <c r="A3" s="708"/>
    </row>
    <row r="4" spans="1:1">
      <c r="A4" s="709" t="s">
        <v>1392</v>
      </c>
    </row>
    <row r="5" spans="1:1">
      <c r="A5" s="709" t="s">
        <v>1393</v>
      </c>
    </row>
    <row r="6" spans="1:1">
      <c r="A6" s="709" t="s">
        <v>1394</v>
      </c>
    </row>
    <row r="8" spans="1:1">
      <c r="A8" s="239" t="s">
        <v>1395</v>
      </c>
    </row>
    <row r="9" spans="1:1">
      <c r="A9" s="708"/>
    </row>
    <row r="10" spans="1:1">
      <c r="A10" s="709" t="s">
        <v>1396</v>
      </c>
    </row>
    <row r="11" spans="1:1">
      <c r="A11" s="709" t="s">
        <v>1397</v>
      </c>
    </row>
    <row r="12" spans="1:1">
      <c r="A12" s="709" t="s">
        <v>1398</v>
      </c>
    </row>
    <row r="13" spans="1:1">
      <c r="A13" s="709" t="s">
        <v>1399</v>
      </c>
    </row>
    <row r="14" spans="1:1">
      <c r="A14" s="709" t="s">
        <v>1400</v>
      </c>
    </row>
    <row r="16" spans="1:1">
      <c r="A16" s="239" t="s">
        <v>1401</v>
      </c>
    </row>
    <row r="18" spans="1:1">
      <c r="A18" s="239" t="s">
        <v>1402</v>
      </c>
    </row>
    <row r="19" spans="1:1">
      <c r="A19" s="708"/>
    </row>
    <row r="20" spans="1:1">
      <c r="A20" s="709" t="s">
        <v>1403</v>
      </c>
    </row>
    <row r="21" spans="1:1">
      <c r="A21" s="709" t="s">
        <v>1404</v>
      </c>
    </row>
    <row r="22" spans="1:1">
      <c r="A22" s="709" t="s">
        <v>1405</v>
      </c>
    </row>
    <row r="24" spans="1:1">
      <c r="A24" s="239" t="s">
        <v>1406</v>
      </c>
    </row>
    <row r="25" spans="1:1">
      <c r="A25" s="708"/>
    </row>
    <row r="26" spans="1:1">
      <c r="A26" s="708" t="s">
        <v>1407</v>
      </c>
    </row>
    <row r="27" spans="1:1">
      <c r="A27" s="710" t="s">
        <v>1408</v>
      </c>
    </row>
    <row r="28" spans="1:1">
      <c r="A28" s="710" t="s">
        <v>1409</v>
      </c>
    </row>
    <row r="29" spans="1:1">
      <c r="A29" s="710" t="s">
        <v>1410</v>
      </c>
    </row>
    <row r="30" spans="1:1">
      <c r="A30" s="710" t="s">
        <v>1411</v>
      </c>
    </row>
    <row r="32" spans="1:1">
      <c r="A32" s="239" t="s">
        <v>1412</v>
      </c>
    </row>
    <row r="33" spans="1:1">
      <c r="A33" s="708"/>
    </row>
    <row r="34" spans="1:1">
      <c r="A34" s="708" t="s">
        <v>1413</v>
      </c>
    </row>
    <row r="35" spans="1:1">
      <c r="A35" s="708" t="s">
        <v>1414</v>
      </c>
    </row>
    <row r="36" spans="1:1">
      <c r="A36" s="708" t="s">
        <v>1415</v>
      </c>
    </row>
    <row r="37" spans="1:1">
      <c r="A37" s="708" t="s">
        <v>1416</v>
      </c>
    </row>
    <row r="38" spans="1:1">
      <c r="A38" s="708" t="s">
        <v>1417</v>
      </c>
    </row>
    <row r="39" spans="1:1">
      <c r="A39" s="708" t="s">
        <v>1418</v>
      </c>
    </row>
    <row r="41" spans="1:1">
      <c r="A41" s="239" t="s">
        <v>1419</v>
      </c>
    </row>
    <row r="42" spans="1:1">
      <c r="A42" s="708"/>
    </row>
    <row r="43" spans="1:1">
      <c r="A43" s="708" t="s">
        <v>1420</v>
      </c>
    </row>
    <row r="44" spans="1:1">
      <c r="A44" s="710" t="s">
        <v>1421</v>
      </c>
    </row>
    <row r="45" spans="1:1">
      <c r="A45" s="710" t="s">
        <v>1422</v>
      </c>
    </row>
    <row r="46" spans="1:1">
      <c r="A46" s="710" t="s">
        <v>1423</v>
      </c>
    </row>
    <row r="47" spans="1:1">
      <c r="A47" s="710" t="s">
        <v>1424</v>
      </c>
    </row>
    <row r="48" spans="1:1">
      <c r="A48" s="708" t="s">
        <v>1425</v>
      </c>
    </row>
    <row r="49" spans="1:1">
      <c r="A49" s="708" t="s">
        <v>1426</v>
      </c>
    </row>
    <row r="50" spans="1:1">
      <c r="A50" s="708" t="s">
        <v>1427</v>
      </c>
    </row>
    <row r="52" spans="1:1">
      <c r="A52" s="239" t="s">
        <v>1428</v>
      </c>
    </row>
    <row r="53" spans="1:1">
      <c r="A53" s="708"/>
    </row>
    <row r="54" spans="1:1">
      <c r="A54" s="708" t="s">
        <v>1429</v>
      </c>
    </row>
    <row r="55" spans="1:1">
      <c r="A55" s="708" t="s">
        <v>1430</v>
      </c>
    </row>
    <row r="56" spans="1:1">
      <c r="A56" s="708" t="s">
        <v>1431</v>
      </c>
    </row>
    <row r="57" spans="1:1">
      <c r="A57" s="708" t="s">
        <v>1432</v>
      </c>
    </row>
    <row r="58" spans="1:1">
      <c r="A58" s="708" t="s">
        <v>1433</v>
      </c>
    </row>
    <row r="59" spans="1:1">
      <c r="A59" s="708" t="s">
        <v>1434</v>
      </c>
    </row>
    <row r="60" spans="1:1">
      <c r="A60" s="708" t="s">
        <v>1435</v>
      </c>
    </row>
    <row r="62" spans="1:1">
      <c r="A62" s="239" t="s">
        <v>1436</v>
      </c>
    </row>
    <row r="63" spans="1:1">
      <c r="A63" s="708"/>
    </row>
    <row r="64" spans="1:1">
      <c r="A64" s="708" t="s">
        <v>1437</v>
      </c>
    </row>
    <row r="65" spans="1:1">
      <c r="A65" s="708" t="s">
        <v>1438</v>
      </c>
    </row>
    <row r="66" spans="1:1">
      <c r="A66" s="708" t="s">
        <v>1439</v>
      </c>
    </row>
    <row r="67" spans="1:1">
      <c r="A67" s="708" t="s">
        <v>1440</v>
      </c>
    </row>
    <row r="68" spans="1:1">
      <c r="A68" s="708" t="s">
        <v>1441</v>
      </c>
    </row>
    <row r="69" spans="1:1">
      <c r="A69" s="708" t="s">
        <v>1434</v>
      </c>
    </row>
    <row r="70" spans="1:1">
      <c r="A70" s="708" t="s">
        <v>1442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0000"/>
  </sheetPr>
  <dimension ref="A1:P198"/>
  <sheetViews>
    <sheetView zoomScaleNormal="100" workbookViewId="0">
      <pane ySplit="6" topLeftCell="A7" activePane="bottomLeft" state="frozen"/>
      <selection pane="bottomLeft" activeCell="C19" sqref="C19"/>
    </sheetView>
  </sheetViews>
  <sheetFormatPr defaultColWidth="8.88671875" defaultRowHeight="13.8"/>
  <cols>
    <col min="1" max="1" width="75.88671875" style="143" customWidth="1"/>
    <col min="2" max="2" width="10.5546875" style="143" customWidth="1"/>
    <col min="3" max="3" width="10" style="143" bestFit="1" customWidth="1"/>
    <col min="4" max="4" width="20" style="143" customWidth="1"/>
    <col min="5" max="16" width="21.6640625" style="143" customWidth="1"/>
    <col min="17" max="16384" width="8.88671875" style="143"/>
  </cols>
  <sheetData>
    <row r="1" spans="1:16" s="105" customFormat="1" ht="19.8">
      <c r="A1" s="156" t="s">
        <v>239</v>
      </c>
      <c r="B1" s="156"/>
      <c r="C1" s="156"/>
      <c r="D1" s="156"/>
      <c r="E1" s="156"/>
      <c r="F1" s="156"/>
      <c r="G1" s="157"/>
      <c r="H1" s="157"/>
      <c r="I1" s="157"/>
      <c r="J1" s="157"/>
      <c r="K1" s="157"/>
      <c r="L1" s="157"/>
      <c r="M1" s="157"/>
      <c r="N1" s="157"/>
      <c r="O1" s="157"/>
      <c r="P1" s="157"/>
    </row>
    <row r="2" spans="1:16" s="107" customFormat="1">
      <c r="A2" s="106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</row>
    <row r="3" spans="1:16" s="108" customFormat="1">
      <c r="A3" s="110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</row>
    <row r="4" spans="1:16" s="147" customFormat="1">
      <c r="D4" s="148">
        <v>2024</v>
      </c>
      <c r="E4" s="148">
        <v>2025</v>
      </c>
      <c r="F4" s="148">
        <v>2025</v>
      </c>
      <c r="G4" s="148">
        <v>2025</v>
      </c>
      <c r="H4" s="148">
        <v>2025</v>
      </c>
      <c r="I4" s="148">
        <v>2026</v>
      </c>
      <c r="J4" s="148">
        <v>2026</v>
      </c>
      <c r="K4" s="148">
        <v>2027</v>
      </c>
      <c r="L4" s="148">
        <v>2027</v>
      </c>
      <c r="M4" s="148">
        <v>2028</v>
      </c>
      <c r="N4" s="148">
        <v>2028</v>
      </c>
      <c r="O4" s="148">
        <v>2029</v>
      </c>
      <c r="P4" s="148">
        <v>2029</v>
      </c>
    </row>
    <row r="5" spans="1:16" s="149" customFormat="1">
      <c r="A5" s="150"/>
      <c r="B5" s="150"/>
      <c r="C5" s="150"/>
      <c r="D5" s="151" t="s">
        <v>294</v>
      </c>
      <c r="E5" s="151" t="s">
        <v>295</v>
      </c>
      <c r="F5" s="151" t="s">
        <v>296</v>
      </c>
      <c r="G5" s="151" t="s">
        <v>297</v>
      </c>
      <c r="H5" s="151" t="s">
        <v>298</v>
      </c>
      <c r="I5" s="151" t="s">
        <v>299</v>
      </c>
      <c r="J5" s="151" t="s">
        <v>300</v>
      </c>
      <c r="K5" s="151" t="s">
        <v>301</v>
      </c>
      <c r="L5" s="151" t="s">
        <v>302</v>
      </c>
      <c r="M5" s="151" t="s">
        <v>303</v>
      </c>
      <c r="N5" s="151" t="s">
        <v>304</v>
      </c>
      <c r="O5" s="151" t="s">
        <v>305</v>
      </c>
      <c r="P5" s="151" t="s">
        <v>306</v>
      </c>
    </row>
    <row r="6" spans="1:16" s="114" customFormat="1">
      <c r="D6" s="158">
        <v>0</v>
      </c>
      <c r="E6" s="115">
        <v>1</v>
      </c>
      <c r="F6" s="115">
        <v>2</v>
      </c>
      <c r="G6" s="115">
        <v>3</v>
      </c>
      <c r="H6" s="115">
        <v>4</v>
      </c>
      <c r="I6" s="115">
        <v>5</v>
      </c>
      <c r="J6" s="115">
        <v>6</v>
      </c>
      <c r="K6" s="115">
        <v>7</v>
      </c>
      <c r="L6" s="115">
        <v>8</v>
      </c>
      <c r="M6" s="115">
        <v>9</v>
      </c>
      <c r="N6" s="115">
        <v>10</v>
      </c>
      <c r="O6" s="115">
        <v>11</v>
      </c>
      <c r="P6" s="115">
        <v>12</v>
      </c>
    </row>
    <row r="7" spans="1:16" s="119" customFormat="1" ht="12.6">
      <c r="A7" s="132" t="s">
        <v>281</v>
      </c>
      <c r="B7" s="116" t="s">
        <v>228</v>
      </c>
      <c r="C7" s="117"/>
      <c r="D7" s="117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</row>
    <row r="8" spans="1:16" s="119" customFormat="1" ht="4.2" customHeight="1">
      <c r="A8" s="187"/>
      <c r="B8" s="188"/>
      <c r="C8" s="189"/>
      <c r="D8" s="189"/>
      <c r="E8" s="190"/>
      <c r="F8" s="190"/>
      <c r="G8" s="190"/>
      <c r="H8" s="190"/>
      <c r="I8" s="190"/>
      <c r="J8" s="190"/>
      <c r="K8" s="190"/>
      <c r="L8" s="190"/>
      <c r="M8" s="190"/>
      <c r="N8" s="190"/>
      <c r="O8" s="190"/>
      <c r="P8" s="190"/>
    </row>
    <row r="9" spans="1:16">
      <c r="A9" s="122"/>
      <c r="B9" s="138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4"/>
    </row>
    <row r="10" spans="1:16">
      <c r="A10" s="122"/>
      <c r="B10" s="155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</row>
    <row r="11" spans="1:16" s="129" customFormat="1" ht="12.6">
      <c r="A11" s="122"/>
      <c r="B11" s="138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</row>
    <row r="12" spans="1:16" s="129" customFormat="1" ht="12.6">
      <c r="A12" s="135"/>
      <c r="B12" s="121"/>
      <c r="C12" s="138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</row>
    <row r="13" spans="1:16" s="129" customFormat="1" ht="12.6">
      <c r="A13" s="135"/>
      <c r="B13" s="138"/>
      <c r="C13" s="138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</row>
    <row r="14" spans="1:16" s="129" customFormat="1" ht="12.6">
      <c r="A14" s="135"/>
      <c r="B14" s="138"/>
      <c r="C14" s="138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4"/>
    </row>
    <row r="15" spans="1:16" s="129" customFormat="1" ht="12.6">
      <c r="A15" s="135"/>
      <c r="B15" s="138"/>
      <c r="C15" s="138"/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</row>
    <row r="16" spans="1:16" s="129" customFormat="1" ht="12.6">
      <c r="A16" s="135"/>
      <c r="B16" s="138"/>
      <c r="C16" s="138"/>
      <c r="D16" s="131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</row>
    <row r="17" spans="1:16" s="129" customFormat="1" ht="12.6">
      <c r="A17" s="135"/>
      <c r="B17" s="138"/>
      <c r="C17" s="138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</row>
    <row r="18" spans="1:16" s="129" customFormat="1" ht="12.6">
      <c r="A18" s="135"/>
      <c r="B18" s="138"/>
      <c r="C18" s="138"/>
      <c r="D18" s="131"/>
      <c r="E18" s="131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</row>
    <row r="19" spans="1:16" s="119" customFormat="1" ht="12.6">
      <c r="A19" s="132" t="s">
        <v>387</v>
      </c>
      <c r="B19" s="116" t="s">
        <v>228</v>
      </c>
      <c r="C19" s="117"/>
      <c r="D19" s="117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</row>
    <row r="20" spans="1:16" s="119" customFormat="1" ht="4.2" customHeight="1">
      <c r="A20" s="187"/>
      <c r="B20" s="188"/>
      <c r="C20" s="189"/>
      <c r="D20" s="189"/>
      <c r="E20" s="190"/>
      <c r="F20" s="190"/>
      <c r="G20" s="190"/>
      <c r="H20" s="190"/>
      <c r="I20" s="190"/>
      <c r="J20" s="190"/>
      <c r="K20" s="190"/>
      <c r="L20" s="190"/>
      <c r="M20" s="190"/>
      <c r="N20" s="190"/>
      <c r="O20" s="190"/>
      <c r="P20" s="190"/>
    </row>
    <row r="21" spans="1:16">
      <c r="A21" s="122" t="s">
        <v>386</v>
      </c>
      <c r="B21" s="138" t="s">
        <v>230</v>
      </c>
      <c r="D21" s="134">
        <f>Subscr!D14</f>
        <v>0</v>
      </c>
      <c r="E21" s="134">
        <f>Subscr!E14</f>
        <v>0</v>
      </c>
      <c r="F21" s="134">
        <f>Subscr!F14</f>
        <v>0</v>
      </c>
      <c r="G21" s="134">
        <f>Subscr!G14</f>
        <v>3604928.4763949588</v>
      </c>
      <c r="H21" s="134">
        <f>Subscr!H14</f>
        <v>3762569.9685120005</v>
      </c>
      <c r="I21" s="134">
        <f>Subscr!I14</f>
        <v>3905819.54128512</v>
      </c>
      <c r="J21" s="134">
        <f>Subscr!J14</f>
        <v>4062279.7418670086</v>
      </c>
      <c r="K21" s="134">
        <f>Subscr!K14</f>
        <v>4213442.6650688006</v>
      </c>
      <c r="L21" s="134">
        <f>Subscr!L14</f>
        <v>4348912.738180629</v>
      </c>
      <c r="M21" s="134">
        <f>Subscr!M14</f>
        <v>4585085.4424168766</v>
      </c>
      <c r="N21" s="134">
        <f>Subscr!N14</f>
        <v>4827175.1865258887</v>
      </c>
      <c r="O21" s="134">
        <f>Subscr!O14</f>
        <v>5124027.9119836623</v>
      </c>
      <c r="P21" s="134">
        <f>Subscr!P14</f>
        <v>5426137.5209798003</v>
      </c>
    </row>
    <row r="22" spans="1:16">
      <c r="A22" s="122" t="s">
        <v>338</v>
      </c>
      <c r="B22" s="155" t="s">
        <v>231</v>
      </c>
      <c r="D22" s="125"/>
      <c r="E22" s="137">
        <v>0.01</v>
      </c>
      <c r="F22" s="137">
        <v>0.01</v>
      </c>
      <c r="G22" s="137">
        <v>0.01</v>
      </c>
      <c r="H22" s="137">
        <v>0.01</v>
      </c>
      <c r="I22" s="137">
        <v>0.01</v>
      </c>
      <c r="J22" s="137">
        <v>0.01</v>
      </c>
      <c r="K22" s="137">
        <v>0.01</v>
      </c>
      <c r="L22" s="137">
        <v>0.01</v>
      </c>
      <c r="M22" s="137">
        <v>0.01</v>
      </c>
      <c r="N22" s="137">
        <v>0.01</v>
      </c>
      <c r="O22" s="137">
        <v>0.01</v>
      </c>
      <c r="P22" s="137">
        <v>0.01</v>
      </c>
    </row>
    <row r="23" spans="1:16">
      <c r="A23" s="122" t="s">
        <v>342</v>
      </c>
      <c r="B23" s="138" t="s">
        <v>230</v>
      </c>
      <c r="D23" s="125"/>
      <c r="E23" s="134">
        <f>ROUND(E21*E22,0)</f>
        <v>0</v>
      </c>
      <c r="F23" s="134">
        <f t="shared" ref="F23:P23" si="0">ROUND(F21*F22,0)</f>
        <v>0</v>
      </c>
      <c r="G23" s="134">
        <f t="shared" si="0"/>
        <v>36049</v>
      </c>
      <c r="H23" s="134">
        <f t="shared" si="0"/>
        <v>37626</v>
      </c>
      <c r="I23" s="134">
        <f t="shared" si="0"/>
        <v>39058</v>
      </c>
      <c r="J23" s="134">
        <f t="shared" si="0"/>
        <v>40623</v>
      </c>
      <c r="K23" s="134">
        <f t="shared" si="0"/>
        <v>42134</v>
      </c>
      <c r="L23" s="134">
        <f t="shared" si="0"/>
        <v>43489</v>
      </c>
      <c r="M23" s="134">
        <f t="shared" si="0"/>
        <v>45851</v>
      </c>
      <c r="N23" s="134">
        <f t="shared" si="0"/>
        <v>48272</v>
      </c>
      <c r="O23" s="134">
        <f t="shared" si="0"/>
        <v>51240</v>
      </c>
      <c r="P23" s="134">
        <f t="shared" si="0"/>
        <v>54261</v>
      </c>
    </row>
    <row r="24" spans="1:16">
      <c r="A24" s="122" t="s">
        <v>339</v>
      </c>
      <c r="B24" s="155" t="s">
        <v>231</v>
      </c>
      <c r="E24" s="210">
        <v>1.2</v>
      </c>
      <c r="F24" s="210">
        <v>1.2</v>
      </c>
      <c r="G24" s="210">
        <v>1.2</v>
      </c>
      <c r="H24" s="210">
        <v>1.2</v>
      </c>
      <c r="I24" s="210">
        <v>1.2</v>
      </c>
      <c r="J24" s="210">
        <v>1.2</v>
      </c>
      <c r="K24" s="210">
        <v>1.2</v>
      </c>
      <c r="L24" s="210">
        <v>1.2</v>
      </c>
      <c r="M24" s="210">
        <v>1.2</v>
      </c>
      <c r="N24" s="210">
        <v>1.2</v>
      </c>
      <c r="O24" s="210">
        <v>1.2</v>
      </c>
      <c r="P24" s="210">
        <v>1.2</v>
      </c>
    </row>
    <row r="25" spans="1:16">
      <c r="A25" s="122" t="s">
        <v>340</v>
      </c>
      <c r="B25" s="138" t="s">
        <v>230</v>
      </c>
      <c r="E25" s="134">
        <f>ROUND(E23*E24,0)</f>
        <v>0</v>
      </c>
      <c r="F25" s="134">
        <f t="shared" ref="F25:P25" si="1">ROUND(F23*F24,0)</f>
        <v>0</v>
      </c>
      <c r="G25" s="134">
        <f t="shared" si="1"/>
        <v>43259</v>
      </c>
      <c r="H25" s="134">
        <f t="shared" si="1"/>
        <v>45151</v>
      </c>
      <c r="I25" s="134">
        <f t="shared" si="1"/>
        <v>46870</v>
      </c>
      <c r="J25" s="134">
        <f t="shared" si="1"/>
        <v>48748</v>
      </c>
      <c r="K25" s="134">
        <f t="shared" si="1"/>
        <v>50561</v>
      </c>
      <c r="L25" s="134">
        <f t="shared" si="1"/>
        <v>52187</v>
      </c>
      <c r="M25" s="134">
        <f t="shared" si="1"/>
        <v>55021</v>
      </c>
      <c r="N25" s="134">
        <f t="shared" si="1"/>
        <v>57926</v>
      </c>
      <c r="O25" s="134">
        <f t="shared" si="1"/>
        <v>61488</v>
      </c>
      <c r="P25" s="134">
        <f t="shared" si="1"/>
        <v>65113</v>
      </c>
    </row>
    <row r="26" spans="1:16">
      <c r="A26" s="122" t="s">
        <v>336</v>
      </c>
      <c r="B26" s="155" t="s">
        <v>231</v>
      </c>
      <c r="E26" s="137">
        <v>0.7</v>
      </c>
      <c r="F26" s="137">
        <v>0.7</v>
      </c>
      <c r="G26" s="137">
        <v>0.7</v>
      </c>
      <c r="H26" s="137">
        <v>0.7</v>
      </c>
      <c r="I26" s="137">
        <v>0.7</v>
      </c>
      <c r="J26" s="137">
        <v>0.7</v>
      </c>
      <c r="K26" s="137">
        <v>0.7</v>
      </c>
      <c r="L26" s="137">
        <v>0.7</v>
      </c>
      <c r="M26" s="137">
        <v>0.7</v>
      </c>
      <c r="N26" s="137">
        <v>0.7</v>
      </c>
      <c r="O26" s="137">
        <v>0.7</v>
      </c>
      <c r="P26" s="137">
        <v>0.7</v>
      </c>
    </row>
    <row r="27" spans="1:16" s="129" customFormat="1" ht="12.6">
      <c r="A27" s="122" t="s">
        <v>341</v>
      </c>
      <c r="B27" s="138" t="s">
        <v>230</v>
      </c>
      <c r="D27" s="131"/>
      <c r="E27" s="131">
        <f>E25*E26</f>
        <v>0</v>
      </c>
      <c r="F27" s="131">
        <f t="shared" ref="F27:P27" si="2">F25*F26</f>
        <v>0</v>
      </c>
      <c r="G27" s="131">
        <f t="shared" si="2"/>
        <v>30281.3</v>
      </c>
      <c r="H27" s="131">
        <f t="shared" si="2"/>
        <v>31605.699999999997</v>
      </c>
      <c r="I27" s="131">
        <f t="shared" si="2"/>
        <v>32809</v>
      </c>
      <c r="J27" s="131">
        <f t="shared" si="2"/>
        <v>34123.599999999999</v>
      </c>
      <c r="K27" s="131">
        <f t="shared" si="2"/>
        <v>35392.699999999997</v>
      </c>
      <c r="L27" s="131">
        <f t="shared" si="2"/>
        <v>36530.899999999994</v>
      </c>
      <c r="M27" s="131">
        <f t="shared" si="2"/>
        <v>38514.699999999997</v>
      </c>
      <c r="N27" s="131">
        <f t="shared" si="2"/>
        <v>40548.199999999997</v>
      </c>
      <c r="O27" s="131">
        <f t="shared" si="2"/>
        <v>43041.599999999999</v>
      </c>
      <c r="P27" s="131">
        <f t="shared" si="2"/>
        <v>45579.1</v>
      </c>
    </row>
    <row r="28" spans="1:16" s="129" customFormat="1">
      <c r="A28" s="122" t="s">
        <v>351</v>
      </c>
      <c r="B28" s="155" t="s">
        <v>231</v>
      </c>
      <c r="D28" s="131"/>
      <c r="E28" s="137">
        <v>0.7</v>
      </c>
      <c r="F28" s="137">
        <v>0.7</v>
      </c>
      <c r="G28" s="137">
        <v>0.7</v>
      </c>
      <c r="H28" s="137">
        <v>0.7</v>
      </c>
      <c r="I28" s="137">
        <v>0.7</v>
      </c>
      <c r="J28" s="137">
        <v>0.7</v>
      </c>
      <c r="K28" s="137">
        <v>0.7</v>
      </c>
      <c r="L28" s="137">
        <v>0.7</v>
      </c>
      <c r="M28" s="137">
        <v>0.7</v>
      </c>
      <c r="N28" s="137">
        <v>0.7</v>
      </c>
      <c r="O28" s="137">
        <v>0.7</v>
      </c>
      <c r="P28" s="137">
        <v>0.7</v>
      </c>
    </row>
    <row r="29" spans="1:16" s="129" customFormat="1" ht="12.6">
      <c r="A29" s="217" t="s">
        <v>352</v>
      </c>
      <c r="B29" s="138" t="s">
        <v>230</v>
      </c>
      <c r="D29" s="131"/>
      <c r="E29" s="131">
        <f>E27*E28</f>
        <v>0</v>
      </c>
      <c r="F29" s="131">
        <f t="shared" ref="F29:P29" si="3">F27*F28</f>
        <v>0</v>
      </c>
      <c r="G29" s="131">
        <f t="shared" si="3"/>
        <v>21196.91</v>
      </c>
      <c r="H29" s="131">
        <f t="shared" si="3"/>
        <v>22123.989999999998</v>
      </c>
      <c r="I29" s="131">
        <f t="shared" si="3"/>
        <v>22966.3</v>
      </c>
      <c r="J29" s="131">
        <f t="shared" si="3"/>
        <v>23886.519999999997</v>
      </c>
      <c r="K29" s="131">
        <f t="shared" si="3"/>
        <v>24774.889999999996</v>
      </c>
      <c r="L29" s="131">
        <f t="shared" si="3"/>
        <v>25571.629999999994</v>
      </c>
      <c r="M29" s="131">
        <f t="shared" si="3"/>
        <v>26960.289999999997</v>
      </c>
      <c r="N29" s="131">
        <f t="shared" si="3"/>
        <v>28383.739999999998</v>
      </c>
      <c r="O29" s="131">
        <f t="shared" si="3"/>
        <v>30129.119999999995</v>
      </c>
      <c r="P29" s="131">
        <f t="shared" si="3"/>
        <v>31905.369999999995</v>
      </c>
    </row>
    <row r="30" spans="1:16" s="129" customFormat="1" ht="12.6">
      <c r="A30" s="217" t="s">
        <v>353</v>
      </c>
      <c r="B30" s="138" t="s">
        <v>230</v>
      </c>
      <c r="D30" s="131"/>
      <c r="E30" s="131">
        <f>E27-E29</f>
        <v>0</v>
      </c>
      <c r="F30" s="131">
        <f t="shared" ref="F30:P30" si="4">F27-F29</f>
        <v>0</v>
      </c>
      <c r="G30" s="131">
        <f t="shared" si="4"/>
        <v>9084.39</v>
      </c>
      <c r="H30" s="131">
        <f t="shared" si="4"/>
        <v>9481.7099999999991</v>
      </c>
      <c r="I30" s="131">
        <f t="shared" si="4"/>
        <v>9842.7000000000007</v>
      </c>
      <c r="J30" s="131">
        <f t="shared" si="4"/>
        <v>10237.080000000002</v>
      </c>
      <c r="K30" s="131">
        <f t="shared" si="4"/>
        <v>10617.810000000001</v>
      </c>
      <c r="L30" s="131">
        <f t="shared" si="4"/>
        <v>10959.27</v>
      </c>
      <c r="M30" s="131">
        <f t="shared" si="4"/>
        <v>11554.41</v>
      </c>
      <c r="N30" s="131">
        <f t="shared" si="4"/>
        <v>12164.46</v>
      </c>
      <c r="O30" s="131">
        <f t="shared" si="4"/>
        <v>12912.480000000003</v>
      </c>
      <c r="P30" s="131">
        <f t="shared" si="4"/>
        <v>13673.730000000003</v>
      </c>
    </row>
    <row r="31" spans="1:16" s="129" customFormat="1" ht="12.6">
      <c r="A31" s="122"/>
      <c r="B31" s="138"/>
      <c r="D31" s="131"/>
      <c r="E31" s="131"/>
      <c r="F31" s="131"/>
      <c r="G31" s="131"/>
      <c r="H31" s="131"/>
      <c r="I31" s="131"/>
      <c r="J31" s="131"/>
      <c r="K31" s="131"/>
      <c r="L31" s="131"/>
      <c r="M31" s="131"/>
      <c r="N31" s="131"/>
      <c r="O31" s="131"/>
      <c r="P31" s="131"/>
    </row>
    <row r="32" spans="1:16" s="166" customFormat="1" ht="12.6">
      <c r="A32" s="169" t="s">
        <v>343</v>
      </c>
      <c r="B32" s="163"/>
      <c r="C32" s="170"/>
      <c r="D32" s="174"/>
      <c r="E32" s="184"/>
      <c r="F32" s="184"/>
      <c r="G32" s="184"/>
      <c r="H32" s="184"/>
      <c r="I32" s="184"/>
      <c r="J32" s="184"/>
      <c r="K32" s="184"/>
      <c r="L32" s="184"/>
      <c r="M32" s="184"/>
      <c r="N32" s="184"/>
      <c r="O32" s="184"/>
      <c r="P32" s="184"/>
    </row>
    <row r="33" spans="1:16">
      <c r="A33" s="122" t="s">
        <v>335</v>
      </c>
      <c r="B33" s="155" t="s">
        <v>231</v>
      </c>
      <c r="D33" s="125"/>
      <c r="E33" s="137">
        <v>0.1</v>
      </c>
      <c r="F33" s="137">
        <v>0.1</v>
      </c>
      <c r="G33" s="137">
        <v>0.1</v>
      </c>
      <c r="H33" s="137">
        <v>0.1</v>
      </c>
      <c r="I33" s="137">
        <v>0.2</v>
      </c>
      <c r="J33" s="137">
        <v>0.2</v>
      </c>
      <c r="K33" s="137">
        <v>0.2</v>
      </c>
      <c r="L33" s="137">
        <v>0.2</v>
      </c>
      <c r="M33" s="137">
        <v>0.2</v>
      </c>
      <c r="N33" s="137">
        <v>0.2</v>
      </c>
      <c r="O33" s="137">
        <v>0.2</v>
      </c>
      <c r="P33" s="137">
        <v>0.2</v>
      </c>
    </row>
    <row r="34" spans="1:16">
      <c r="A34" s="122" t="s">
        <v>328</v>
      </c>
      <c r="B34" s="138" t="s">
        <v>230</v>
      </c>
      <c r="D34" s="134"/>
      <c r="E34" s="134">
        <f>ROUND(E23*E33,0)</f>
        <v>0</v>
      </c>
      <c r="F34" s="134">
        <f t="shared" ref="F34:P34" si="5">ROUND((E23+F23)/2*F33,0)</f>
        <v>0</v>
      </c>
      <c r="G34" s="134">
        <f t="shared" si="5"/>
        <v>1802</v>
      </c>
      <c r="H34" s="134">
        <f t="shared" si="5"/>
        <v>3684</v>
      </c>
      <c r="I34" s="134">
        <f t="shared" si="5"/>
        <v>7668</v>
      </c>
      <c r="J34" s="134">
        <f t="shared" si="5"/>
        <v>7968</v>
      </c>
      <c r="K34" s="134">
        <f t="shared" si="5"/>
        <v>8276</v>
      </c>
      <c r="L34" s="134">
        <f t="shared" si="5"/>
        <v>8562</v>
      </c>
      <c r="M34" s="134">
        <f t="shared" si="5"/>
        <v>8934</v>
      </c>
      <c r="N34" s="134">
        <f t="shared" si="5"/>
        <v>9412</v>
      </c>
      <c r="O34" s="134">
        <f t="shared" si="5"/>
        <v>9951</v>
      </c>
      <c r="P34" s="134">
        <f t="shared" si="5"/>
        <v>10550</v>
      </c>
    </row>
    <row r="35" spans="1:16">
      <c r="A35" s="122" t="s">
        <v>334</v>
      </c>
      <c r="B35" s="138" t="s">
        <v>230</v>
      </c>
      <c r="D35" s="134"/>
      <c r="E35" s="210">
        <v>1.2</v>
      </c>
      <c r="F35" s="210">
        <v>1.5</v>
      </c>
      <c r="G35" s="210">
        <v>1.5</v>
      </c>
      <c r="H35" s="210">
        <v>1.5</v>
      </c>
      <c r="I35" s="210">
        <v>1.5</v>
      </c>
      <c r="J35" s="210">
        <v>1.5</v>
      </c>
      <c r="K35" s="210">
        <v>1.5</v>
      </c>
      <c r="L35" s="210">
        <v>1.5</v>
      </c>
      <c r="M35" s="210">
        <v>1.5</v>
      </c>
      <c r="N35" s="210">
        <v>1.5</v>
      </c>
      <c r="O35" s="210">
        <v>1.5</v>
      </c>
      <c r="P35" s="210">
        <v>1.5</v>
      </c>
    </row>
    <row r="36" spans="1:16">
      <c r="A36" s="122" t="s">
        <v>337</v>
      </c>
      <c r="B36" s="138" t="s">
        <v>230</v>
      </c>
      <c r="D36" s="134"/>
      <c r="E36" s="134">
        <f>E34*E35</f>
        <v>0</v>
      </c>
      <c r="F36" s="134">
        <f t="shared" ref="F36:P36" si="6">F34*F35</f>
        <v>0</v>
      </c>
      <c r="G36" s="134">
        <f t="shared" si="6"/>
        <v>2703</v>
      </c>
      <c r="H36" s="134">
        <f t="shared" si="6"/>
        <v>5526</v>
      </c>
      <c r="I36" s="134">
        <f t="shared" si="6"/>
        <v>11502</v>
      </c>
      <c r="J36" s="134">
        <f t="shared" si="6"/>
        <v>11952</v>
      </c>
      <c r="K36" s="134">
        <f t="shared" si="6"/>
        <v>12414</v>
      </c>
      <c r="L36" s="134">
        <f t="shared" si="6"/>
        <v>12843</v>
      </c>
      <c r="M36" s="134">
        <f t="shared" si="6"/>
        <v>13401</v>
      </c>
      <c r="N36" s="134">
        <f t="shared" si="6"/>
        <v>14118</v>
      </c>
      <c r="O36" s="134">
        <f t="shared" si="6"/>
        <v>14926.5</v>
      </c>
      <c r="P36" s="134">
        <f t="shared" si="6"/>
        <v>15825</v>
      </c>
    </row>
    <row r="37" spans="1:16">
      <c r="A37" s="122" t="s">
        <v>333</v>
      </c>
      <c r="B37" s="155" t="s">
        <v>231</v>
      </c>
      <c r="D37" s="125"/>
      <c r="E37" s="137">
        <v>0.5</v>
      </c>
      <c r="F37" s="137">
        <v>0.5</v>
      </c>
      <c r="G37" s="137">
        <v>0.5</v>
      </c>
      <c r="H37" s="137">
        <v>0.5</v>
      </c>
      <c r="I37" s="137">
        <v>0.5</v>
      </c>
      <c r="J37" s="137">
        <v>0.5</v>
      </c>
      <c r="K37" s="137">
        <v>0.5</v>
      </c>
      <c r="L37" s="137">
        <v>0.5</v>
      </c>
      <c r="M37" s="137">
        <v>0.5</v>
      </c>
      <c r="N37" s="137">
        <v>0.5</v>
      </c>
      <c r="O37" s="137">
        <v>0.5</v>
      </c>
      <c r="P37" s="137">
        <v>0.5</v>
      </c>
    </row>
    <row r="38" spans="1:16">
      <c r="A38" s="122" t="s">
        <v>329</v>
      </c>
      <c r="B38" s="138" t="s">
        <v>230</v>
      </c>
      <c r="D38" s="134"/>
      <c r="E38" s="134">
        <f>ROUND(E34*E37,0)</f>
        <v>0</v>
      </c>
      <c r="F38" s="134">
        <f t="shared" ref="F38:P38" si="7">ROUND(F34*F37,0)</f>
        <v>0</v>
      </c>
      <c r="G38" s="134">
        <f t="shared" si="7"/>
        <v>901</v>
      </c>
      <c r="H38" s="134">
        <f t="shared" si="7"/>
        <v>1842</v>
      </c>
      <c r="I38" s="134">
        <f t="shared" si="7"/>
        <v>3834</v>
      </c>
      <c r="J38" s="134">
        <f t="shared" si="7"/>
        <v>3984</v>
      </c>
      <c r="K38" s="134">
        <f t="shared" si="7"/>
        <v>4138</v>
      </c>
      <c r="L38" s="134">
        <f t="shared" si="7"/>
        <v>4281</v>
      </c>
      <c r="M38" s="134">
        <f t="shared" si="7"/>
        <v>4467</v>
      </c>
      <c r="N38" s="134">
        <f t="shared" si="7"/>
        <v>4706</v>
      </c>
      <c r="O38" s="134">
        <f t="shared" si="7"/>
        <v>4976</v>
      </c>
      <c r="P38" s="134">
        <f t="shared" si="7"/>
        <v>5275</v>
      </c>
    </row>
    <row r="40" spans="1:16" s="166" customFormat="1" ht="12.6">
      <c r="A40" s="169" t="s">
        <v>263</v>
      </c>
      <c r="B40" s="163"/>
      <c r="C40" s="170"/>
      <c r="D40" s="174"/>
      <c r="E40" s="184"/>
      <c r="F40" s="184"/>
      <c r="G40" s="184"/>
      <c r="H40" s="184"/>
      <c r="I40" s="184"/>
      <c r="J40" s="184"/>
      <c r="K40" s="184"/>
      <c r="L40" s="184"/>
      <c r="M40" s="184"/>
      <c r="N40" s="184"/>
      <c r="O40" s="184"/>
      <c r="P40" s="184"/>
    </row>
    <row r="41" spans="1:16" s="162" customFormat="1" ht="14.4">
      <c r="A41" s="122" t="s">
        <v>247</v>
      </c>
      <c r="B41" s="121" t="s">
        <v>248</v>
      </c>
      <c r="C41" s="138"/>
      <c r="D41" s="138"/>
      <c r="E41" s="161" t="e">
        <f t="shared" ref="E41:P41" si="8">E44/((D27+E27)/2)</f>
        <v>#DIV/0!</v>
      </c>
      <c r="F41" s="161" t="e">
        <f t="shared" si="8"/>
        <v>#DIV/0!</v>
      </c>
      <c r="G41" s="161">
        <f t="shared" si="8"/>
        <v>140</v>
      </c>
      <c r="H41" s="161">
        <f t="shared" si="8"/>
        <v>71.498020585906573</v>
      </c>
      <c r="I41" s="161">
        <f t="shared" si="8"/>
        <v>71.307636300409698</v>
      </c>
      <c r="J41" s="161">
        <f t="shared" si="8"/>
        <v>71.374845740341769</v>
      </c>
      <c r="K41" s="161">
        <f t="shared" si="8"/>
        <v>71.27793049975331</v>
      </c>
      <c r="L41" s="161">
        <f t="shared" si="8"/>
        <v>71.107758788492234</v>
      </c>
      <c r="M41" s="161">
        <f t="shared" si="8"/>
        <v>71.850421610327601</v>
      </c>
      <c r="N41" s="161">
        <f t="shared" si="8"/>
        <v>71.800401958440688</v>
      </c>
      <c r="O41" s="161">
        <f t="shared" si="8"/>
        <v>72.088029879243649</v>
      </c>
      <c r="P41" s="161">
        <f t="shared" si="8"/>
        <v>72.004328559806012</v>
      </c>
    </row>
    <row r="42" spans="1:16" s="162" customFormat="1" ht="14.4">
      <c r="A42" s="135" t="s">
        <v>130</v>
      </c>
      <c r="B42" s="121" t="s">
        <v>248</v>
      </c>
      <c r="C42" s="138"/>
      <c r="D42" s="138"/>
      <c r="E42" s="139">
        <v>60</v>
      </c>
      <c r="F42" s="139">
        <v>60</v>
      </c>
      <c r="G42" s="139">
        <v>60</v>
      </c>
      <c r="H42" s="139">
        <v>60</v>
      </c>
      <c r="I42" s="139">
        <v>60</v>
      </c>
      <c r="J42" s="139">
        <v>60</v>
      </c>
      <c r="K42" s="139">
        <v>60</v>
      </c>
      <c r="L42" s="139">
        <v>60</v>
      </c>
      <c r="M42" s="139">
        <v>60</v>
      </c>
      <c r="N42" s="139">
        <v>60</v>
      </c>
      <c r="O42" s="139">
        <v>60</v>
      </c>
      <c r="P42" s="139">
        <v>60</v>
      </c>
    </row>
    <row r="43" spans="1:16" s="162" customFormat="1" ht="14.4">
      <c r="A43" s="135" t="s">
        <v>268</v>
      </c>
      <c r="B43" s="121" t="s">
        <v>248</v>
      </c>
      <c r="C43" s="138"/>
      <c r="D43" s="138"/>
      <c r="E43" s="139">
        <v>10</v>
      </c>
      <c r="F43" s="139">
        <v>10</v>
      </c>
      <c r="G43" s="139">
        <v>10</v>
      </c>
      <c r="H43" s="139">
        <v>10</v>
      </c>
      <c r="I43" s="139">
        <v>10</v>
      </c>
      <c r="J43" s="139">
        <v>10</v>
      </c>
      <c r="K43" s="139">
        <v>10</v>
      </c>
      <c r="L43" s="139">
        <v>10</v>
      </c>
      <c r="M43" s="139">
        <v>10</v>
      </c>
      <c r="N43" s="139">
        <v>10</v>
      </c>
      <c r="O43" s="139">
        <v>10</v>
      </c>
      <c r="P43" s="139">
        <v>10</v>
      </c>
    </row>
    <row r="44" spans="1:16" s="162" customFormat="1" ht="14.4">
      <c r="A44" s="122" t="s">
        <v>246</v>
      </c>
      <c r="B44" s="121" t="s">
        <v>248</v>
      </c>
      <c r="C44" s="138"/>
      <c r="D44" s="138"/>
      <c r="E44" s="161">
        <f>E45+E46</f>
        <v>0</v>
      </c>
      <c r="F44" s="161">
        <f t="shared" ref="F44:P44" si="9">F45+F46</f>
        <v>0</v>
      </c>
      <c r="G44" s="161">
        <f t="shared" si="9"/>
        <v>2119691</v>
      </c>
      <c r="H44" s="161">
        <f t="shared" si="9"/>
        <v>2212399</v>
      </c>
      <c r="I44" s="161">
        <f t="shared" si="9"/>
        <v>2296630</v>
      </c>
      <c r="J44" s="161">
        <f t="shared" si="9"/>
        <v>2388652</v>
      </c>
      <c r="K44" s="161">
        <f t="shared" si="9"/>
        <v>2477489</v>
      </c>
      <c r="L44" s="161">
        <f t="shared" si="9"/>
        <v>2557162.9999999995</v>
      </c>
      <c r="M44" s="161">
        <f t="shared" si="9"/>
        <v>2696029</v>
      </c>
      <c r="N44" s="161">
        <f t="shared" si="9"/>
        <v>2838374</v>
      </c>
      <c r="O44" s="161">
        <f t="shared" si="9"/>
        <v>3012912</v>
      </c>
      <c r="P44" s="161">
        <f t="shared" si="9"/>
        <v>3190537</v>
      </c>
    </row>
    <row r="45" spans="1:16" s="162" customFormat="1" ht="14.4">
      <c r="A45" s="135" t="s">
        <v>130</v>
      </c>
      <c r="B45" s="121" t="s">
        <v>248</v>
      </c>
      <c r="C45" s="138"/>
      <c r="D45" s="138"/>
      <c r="E45" s="161">
        <f t="shared" ref="E45:P45" si="10">E42*E$27</f>
        <v>0</v>
      </c>
      <c r="F45" s="161">
        <f t="shared" si="10"/>
        <v>0</v>
      </c>
      <c r="G45" s="161">
        <f t="shared" si="10"/>
        <v>1816878</v>
      </c>
      <c r="H45" s="161">
        <f t="shared" si="10"/>
        <v>1896341.9999999998</v>
      </c>
      <c r="I45" s="161">
        <f t="shared" si="10"/>
        <v>1968540</v>
      </c>
      <c r="J45" s="161">
        <f t="shared" si="10"/>
        <v>2047416</v>
      </c>
      <c r="K45" s="161">
        <f t="shared" si="10"/>
        <v>2123562</v>
      </c>
      <c r="L45" s="161">
        <f t="shared" si="10"/>
        <v>2191853.9999999995</v>
      </c>
      <c r="M45" s="161">
        <f t="shared" si="10"/>
        <v>2310882</v>
      </c>
      <c r="N45" s="161">
        <f t="shared" si="10"/>
        <v>2432892</v>
      </c>
      <c r="O45" s="161">
        <f t="shared" si="10"/>
        <v>2582496</v>
      </c>
      <c r="P45" s="161">
        <f t="shared" si="10"/>
        <v>2734746</v>
      </c>
    </row>
    <row r="46" spans="1:16" s="162" customFormat="1" ht="14.4">
      <c r="A46" s="135" t="s">
        <v>268</v>
      </c>
      <c r="B46" s="121" t="s">
        <v>248</v>
      </c>
      <c r="C46" s="138"/>
      <c r="D46" s="138"/>
      <c r="E46" s="161">
        <f t="shared" ref="E46:P46" si="11">E43*E$27</f>
        <v>0</v>
      </c>
      <c r="F46" s="161">
        <f t="shared" si="11"/>
        <v>0</v>
      </c>
      <c r="G46" s="161">
        <f t="shared" si="11"/>
        <v>302813</v>
      </c>
      <c r="H46" s="161">
        <f t="shared" si="11"/>
        <v>316057</v>
      </c>
      <c r="I46" s="161">
        <f t="shared" si="11"/>
        <v>328090</v>
      </c>
      <c r="J46" s="161">
        <f t="shared" si="11"/>
        <v>341236</v>
      </c>
      <c r="K46" s="161">
        <f t="shared" si="11"/>
        <v>353927</v>
      </c>
      <c r="L46" s="161">
        <f t="shared" si="11"/>
        <v>365308.99999999994</v>
      </c>
      <c r="M46" s="161">
        <f t="shared" si="11"/>
        <v>385147</v>
      </c>
      <c r="N46" s="161">
        <f t="shared" si="11"/>
        <v>405482</v>
      </c>
      <c r="O46" s="161">
        <f t="shared" si="11"/>
        <v>430416</v>
      </c>
      <c r="P46" s="161">
        <f t="shared" si="11"/>
        <v>455791</v>
      </c>
    </row>
    <row r="47" spans="1:16" s="162" customFormat="1" ht="14.4">
      <c r="A47" s="122" t="s">
        <v>272</v>
      </c>
      <c r="B47" s="121"/>
      <c r="C47" s="138"/>
      <c r="D47" s="138"/>
      <c r="E47" s="161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</row>
    <row r="48" spans="1:16" s="162" customFormat="1" ht="14.4">
      <c r="A48" s="135" t="s">
        <v>130</v>
      </c>
      <c r="B48" s="121" t="s">
        <v>231</v>
      </c>
      <c r="C48" s="138"/>
      <c r="D48" s="138"/>
      <c r="E48" s="137">
        <v>0</v>
      </c>
      <c r="F48" s="137">
        <v>0</v>
      </c>
      <c r="G48" s="137">
        <v>0</v>
      </c>
      <c r="H48" s="137">
        <v>0</v>
      </c>
      <c r="I48" s="137">
        <v>0</v>
      </c>
      <c r="J48" s="137">
        <v>0</v>
      </c>
      <c r="K48" s="137">
        <v>0</v>
      </c>
      <c r="L48" s="137">
        <v>0</v>
      </c>
      <c r="M48" s="137">
        <v>0</v>
      </c>
      <c r="N48" s="137">
        <v>0</v>
      </c>
      <c r="O48" s="137">
        <v>0</v>
      </c>
      <c r="P48" s="137">
        <v>0</v>
      </c>
    </row>
    <row r="49" spans="1:16" s="162" customFormat="1" ht="14.4">
      <c r="A49" s="135" t="s">
        <v>268</v>
      </c>
      <c r="B49" s="121" t="s">
        <v>231</v>
      </c>
      <c r="C49" s="138"/>
      <c r="D49" s="138"/>
      <c r="E49" s="137">
        <v>0</v>
      </c>
      <c r="F49" s="137">
        <v>0</v>
      </c>
      <c r="G49" s="137">
        <v>0</v>
      </c>
      <c r="H49" s="137">
        <v>0</v>
      </c>
      <c r="I49" s="137">
        <v>0</v>
      </c>
      <c r="J49" s="137">
        <v>0</v>
      </c>
      <c r="K49" s="137">
        <v>0</v>
      </c>
      <c r="L49" s="137">
        <v>0</v>
      </c>
      <c r="M49" s="137">
        <v>0</v>
      </c>
      <c r="N49" s="137">
        <v>0</v>
      </c>
      <c r="O49" s="137">
        <v>0</v>
      </c>
      <c r="P49" s="137">
        <v>0</v>
      </c>
    </row>
    <row r="50" spans="1:16" s="162" customFormat="1" ht="14.4">
      <c r="A50" s="122" t="s">
        <v>321</v>
      </c>
      <c r="B50" s="121"/>
      <c r="C50" s="138"/>
      <c r="D50" s="138"/>
      <c r="E50" s="161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</row>
    <row r="51" spans="1:16" s="162" customFormat="1" ht="14.4">
      <c r="A51" s="135" t="s">
        <v>130</v>
      </c>
      <c r="B51" s="121" t="s">
        <v>231</v>
      </c>
      <c r="C51" s="138" t="s">
        <v>322</v>
      </c>
      <c r="D51" s="138"/>
      <c r="E51" s="137">
        <v>0.1</v>
      </c>
      <c r="F51" s="137">
        <v>0.1</v>
      </c>
      <c r="G51" s="137">
        <v>0.1</v>
      </c>
      <c r="H51" s="137">
        <v>0.1</v>
      </c>
      <c r="I51" s="137">
        <v>0.1</v>
      </c>
      <c r="J51" s="137">
        <v>0.1</v>
      </c>
      <c r="K51" s="137">
        <v>0.1</v>
      </c>
      <c r="L51" s="137">
        <v>0.1</v>
      </c>
      <c r="M51" s="137">
        <v>0.1</v>
      </c>
      <c r="N51" s="137">
        <v>0.1</v>
      </c>
      <c r="O51" s="137">
        <v>0.1</v>
      </c>
      <c r="P51" s="137">
        <v>0.1</v>
      </c>
    </row>
    <row r="52" spans="1:16" s="162" customFormat="1" ht="14.4">
      <c r="A52" s="135" t="s">
        <v>268</v>
      </c>
      <c r="B52" s="121" t="s">
        <v>231</v>
      </c>
      <c r="C52" s="138" t="s">
        <v>322</v>
      </c>
      <c r="D52" s="138"/>
      <c r="E52" s="137">
        <v>0.02</v>
      </c>
      <c r="F52" s="137">
        <v>0.02</v>
      </c>
      <c r="G52" s="137">
        <v>0.02</v>
      </c>
      <c r="H52" s="137">
        <v>0.02</v>
      </c>
      <c r="I52" s="137">
        <v>0.02</v>
      </c>
      <c r="J52" s="137">
        <v>0.02</v>
      </c>
      <c r="K52" s="137">
        <v>0.02</v>
      </c>
      <c r="L52" s="137">
        <v>0.02</v>
      </c>
      <c r="M52" s="137">
        <v>0.02</v>
      </c>
      <c r="N52" s="137">
        <v>0.02</v>
      </c>
      <c r="O52" s="137">
        <v>0.02</v>
      </c>
      <c r="P52" s="137">
        <v>0.02</v>
      </c>
    </row>
    <row r="53" spans="1:16" s="174" customFormat="1" ht="12.6">
      <c r="A53" s="122" t="s">
        <v>269</v>
      </c>
      <c r="B53" s="121" t="s">
        <v>231</v>
      </c>
    </row>
    <row r="54" spans="1:16" s="162" customFormat="1" ht="14.4">
      <c r="A54" s="135" t="s">
        <v>130</v>
      </c>
      <c r="B54" s="121" t="s">
        <v>231</v>
      </c>
      <c r="C54" s="138" t="s">
        <v>322</v>
      </c>
      <c r="D54" s="138"/>
      <c r="E54" s="137">
        <v>2E-3</v>
      </c>
      <c r="F54" s="137">
        <v>2E-3</v>
      </c>
      <c r="G54" s="137">
        <v>2E-3</v>
      </c>
      <c r="H54" s="137">
        <v>2E-3</v>
      </c>
      <c r="I54" s="137">
        <v>2E-3</v>
      </c>
      <c r="J54" s="137">
        <v>2E-3</v>
      </c>
      <c r="K54" s="137">
        <v>2E-3</v>
      </c>
      <c r="L54" s="137">
        <v>2E-3</v>
      </c>
      <c r="M54" s="137">
        <v>2E-3</v>
      </c>
      <c r="N54" s="137">
        <v>2E-3</v>
      </c>
      <c r="O54" s="137">
        <v>2E-3</v>
      </c>
      <c r="P54" s="137">
        <v>2E-3</v>
      </c>
    </row>
    <row r="55" spans="1:16" s="162" customFormat="1" ht="14.4">
      <c r="A55" s="135" t="s">
        <v>268</v>
      </c>
      <c r="B55" s="121" t="s">
        <v>231</v>
      </c>
      <c r="C55" s="138" t="s">
        <v>322</v>
      </c>
      <c r="D55" s="138"/>
      <c r="E55" s="137">
        <v>2E-3</v>
      </c>
      <c r="F55" s="137">
        <v>2E-3</v>
      </c>
      <c r="G55" s="137">
        <v>2E-3</v>
      </c>
      <c r="H55" s="137">
        <v>2E-3</v>
      </c>
      <c r="I55" s="137">
        <v>2E-3</v>
      </c>
      <c r="J55" s="137">
        <v>2E-3</v>
      </c>
      <c r="K55" s="137">
        <v>2E-3</v>
      </c>
      <c r="L55" s="137">
        <v>2E-3</v>
      </c>
      <c r="M55" s="137">
        <v>2E-3</v>
      </c>
      <c r="N55" s="137">
        <v>2E-3</v>
      </c>
      <c r="O55" s="137">
        <v>2E-3</v>
      </c>
      <c r="P55" s="137">
        <v>2E-3</v>
      </c>
    </row>
    <row r="56" spans="1:16" s="121" customFormat="1" ht="12.6">
      <c r="A56" s="122"/>
    </row>
    <row r="57" spans="1:16" s="174" customFormat="1" ht="12.6">
      <c r="A57" s="122" t="s">
        <v>344</v>
      </c>
      <c r="B57" s="121" t="s">
        <v>248</v>
      </c>
      <c r="E57" s="139">
        <v>150</v>
      </c>
      <c r="F57" s="139">
        <v>150</v>
      </c>
      <c r="G57" s="139">
        <v>150</v>
      </c>
      <c r="H57" s="139">
        <v>150</v>
      </c>
      <c r="I57" s="139">
        <v>150</v>
      </c>
      <c r="J57" s="139">
        <v>150</v>
      </c>
      <c r="K57" s="139">
        <v>150</v>
      </c>
      <c r="L57" s="139">
        <v>150</v>
      </c>
      <c r="M57" s="139">
        <v>150</v>
      </c>
      <c r="N57" s="139">
        <v>150</v>
      </c>
      <c r="O57" s="139">
        <v>150</v>
      </c>
      <c r="P57" s="139">
        <v>150</v>
      </c>
    </row>
    <row r="58" spans="1:16" s="174" customFormat="1" ht="12.6">
      <c r="A58" s="122" t="s">
        <v>260</v>
      </c>
      <c r="B58" s="121" t="s">
        <v>248</v>
      </c>
      <c r="E58" s="161">
        <f>(D27+E27)/2*E57*3</f>
        <v>0</v>
      </c>
      <c r="F58" s="161">
        <f>(E27+F27)/2*F57*3</f>
        <v>0</v>
      </c>
      <c r="G58" s="161">
        <f>(F27+G27)/2*G57*3</f>
        <v>6813292.5</v>
      </c>
      <c r="H58" s="161">
        <f>(G27+H27)/2*H57*3</f>
        <v>13924575</v>
      </c>
      <c r="I58" s="161">
        <f t="shared" ref="I58:P58" si="12">(H27+I27)/2*I57*6</f>
        <v>28986615</v>
      </c>
      <c r="J58" s="161">
        <f t="shared" si="12"/>
        <v>30119670</v>
      </c>
      <c r="K58" s="161">
        <f t="shared" si="12"/>
        <v>31282334.999999993</v>
      </c>
      <c r="L58" s="161">
        <f t="shared" si="12"/>
        <v>32365619.999999993</v>
      </c>
      <c r="M58" s="161">
        <f t="shared" si="12"/>
        <v>33770519.999999993</v>
      </c>
      <c r="N58" s="161">
        <f t="shared" si="12"/>
        <v>35578305</v>
      </c>
      <c r="O58" s="161">
        <f t="shared" si="12"/>
        <v>37615409.999999993</v>
      </c>
      <c r="P58" s="161">
        <f t="shared" si="12"/>
        <v>39879315</v>
      </c>
    </row>
    <row r="59" spans="1:16" s="215" customFormat="1" ht="12">
      <c r="D59" s="216"/>
      <c r="E59" s="216"/>
      <c r="F59" s="216"/>
      <c r="G59" s="216"/>
      <c r="H59" s="216"/>
      <c r="I59" s="216"/>
      <c r="J59" s="216"/>
      <c r="K59" s="216"/>
      <c r="L59" s="216"/>
    </row>
    <row r="60" spans="1:16" s="166" customFormat="1" ht="12.6">
      <c r="A60" s="169" t="s">
        <v>261</v>
      </c>
      <c r="B60" s="163"/>
      <c r="C60" s="170"/>
      <c r="D60" s="174"/>
      <c r="E60" s="184">
        <f>E61+E64+E67+E71+E72</f>
        <v>0.99999999999999989</v>
      </c>
      <c r="F60" s="184">
        <f t="shared" ref="F60:P60" si="13">F61+F64+F67+F71+F72</f>
        <v>0.99999999999999989</v>
      </c>
      <c r="G60" s="184">
        <f t="shared" si="13"/>
        <v>0.99999999999999989</v>
      </c>
      <c r="H60" s="184">
        <f t="shared" si="13"/>
        <v>0.99999999999999989</v>
      </c>
      <c r="I60" s="184">
        <f t="shared" si="13"/>
        <v>0.99999999999999989</v>
      </c>
      <c r="J60" s="184">
        <f t="shared" si="13"/>
        <v>0.99999999999999989</v>
      </c>
      <c r="K60" s="184">
        <f t="shared" si="13"/>
        <v>0.99999999999999989</v>
      </c>
      <c r="L60" s="184">
        <f t="shared" si="13"/>
        <v>0.99999999999999989</v>
      </c>
      <c r="M60" s="184">
        <f t="shared" si="13"/>
        <v>0.99999999999999989</v>
      </c>
      <c r="N60" s="184">
        <f t="shared" si="13"/>
        <v>0.99999999999999989</v>
      </c>
      <c r="O60" s="184">
        <f t="shared" si="13"/>
        <v>0.99999999999999989</v>
      </c>
      <c r="P60" s="184">
        <f t="shared" si="13"/>
        <v>0.99999999999999989</v>
      </c>
    </row>
    <row r="61" spans="1:16" s="119" customFormat="1" ht="12.6">
      <c r="A61" s="164" t="s">
        <v>250</v>
      </c>
      <c r="B61" s="121" t="s">
        <v>231</v>
      </c>
      <c r="C61" s="174" t="s">
        <v>323</v>
      </c>
      <c r="E61" s="142">
        <f>SUM(E62:E63)</f>
        <v>0.30000000000000004</v>
      </c>
      <c r="F61" s="142">
        <f t="shared" ref="F61:P61" si="14">SUM(F62:F63)</f>
        <v>0.30000000000000004</v>
      </c>
      <c r="G61" s="142">
        <f t="shared" si="14"/>
        <v>0.30000000000000004</v>
      </c>
      <c r="H61" s="142">
        <f t="shared" si="14"/>
        <v>0.30000000000000004</v>
      </c>
      <c r="I61" s="142">
        <f t="shared" si="14"/>
        <v>0.30000000000000004</v>
      </c>
      <c r="J61" s="142">
        <f t="shared" si="14"/>
        <v>0.30000000000000004</v>
      </c>
      <c r="K61" s="142">
        <f t="shared" si="14"/>
        <v>0.30000000000000004</v>
      </c>
      <c r="L61" s="142">
        <f t="shared" si="14"/>
        <v>0.30000000000000004</v>
      </c>
      <c r="M61" s="142">
        <f t="shared" si="14"/>
        <v>0.30000000000000004</v>
      </c>
      <c r="N61" s="142">
        <f t="shared" si="14"/>
        <v>0.30000000000000004</v>
      </c>
      <c r="O61" s="142">
        <f t="shared" si="14"/>
        <v>0.30000000000000004</v>
      </c>
      <c r="P61" s="142">
        <f t="shared" si="14"/>
        <v>0.30000000000000004</v>
      </c>
    </row>
    <row r="62" spans="1:16" s="119" customFormat="1" ht="12.6">
      <c r="A62" s="167" t="s">
        <v>251</v>
      </c>
      <c r="B62" s="121" t="s">
        <v>231</v>
      </c>
      <c r="C62" s="174" t="s">
        <v>323</v>
      </c>
      <c r="E62" s="141">
        <v>0.2</v>
      </c>
      <c r="F62" s="141">
        <v>0.2</v>
      </c>
      <c r="G62" s="141">
        <v>0.2</v>
      </c>
      <c r="H62" s="141">
        <v>0.2</v>
      </c>
      <c r="I62" s="141">
        <v>0.2</v>
      </c>
      <c r="J62" s="141">
        <v>0.2</v>
      </c>
      <c r="K62" s="141">
        <v>0.2</v>
      </c>
      <c r="L62" s="141">
        <v>0.2</v>
      </c>
      <c r="M62" s="141">
        <v>0.2</v>
      </c>
      <c r="N62" s="141">
        <v>0.2</v>
      </c>
      <c r="O62" s="141">
        <v>0.2</v>
      </c>
      <c r="P62" s="141">
        <v>0.2</v>
      </c>
    </row>
    <row r="63" spans="1:16" s="119" customFormat="1" ht="12.6">
      <c r="A63" s="167" t="s">
        <v>252</v>
      </c>
      <c r="B63" s="121" t="s">
        <v>231</v>
      </c>
      <c r="C63" s="174" t="s">
        <v>323</v>
      </c>
      <c r="E63" s="141">
        <v>0.1</v>
      </c>
      <c r="F63" s="141">
        <v>0.1</v>
      </c>
      <c r="G63" s="141">
        <v>0.1</v>
      </c>
      <c r="H63" s="141">
        <v>0.1</v>
      </c>
      <c r="I63" s="141">
        <v>0.1</v>
      </c>
      <c r="J63" s="141">
        <v>0.1</v>
      </c>
      <c r="K63" s="141">
        <v>0.1</v>
      </c>
      <c r="L63" s="141">
        <v>0.1</v>
      </c>
      <c r="M63" s="141">
        <v>0.1</v>
      </c>
      <c r="N63" s="141">
        <v>0.1</v>
      </c>
      <c r="O63" s="141">
        <v>0.1</v>
      </c>
      <c r="P63" s="141">
        <v>0.1</v>
      </c>
    </row>
    <row r="64" spans="1:16" s="119" customFormat="1" ht="12.6">
      <c r="A64" s="164" t="s">
        <v>253</v>
      </c>
      <c r="B64" s="121" t="s">
        <v>231</v>
      </c>
      <c r="C64" s="174" t="s">
        <v>323</v>
      </c>
      <c r="E64" s="142">
        <f>SUM(E65:E66)</f>
        <v>0.45</v>
      </c>
      <c r="F64" s="142">
        <f t="shared" ref="F64:P64" si="15">SUM(F65:F66)</f>
        <v>0.45</v>
      </c>
      <c r="G64" s="142">
        <f t="shared" si="15"/>
        <v>0.45</v>
      </c>
      <c r="H64" s="142">
        <f t="shared" si="15"/>
        <v>0.45</v>
      </c>
      <c r="I64" s="142">
        <f t="shared" si="15"/>
        <v>0.45</v>
      </c>
      <c r="J64" s="142">
        <f t="shared" si="15"/>
        <v>0.45</v>
      </c>
      <c r="K64" s="142">
        <f t="shared" si="15"/>
        <v>0.45</v>
      </c>
      <c r="L64" s="142">
        <f t="shared" si="15"/>
        <v>0.45</v>
      </c>
      <c r="M64" s="142">
        <f t="shared" si="15"/>
        <v>0.45</v>
      </c>
      <c r="N64" s="142">
        <f t="shared" si="15"/>
        <v>0.45</v>
      </c>
      <c r="O64" s="142">
        <f t="shared" si="15"/>
        <v>0.45</v>
      </c>
      <c r="P64" s="142">
        <f t="shared" si="15"/>
        <v>0.45</v>
      </c>
    </row>
    <row r="65" spans="1:16" s="119" customFormat="1" ht="12.6">
      <c r="A65" s="167" t="s">
        <v>251</v>
      </c>
      <c r="B65" s="121" t="s">
        <v>231</v>
      </c>
      <c r="C65" s="174" t="s">
        <v>323</v>
      </c>
      <c r="E65" s="141">
        <v>0.2</v>
      </c>
      <c r="F65" s="141">
        <v>0.2</v>
      </c>
      <c r="G65" s="141">
        <v>0.2</v>
      </c>
      <c r="H65" s="141">
        <v>0.2</v>
      </c>
      <c r="I65" s="141">
        <v>0.2</v>
      </c>
      <c r="J65" s="141">
        <v>0.2</v>
      </c>
      <c r="K65" s="141">
        <v>0.2</v>
      </c>
      <c r="L65" s="141">
        <v>0.2</v>
      </c>
      <c r="M65" s="141">
        <v>0.2</v>
      </c>
      <c r="N65" s="141">
        <v>0.2</v>
      </c>
      <c r="O65" s="141">
        <v>0.2</v>
      </c>
      <c r="P65" s="141">
        <v>0.2</v>
      </c>
    </row>
    <row r="66" spans="1:16" s="119" customFormat="1" ht="12.6">
      <c r="A66" s="167" t="s">
        <v>252</v>
      </c>
      <c r="B66" s="121" t="s">
        <v>231</v>
      </c>
      <c r="C66" s="174" t="s">
        <v>323</v>
      </c>
      <c r="E66" s="141">
        <v>0.25</v>
      </c>
      <c r="F66" s="141">
        <v>0.25</v>
      </c>
      <c r="G66" s="141">
        <v>0.25</v>
      </c>
      <c r="H66" s="141">
        <v>0.25</v>
      </c>
      <c r="I66" s="141">
        <v>0.25</v>
      </c>
      <c r="J66" s="141">
        <v>0.25</v>
      </c>
      <c r="K66" s="141">
        <v>0.25</v>
      </c>
      <c r="L66" s="141">
        <v>0.25</v>
      </c>
      <c r="M66" s="141">
        <v>0.25</v>
      </c>
      <c r="N66" s="141">
        <v>0.25</v>
      </c>
      <c r="O66" s="141">
        <v>0.25</v>
      </c>
      <c r="P66" s="141">
        <v>0.25</v>
      </c>
    </row>
    <row r="67" spans="1:16" s="119" customFormat="1" ht="12.6">
      <c r="A67" s="164" t="s">
        <v>254</v>
      </c>
      <c r="B67" s="121" t="s">
        <v>231</v>
      </c>
      <c r="C67" s="174" t="s">
        <v>323</v>
      </c>
      <c r="E67" s="142">
        <f>SUM(E68:E70)</f>
        <v>0.11</v>
      </c>
      <c r="F67" s="142">
        <f t="shared" ref="F67:P67" si="16">SUM(F68:F70)</f>
        <v>0.11</v>
      </c>
      <c r="G67" s="142">
        <f t="shared" si="16"/>
        <v>0.11</v>
      </c>
      <c r="H67" s="142">
        <f t="shared" si="16"/>
        <v>0.11</v>
      </c>
      <c r="I67" s="142">
        <f t="shared" si="16"/>
        <v>0.11</v>
      </c>
      <c r="J67" s="142">
        <f t="shared" si="16"/>
        <v>0.11</v>
      </c>
      <c r="K67" s="142">
        <f t="shared" si="16"/>
        <v>0.11</v>
      </c>
      <c r="L67" s="142">
        <f t="shared" si="16"/>
        <v>0.11</v>
      </c>
      <c r="M67" s="142">
        <f t="shared" si="16"/>
        <v>0.11</v>
      </c>
      <c r="N67" s="142">
        <f t="shared" si="16"/>
        <v>0.11</v>
      </c>
      <c r="O67" s="142">
        <f t="shared" si="16"/>
        <v>0.11</v>
      </c>
      <c r="P67" s="142">
        <f t="shared" si="16"/>
        <v>0.11</v>
      </c>
    </row>
    <row r="68" spans="1:16" s="119" customFormat="1" ht="12.6">
      <c r="A68" s="167" t="s">
        <v>255</v>
      </c>
      <c r="B68" s="121" t="s">
        <v>231</v>
      </c>
      <c r="C68" s="174" t="s">
        <v>323</v>
      </c>
      <c r="E68" s="141">
        <v>0.05</v>
      </c>
      <c r="F68" s="141">
        <v>0.05</v>
      </c>
      <c r="G68" s="141">
        <v>0.05</v>
      </c>
      <c r="H68" s="141">
        <v>0.05</v>
      </c>
      <c r="I68" s="141">
        <v>0.05</v>
      </c>
      <c r="J68" s="141">
        <v>0.05</v>
      </c>
      <c r="K68" s="141">
        <v>0.05</v>
      </c>
      <c r="L68" s="141">
        <v>0.05</v>
      </c>
      <c r="M68" s="141">
        <v>0.05</v>
      </c>
      <c r="N68" s="141">
        <v>0.05</v>
      </c>
      <c r="O68" s="141">
        <v>0.05</v>
      </c>
      <c r="P68" s="141">
        <v>0.05</v>
      </c>
    </row>
    <row r="69" spans="1:16" s="119" customFormat="1" ht="12.6">
      <c r="A69" s="167" t="s">
        <v>256</v>
      </c>
      <c r="B69" s="121" t="s">
        <v>231</v>
      </c>
      <c r="C69" s="174" t="s">
        <v>323</v>
      </c>
      <c r="E69" s="141">
        <v>0.05</v>
      </c>
      <c r="F69" s="141">
        <v>0.05</v>
      </c>
      <c r="G69" s="141">
        <v>0.05</v>
      </c>
      <c r="H69" s="141">
        <v>0.05</v>
      </c>
      <c r="I69" s="141">
        <v>0.05</v>
      </c>
      <c r="J69" s="141">
        <v>0.05</v>
      </c>
      <c r="K69" s="141">
        <v>0.05</v>
      </c>
      <c r="L69" s="141">
        <v>0.05</v>
      </c>
      <c r="M69" s="141">
        <v>0.05</v>
      </c>
      <c r="N69" s="141">
        <v>0.05</v>
      </c>
      <c r="O69" s="141">
        <v>0.05</v>
      </c>
      <c r="P69" s="141">
        <v>0.05</v>
      </c>
    </row>
    <row r="70" spans="1:16" s="119" customFormat="1" ht="12.6">
      <c r="A70" s="167" t="s">
        <v>257</v>
      </c>
      <c r="B70" s="121" t="s">
        <v>231</v>
      </c>
      <c r="C70" s="174" t="s">
        <v>323</v>
      </c>
      <c r="E70" s="141">
        <v>0.01</v>
      </c>
      <c r="F70" s="141">
        <v>0.01</v>
      </c>
      <c r="G70" s="141">
        <v>0.01</v>
      </c>
      <c r="H70" s="141">
        <v>0.01</v>
      </c>
      <c r="I70" s="141">
        <v>0.01</v>
      </c>
      <c r="J70" s="141">
        <v>0.01</v>
      </c>
      <c r="K70" s="141">
        <v>0.01</v>
      </c>
      <c r="L70" s="141">
        <v>0.01</v>
      </c>
      <c r="M70" s="141">
        <v>0.01</v>
      </c>
      <c r="N70" s="141">
        <v>0.01</v>
      </c>
      <c r="O70" s="141">
        <v>0.01</v>
      </c>
      <c r="P70" s="141">
        <v>0.01</v>
      </c>
    </row>
    <row r="71" spans="1:16" s="119" customFormat="1" ht="12.6">
      <c r="A71" s="164" t="s">
        <v>258</v>
      </c>
      <c r="B71" s="121" t="s">
        <v>231</v>
      </c>
      <c r="C71" s="174" t="s">
        <v>323</v>
      </c>
      <c r="E71" s="141">
        <v>0.1</v>
      </c>
      <c r="F71" s="141">
        <v>0.1</v>
      </c>
      <c r="G71" s="141">
        <v>0.1</v>
      </c>
      <c r="H71" s="141">
        <v>0.1</v>
      </c>
      <c r="I71" s="141">
        <v>0.1</v>
      </c>
      <c r="J71" s="141">
        <v>0.1</v>
      </c>
      <c r="K71" s="141">
        <v>0.1</v>
      </c>
      <c r="L71" s="141">
        <v>0.1</v>
      </c>
      <c r="M71" s="141">
        <v>0.1</v>
      </c>
      <c r="N71" s="141">
        <v>0.1</v>
      </c>
      <c r="O71" s="141">
        <v>0.1</v>
      </c>
      <c r="P71" s="141">
        <v>0.1</v>
      </c>
    </row>
    <row r="72" spans="1:16" s="119" customFormat="1" ht="12.6">
      <c r="A72" s="164" t="s">
        <v>259</v>
      </c>
      <c r="B72" s="121" t="s">
        <v>231</v>
      </c>
      <c r="C72" s="174" t="s">
        <v>323</v>
      </c>
      <c r="E72" s="142">
        <f>1-E61-E64-E67-E71</f>
        <v>3.9999999999999952E-2</v>
      </c>
      <c r="F72" s="142">
        <f t="shared" ref="F72:P72" si="17">1-F61-F64-F67-F71</f>
        <v>3.9999999999999952E-2</v>
      </c>
      <c r="G72" s="142">
        <f t="shared" si="17"/>
        <v>3.9999999999999952E-2</v>
      </c>
      <c r="H72" s="142">
        <f t="shared" si="17"/>
        <v>3.9999999999999952E-2</v>
      </c>
      <c r="I72" s="142">
        <f t="shared" si="17"/>
        <v>3.9999999999999952E-2</v>
      </c>
      <c r="J72" s="142">
        <f t="shared" si="17"/>
        <v>3.9999999999999952E-2</v>
      </c>
      <c r="K72" s="142">
        <f t="shared" si="17"/>
        <v>3.9999999999999952E-2</v>
      </c>
      <c r="L72" s="142">
        <f t="shared" si="17"/>
        <v>3.9999999999999952E-2</v>
      </c>
      <c r="M72" s="142">
        <f t="shared" si="17"/>
        <v>3.9999999999999952E-2</v>
      </c>
      <c r="N72" s="142">
        <f t="shared" si="17"/>
        <v>3.9999999999999952E-2</v>
      </c>
      <c r="O72" s="142">
        <f t="shared" si="17"/>
        <v>3.9999999999999952E-2</v>
      </c>
      <c r="P72" s="142">
        <f t="shared" si="17"/>
        <v>3.9999999999999952E-2</v>
      </c>
    </row>
    <row r="73" spans="1:16" s="119" customFormat="1" ht="12.6">
      <c r="A73" s="164"/>
      <c r="B73" s="121"/>
      <c r="C73" s="174"/>
      <c r="E73" s="142"/>
      <c r="F73" s="142"/>
      <c r="G73" s="142"/>
      <c r="H73" s="142"/>
      <c r="I73" s="142"/>
      <c r="J73" s="142"/>
      <c r="K73" s="142"/>
      <c r="L73" s="142"/>
      <c r="M73" s="142"/>
      <c r="N73" s="142"/>
      <c r="O73" s="142"/>
      <c r="P73" s="142"/>
    </row>
    <row r="74" spans="1:16" s="166" customFormat="1" ht="12.6">
      <c r="A74" s="169" t="s">
        <v>249</v>
      </c>
      <c r="B74" s="163"/>
      <c r="C74" s="174"/>
      <c r="E74" s="185">
        <f>E75+E78+E81+E85+E86</f>
        <v>0</v>
      </c>
      <c r="F74" s="185">
        <f t="shared" ref="F74:P74" si="18">F75+F78+F81+F85+F86</f>
        <v>0</v>
      </c>
      <c r="G74" s="185">
        <f t="shared" si="18"/>
        <v>6813292.4999999991</v>
      </c>
      <c r="H74" s="185">
        <f t="shared" si="18"/>
        <v>13924575</v>
      </c>
      <c r="I74" s="185">
        <f t="shared" si="18"/>
        <v>28986614.999999996</v>
      </c>
      <c r="J74" s="185">
        <f t="shared" si="18"/>
        <v>30119669.999999996</v>
      </c>
      <c r="K74" s="185">
        <f t="shared" si="18"/>
        <v>31282334.999999993</v>
      </c>
      <c r="L74" s="185">
        <f t="shared" si="18"/>
        <v>32365619.999999993</v>
      </c>
      <c r="M74" s="185">
        <f t="shared" si="18"/>
        <v>33770519.999999993</v>
      </c>
      <c r="N74" s="185">
        <f t="shared" si="18"/>
        <v>35578304.999999993</v>
      </c>
      <c r="O74" s="185">
        <f t="shared" si="18"/>
        <v>37615409.999999993</v>
      </c>
      <c r="P74" s="185">
        <f t="shared" si="18"/>
        <v>39879315</v>
      </c>
    </row>
    <row r="75" spans="1:16" s="119" customFormat="1" ht="12.6">
      <c r="A75" s="164" t="s">
        <v>250</v>
      </c>
      <c r="B75" s="121" t="s">
        <v>248</v>
      </c>
      <c r="C75" s="174"/>
      <c r="E75" s="185">
        <f t="shared" ref="E75:P75" si="19">E61*E$58</f>
        <v>0</v>
      </c>
      <c r="F75" s="185">
        <f t="shared" si="19"/>
        <v>0</v>
      </c>
      <c r="G75" s="185">
        <f t="shared" si="19"/>
        <v>2043987.7500000002</v>
      </c>
      <c r="H75" s="185">
        <f t="shared" si="19"/>
        <v>4177372.5000000005</v>
      </c>
      <c r="I75" s="185">
        <f t="shared" si="19"/>
        <v>8695984.5000000019</v>
      </c>
      <c r="J75" s="185">
        <f t="shared" si="19"/>
        <v>9035901.0000000019</v>
      </c>
      <c r="K75" s="185">
        <f t="shared" si="19"/>
        <v>9384700.5</v>
      </c>
      <c r="L75" s="185">
        <f t="shared" si="19"/>
        <v>9709686</v>
      </c>
      <c r="M75" s="185">
        <f t="shared" si="19"/>
        <v>10131156</v>
      </c>
      <c r="N75" s="185">
        <f t="shared" si="19"/>
        <v>10673491.500000002</v>
      </c>
      <c r="O75" s="185">
        <f t="shared" si="19"/>
        <v>11284623</v>
      </c>
      <c r="P75" s="185">
        <f t="shared" si="19"/>
        <v>11963794.500000002</v>
      </c>
    </row>
    <row r="76" spans="1:16" s="119" customFormat="1" ht="12.6">
      <c r="A76" s="167" t="s">
        <v>251</v>
      </c>
      <c r="B76" s="121" t="s">
        <v>248</v>
      </c>
      <c r="C76" s="174"/>
      <c r="E76" s="185">
        <f t="shared" ref="E76:P76" si="20">E62*E$58</f>
        <v>0</v>
      </c>
      <c r="F76" s="185">
        <f t="shared" si="20"/>
        <v>0</v>
      </c>
      <c r="G76" s="185">
        <f t="shared" si="20"/>
        <v>1362658.5</v>
      </c>
      <c r="H76" s="185">
        <f t="shared" si="20"/>
        <v>2784915</v>
      </c>
      <c r="I76" s="185">
        <f t="shared" si="20"/>
        <v>5797323</v>
      </c>
      <c r="J76" s="185">
        <f t="shared" si="20"/>
        <v>6023934</v>
      </c>
      <c r="K76" s="185">
        <f t="shared" si="20"/>
        <v>6256466.9999999991</v>
      </c>
      <c r="L76" s="185">
        <f t="shared" si="20"/>
        <v>6473123.9999999991</v>
      </c>
      <c r="M76" s="185">
        <f t="shared" si="20"/>
        <v>6754103.9999999991</v>
      </c>
      <c r="N76" s="185">
        <f t="shared" si="20"/>
        <v>7115661</v>
      </c>
      <c r="O76" s="185">
        <f t="shared" si="20"/>
        <v>7523081.9999999991</v>
      </c>
      <c r="P76" s="185">
        <f t="shared" si="20"/>
        <v>7975863</v>
      </c>
    </row>
    <row r="77" spans="1:16" s="119" customFormat="1" ht="12.6">
      <c r="A77" s="167" t="s">
        <v>252</v>
      </c>
      <c r="B77" s="121" t="s">
        <v>248</v>
      </c>
      <c r="C77" s="174"/>
      <c r="E77" s="185">
        <f t="shared" ref="E77:P77" si="21">E63*E$58</f>
        <v>0</v>
      </c>
      <c r="F77" s="185">
        <f t="shared" si="21"/>
        <v>0</v>
      </c>
      <c r="G77" s="185">
        <f t="shared" si="21"/>
        <v>681329.25</v>
      </c>
      <c r="H77" s="185">
        <f t="shared" si="21"/>
        <v>1392457.5</v>
      </c>
      <c r="I77" s="185">
        <f t="shared" si="21"/>
        <v>2898661.5</v>
      </c>
      <c r="J77" s="185">
        <f t="shared" si="21"/>
        <v>3011967</v>
      </c>
      <c r="K77" s="185">
        <f t="shared" si="21"/>
        <v>3128233.4999999995</v>
      </c>
      <c r="L77" s="185">
        <f t="shared" si="21"/>
        <v>3236561.9999999995</v>
      </c>
      <c r="M77" s="185">
        <f t="shared" si="21"/>
        <v>3377051.9999999995</v>
      </c>
      <c r="N77" s="185">
        <f t="shared" si="21"/>
        <v>3557830.5</v>
      </c>
      <c r="O77" s="185">
        <f t="shared" si="21"/>
        <v>3761540.9999999995</v>
      </c>
      <c r="P77" s="185">
        <f t="shared" si="21"/>
        <v>3987931.5</v>
      </c>
    </row>
    <row r="78" spans="1:16" s="119" customFormat="1" ht="12.6">
      <c r="A78" s="164" t="s">
        <v>253</v>
      </c>
      <c r="B78" s="121" t="s">
        <v>248</v>
      </c>
      <c r="C78" s="174"/>
      <c r="E78" s="185">
        <f t="shared" ref="E78:P78" si="22">E64*E$58</f>
        <v>0</v>
      </c>
      <c r="F78" s="185">
        <f t="shared" si="22"/>
        <v>0</v>
      </c>
      <c r="G78" s="185">
        <f t="shared" si="22"/>
        <v>3065981.625</v>
      </c>
      <c r="H78" s="185">
        <f t="shared" si="22"/>
        <v>6266058.75</v>
      </c>
      <c r="I78" s="185">
        <f t="shared" si="22"/>
        <v>13043976.75</v>
      </c>
      <c r="J78" s="185">
        <f t="shared" si="22"/>
        <v>13553851.5</v>
      </c>
      <c r="K78" s="185">
        <f t="shared" si="22"/>
        <v>14077050.749999996</v>
      </c>
      <c r="L78" s="185">
        <f t="shared" si="22"/>
        <v>14564528.999999996</v>
      </c>
      <c r="M78" s="185">
        <f t="shared" si="22"/>
        <v>15196733.999999996</v>
      </c>
      <c r="N78" s="185">
        <f t="shared" si="22"/>
        <v>16010237.25</v>
      </c>
      <c r="O78" s="185">
        <f t="shared" si="22"/>
        <v>16926934.499999996</v>
      </c>
      <c r="P78" s="185">
        <f t="shared" si="22"/>
        <v>17945691.75</v>
      </c>
    </row>
    <row r="79" spans="1:16" s="119" customFormat="1" ht="12.6">
      <c r="A79" s="167" t="s">
        <v>251</v>
      </c>
      <c r="B79" s="121" t="s">
        <v>248</v>
      </c>
      <c r="C79" s="174"/>
      <c r="E79" s="185">
        <f t="shared" ref="E79:P79" si="23">E65*E$58</f>
        <v>0</v>
      </c>
      <c r="F79" s="185">
        <f t="shared" si="23"/>
        <v>0</v>
      </c>
      <c r="G79" s="185">
        <f t="shared" si="23"/>
        <v>1362658.5</v>
      </c>
      <c r="H79" s="185">
        <f t="shared" si="23"/>
        <v>2784915</v>
      </c>
      <c r="I79" s="185">
        <f t="shared" si="23"/>
        <v>5797323</v>
      </c>
      <c r="J79" s="185">
        <f t="shared" si="23"/>
        <v>6023934</v>
      </c>
      <c r="K79" s="185">
        <f t="shared" si="23"/>
        <v>6256466.9999999991</v>
      </c>
      <c r="L79" s="185">
        <f t="shared" si="23"/>
        <v>6473123.9999999991</v>
      </c>
      <c r="M79" s="185">
        <f t="shared" si="23"/>
        <v>6754103.9999999991</v>
      </c>
      <c r="N79" s="185">
        <f t="shared" si="23"/>
        <v>7115661</v>
      </c>
      <c r="O79" s="185">
        <f t="shared" si="23"/>
        <v>7523081.9999999991</v>
      </c>
      <c r="P79" s="185">
        <f t="shared" si="23"/>
        <v>7975863</v>
      </c>
    </row>
    <row r="80" spans="1:16" s="119" customFormat="1" ht="12.6">
      <c r="A80" s="167" t="s">
        <v>252</v>
      </c>
      <c r="B80" s="121" t="s">
        <v>248</v>
      </c>
      <c r="C80" s="174"/>
      <c r="E80" s="185">
        <f t="shared" ref="E80:P80" si="24">E66*E$58</f>
        <v>0</v>
      </c>
      <c r="F80" s="185">
        <f t="shared" si="24"/>
        <v>0</v>
      </c>
      <c r="G80" s="185">
        <f t="shared" si="24"/>
        <v>1703323.125</v>
      </c>
      <c r="H80" s="185">
        <f t="shared" si="24"/>
        <v>3481143.75</v>
      </c>
      <c r="I80" s="185">
        <f t="shared" si="24"/>
        <v>7246653.75</v>
      </c>
      <c r="J80" s="185">
        <f t="shared" si="24"/>
        <v>7529917.5</v>
      </c>
      <c r="K80" s="185">
        <f t="shared" si="24"/>
        <v>7820583.7499999981</v>
      </c>
      <c r="L80" s="185">
        <f t="shared" si="24"/>
        <v>8091404.9999999981</v>
      </c>
      <c r="M80" s="185">
        <f t="shared" si="24"/>
        <v>8442629.9999999981</v>
      </c>
      <c r="N80" s="185">
        <f t="shared" si="24"/>
        <v>8894576.25</v>
      </c>
      <c r="O80" s="185">
        <f t="shared" si="24"/>
        <v>9403852.4999999981</v>
      </c>
      <c r="P80" s="185">
        <f t="shared" si="24"/>
        <v>9969828.75</v>
      </c>
    </row>
    <row r="81" spans="1:16" s="119" customFormat="1" ht="12.6">
      <c r="A81" s="164" t="s">
        <v>254</v>
      </c>
      <c r="B81" s="121" t="s">
        <v>248</v>
      </c>
      <c r="C81" s="174"/>
      <c r="E81" s="185">
        <f t="shared" ref="E81:P81" si="25">E67*E$58</f>
        <v>0</v>
      </c>
      <c r="F81" s="185">
        <f t="shared" si="25"/>
        <v>0</v>
      </c>
      <c r="G81" s="185">
        <f t="shared" si="25"/>
        <v>749462.17500000005</v>
      </c>
      <c r="H81" s="185">
        <f t="shared" si="25"/>
        <v>1531703.25</v>
      </c>
      <c r="I81" s="185">
        <f t="shared" si="25"/>
        <v>3188527.65</v>
      </c>
      <c r="J81" s="185">
        <f t="shared" si="25"/>
        <v>3313163.7</v>
      </c>
      <c r="K81" s="185">
        <f t="shared" si="25"/>
        <v>3441056.8499999992</v>
      </c>
      <c r="L81" s="185">
        <f t="shared" si="25"/>
        <v>3560218.1999999993</v>
      </c>
      <c r="M81" s="185">
        <f t="shared" si="25"/>
        <v>3714757.1999999993</v>
      </c>
      <c r="N81" s="185">
        <f t="shared" si="25"/>
        <v>3913613.55</v>
      </c>
      <c r="O81" s="185">
        <f t="shared" si="25"/>
        <v>4137695.0999999992</v>
      </c>
      <c r="P81" s="185">
        <f t="shared" si="25"/>
        <v>4386724.6500000004</v>
      </c>
    </row>
    <row r="82" spans="1:16" s="119" customFormat="1" ht="12.6">
      <c r="A82" s="167" t="s">
        <v>255</v>
      </c>
      <c r="B82" s="121" t="s">
        <v>248</v>
      </c>
      <c r="C82" s="174"/>
      <c r="E82" s="185">
        <f t="shared" ref="E82:P82" si="26">E68*E$58</f>
        <v>0</v>
      </c>
      <c r="F82" s="185">
        <f t="shared" si="26"/>
        <v>0</v>
      </c>
      <c r="G82" s="185">
        <f t="shared" si="26"/>
        <v>340664.625</v>
      </c>
      <c r="H82" s="185">
        <f t="shared" si="26"/>
        <v>696228.75</v>
      </c>
      <c r="I82" s="185">
        <f t="shared" si="26"/>
        <v>1449330.75</v>
      </c>
      <c r="J82" s="185">
        <f t="shared" si="26"/>
        <v>1505983.5</v>
      </c>
      <c r="K82" s="185">
        <f t="shared" si="26"/>
        <v>1564116.7499999998</v>
      </c>
      <c r="L82" s="185">
        <f t="shared" si="26"/>
        <v>1618280.9999999998</v>
      </c>
      <c r="M82" s="185">
        <f t="shared" si="26"/>
        <v>1688525.9999999998</v>
      </c>
      <c r="N82" s="185">
        <f t="shared" si="26"/>
        <v>1778915.25</v>
      </c>
      <c r="O82" s="185">
        <f t="shared" si="26"/>
        <v>1880770.4999999998</v>
      </c>
      <c r="P82" s="185">
        <f t="shared" si="26"/>
        <v>1993965.75</v>
      </c>
    </row>
    <row r="83" spans="1:16" s="119" customFormat="1" ht="12.6">
      <c r="A83" s="167" t="s">
        <v>256</v>
      </c>
      <c r="B83" s="121" t="s">
        <v>248</v>
      </c>
      <c r="C83" s="174"/>
      <c r="E83" s="185">
        <f t="shared" ref="E83:P83" si="27">E69*E$58</f>
        <v>0</v>
      </c>
      <c r="F83" s="185">
        <f t="shared" si="27"/>
        <v>0</v>
      </c>
      <c r="G83" s="185">
        <f t="shared" si="27"/>
        <v>340664.625</v>
      </c>
      <c r="H83" s="185">
        <f t="shared" si="27"/>
        <v>696228.75</v>
      </c>
      <c r="I83" s="185">
        <f t="shared" si="27"/>
        <v>1449330.75</v>
      </c>
      <c r="J83" s="185">
        <f t="shared" si="27"/>
        <v>1505983.5</v>
      </c>
      <c r="K83" s="185">
        <f t="shared" si="27"/>
        <v>1564116.7499999998</v>
      </c>
      <c r="L83" s="185">
        <f t="shared" si="27"/>
        <v>1618280.9999999998</v>
      </c>
      <c r="M83" s="185">
        <f t="shared" si="27"/>
        <v>1688525.9999999998</v>
      </c>
      <c r="N83" s="185">
        <f t="shared" si="27"/>
        <v>1778915.25</v>
      </c>
      <c r="O83" s="185">
        <f t="shared" si="27"/>
        <v>1880770.4999999998</v>
      </c>
      <c r="P83" s="185">
        <f t="shared" si="27"/>
        <v>1993965.75</v>
      </c>
    </row>
    <row r="84" spans="1:16" s="119" customFormat="1" ht="12.6">
      <c r="A84" s="167" t="s">
        <v>257</v>
      </c>
      <c r="B84" s="121" t="s">
        <v>248</v>
      </c>
      <c r="C84" s="174"/>
      <c r="E84" s="185">
        <f t="shared" ref="E84:P84" si="28">E70*E$58</f>
        <v>0</v>
      </c>
      <c r="F84" s="185">
        <f t="shared" si="28"/>
        <v>0</v>
      </c>
      <c r="G84" s="185">
        <f t="shared" si="28"/>
        <v>68132.925000000003</v>
      </c>
      <c r="H84" s="185">
        <f t="shared" si="28"/>
        <v>139245.75</v>
      </c>
      <c r="I84" s="185">
        <f t="shared" si="28"/>
        <v>289866.15000000002</v>
      </c>
      <c r="J84" s="185">
        <f t="shared" si="28"/>
        <v>301196.7</v>
      </c>
      <c r="K84" s="185">
        <f t="shared" si="28"/>
        <v>312823.34999999992</v>
      </c>
      <c r="L84" s="185">
        <f t="shared" si="28"/>
        <v>323656.19999999995</v>
      </c>
      <c r="M84" s="185">
        <f t="shared" si="28"/>
        <v>337705.19999999995</v>
      </c>
      <c r="N84" s="185">
        <f t="shared" si="28"/>
        <v>355783.05</v>
      </c>
      <c r="O84" s="185">
        <f t="shared" si="28"/>
        <v>376154.09999999992</v>
      </c>
      <c r="P84" s="185">
        <f t="shared" si="28"/>
        <v>398793.15</v>
      </c>
    </row>
    <row r="85" spans="1:16" s="119" customFormat="1" ht="12.6">
      <c r="A85" s="164" t="s">
        <v>258</v>
      </c>
      <c r="B85" s="121" t="s">
        <v>248</v>
      </c>
      <c r="C85" s="174"/>
      <c r="E85" s="185">
        <f t="shared" ref="E85:P85" si="29">E71*E$58</f>
        <v>0</v>
      </c>
      <c r="F85" s="185">
        <f t="shared" si="29"/>
        <v>0</v>
      </c>
      <c r="G85" s="185">
        <f t="shared" si="29"/>
        <v>681329.25</v>
      </c>
      <c r="H85" s="185">
        <f t="shared" si="29"/>
        <v>1392457.5</v>
      </c>
      <c r="I85" s="185">
        <f t="shared" si="29"/>
        <v>2898661.5</v>
      </c>
      <c r="J85" s="185">
        <f t="shared" si="29"/>
        <v>3011967</v>
      </c>
      <c r="K85" s="185">
        <f t="shared" si="29"/>
        <v>3128233.4999999995</v>
      </c>
      <c r="L85" s="185">
        <f t="shared" si="29"/>
        <v>3236561.9999999995</v>
      </c>
      <c r="M85" s="185">
        <f t="shared" si="29"/>
        <v>3377051.9999999995</v>
      </c>
      <c r="N85" s="185">
        <f t="shared" si="29"/>
        <v>3557830.5</v>
      </c>
      <c r="O85" s="185">
        <f t="shared" si="29"/>
        <v>3761540.9999999995</v>
      </c>
      <c r="P85" s="185">
        <f t="shared" si="29"/>
        <v>3987931.5</v>
      </c>
    </row>
    <row r="86" spans="1:16" s="119" customFormat="1" ht="12.6">
      <c r="A86" s="164" t="s">
        <v>259</v>
      </c>
      <c r="B86" s="121" t="s">
        <v>248</v>
      </c>
      <c r="C86" s="174"/>
      <c r="E86" s="185">
        <f t="shared" ref="E86:P86" si="30">E72*E$58</f>
        <v>0</v>
      </c>
      <c r="F86" s="185">
        <f t="shared" si="30"/>
        <v>0</v>
      </c>
      <c r="G86" s="185">
        <f t="shared" si="30"/>
        <v>272531.69999999966</v>
      </c>
      <c r="H86" s="185">
        <f t="shared" si="30"/>
        <v>556982.9999999993</v>
      </c>
      <c r="I86" s="185">
        <f t="shared" si="30"/>
        <v>1159464.5999999987</v>
      </c>
      <c r="J86" s="185">
        <f t="shared" si="30"/>
        <v>1204786.7999999986</v>
      </c>
      <c r="K86" s="185">
        <f t="shared" si="30"/>
        <v>1251293.3999999983</v>
      </c>
      <c r="L86" s="185">
        <f t="shared" si="30"/>
        <v>1294624.7999999982</v>
      </c>
      <c r="M86" s="185">
        <f t="shared" si="30"/>
        <v>1350820.7999999982</v>
      </c>
      <c r="N86" s="185">
        <f t="shared" si="30"/>
        <v>1423132.1999999983</v>
      </c>
      <c r="O86" s="185">
        <f t="shared" si="30"/>
        <v>1504616.3999999978</v>
      </c>
      <c r="P86" s="185">
        <f t="shared" si="30"/>
        <v>1595172.599999998</v>
      </c>
    </row>
    <row r="87" spans="1:16" s="119" customFormat="1" ht="12.6">
      <c r="A87" s="164"/>
      <c r="B87" s="121"/>
      <c r="C87" s="174"/>
      <c r="E87" s="185"/>
      <c r="F87" s="185"/>
      <c r="G87" s="185"/>
      <c r="H87" s="185"/>
      <c r="I87" s="185"/>
      <c r="J87" s="185"/>
      <c r="K87" s="185"/>
      <c r="L87" s="185"/>
      <c r="M87" s="185"/>
      <c r="N87" s="185"/>
      <c r="O87" s="185"/>
      <c r="P87" s="185"/>
    </row>
    <row r="88" spans="1:16" s="166" customFormat="1" ht="12.6">
      <c r="A88" s="169" t="s">
        <v>262</v>
      </c>
      <c r="B88" s="163"/>
      <c r="C88" s="17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</row>
    <row r="89" spans="1:16" s="119" customFormat="1" ht="12.6">
      <c r="A89" s="164" t="s">
        <v>250</v>
      </c>
      <c r="B89" s="121" t="s">
        <v>231</v>
      </c>
      <c r="C89" s="174"/>
      <c r="E89" s="142"/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2"/>
    </row>
    <row r="90" spans="1:16" s="119" customFormat="1" ht="12.6">
      <c r="A90" s="167" t="s">
        <v>251</v>
      </c>
      <c r="B90" s="121" t="s">
        <v>231</v>
      </c>
      <c r="C90" s="174" t="s">
        <v>323</v>
      </c>
      <c r="E90" s="141">
        <v>0.01</v>
      </c>
      <c r="F90" s="141">
        <v>0.01</v>
      </c>
      <c r="G90" s="141">
        <v>0.01</v>
      </c>
      <c r="H90" s="141">
        <v>0.01</v>
      </c>
      <c r="I90" s="141">
        <v>0.01</v>
      </c>
      <c r="J90" s="141">
        <v>0.01</v>
      </c>
      <c r="K90" s="141">
        <v>0.01</v>
      </c>
      <c r="L90" s="141">
        <v>0.01</v>
      </c>
      <c r="M90" s="141">
        <v>0.01</v>
      </c>
      <c r="N90" s="141">
        <v>0.01</v>
      </c>
      <c r="O90" s="141">
        <v>0.01</v>
      </c>
      <c r="P90" s="141">
        <v>0.01</v>
      </c>
    </row>
    <row r="91" spans="1:16" s="119" customFormat="1" ht="12.6">
      <c r="A91" s="167" t="s">
        <v>252</v>
      </c>
      <c r="B91" s="121" t="s">
        <v>231</v>
      </c>
      <c r="C91" s="174" t="s">
        <v>323</v>
      </c>
      <c r="E91" s="141">
        <v>0.01</v>
      </c>
      <c r="F91" s="141">
        <v>0.01</v>
      </c>
      <c r="G91" s="141">
        <v>0.01</v>
      </c>
      <c r="H91" s="141">
        <v>0.01</v>
      </c>
      <c r="I91" s="141">
        <v>0.01</v>
      </c>
      <c r="J91" s="141">
        <v>0.01</v>
      </c>
      <c r="K91" s="141">
        <v>0.01</v>
      </c>
      <c r="L91" s="141">
        <v>0.01</v>
      </c>
      <c r="M91" s="141">
        <v>0.01</v>
      </c>
      <c r="N91" s="141">
        <v>0.01</v>
      </c>
      <c r="O91" s="141">
        <v>0.01</v>
      </c>
      <c r="P91" s="141">
        <v>0.01</v>
      </c>
    </row>
    <row r="92" spans="1:16" s="119" customFormat="1" ht="12.6">
      <c r="A92" s="164" t="s">
        <v>253</v>
      </c>
      <c r="B92" s="121" t="s">
        <v>231</v>
      </c>
      <c r="C92" s="174" t="s">
        <v>323</v>
      </c>
      <c r="E92" s="142"/>
      <c r="F92" s="142"/>
      <c r="G92" s="142"/>
      <c r="H92" s="142"/>
      <c r="I92" s="142"/>
      <c r="J92" s="142"/>
      <c r="K92" s="142"/>
      <c r="L92" s="142"/>
      <c r="M92" s="142"/>
      <c r="N92" s="142"/>
      <c r="O92" s="142"/>
      <c r="P92" s="142"/>
    </row>
    <row r="93" spans="1:16" s="119" customFormat="1" ht="12.6">
      <c r="A93" s="167" t="s">
        <v>251</v>
      </c>
      <c r="B93" s="121" t="s">
        <v>231</v>
      </c>
      <c r="C93" s="174" t="s">
        <v>323</v>
      </c>
      <c r="E93" s="141">
        <v>0.01</v>
      </c>
      <c r="F93" s="141">
        <v>0.01</v>
      </c>
      <c r="G93" s="141">
        <v>0.01</v>
      </c>
      <c r="H93" s="141">
        <v>0.01</v>
      </c>
      <c r="I93" s="141">
        <v>0.01</v>
      </c>
      <c r="J93" s="141">
        <v>0.01</v>
      </c>
      <c r="K93" s="141">
        <v>0.01</v>
      </c>
      <c r="L93" s="141">
        <v>0.01</v>
      </c>
      <c r="M93" s="141">
        <v>0.01</v>
      </c>
      <c r="N93" s="141">
        <v>0.01</v>
      </c>
      <c r="O93" s="141">
        <v>0.01</v>
      </c>
      <c r="P93" s="141">
        <v>0.01</v>
      </c>
    </row>
    <row r="94" spans="1:16" s="119" customFormat="1" ht="12.6">
      <c r="A94" s="167" t="s">
        <v>252</v>
      </c>
      <c r="B94" s="121" t="s">
        <v>231</v>
      </c>
      <c r="C94" s="174" t="s">
        <v>323</v>
      </c>
      <c r="E94" s="141">
        <v>0.01</v>
      </c>
      <c r="F94" s="141">
        <v>0.01</v>
      </c>
      <c r="G94" s="141">
        <v>0.01</v>
      </c>
      <c r="H94" s="141">
        <v>0.01</v>
      </c>
      <c r="I94" s="141">
        <v>0.01</v>
      </c>
      <c r="J94" s="141">
        <v>0.01</v>
      </c>
      <c r="K94" s="141">
        <v>0.01</v>
      </c>
      <c r="L94" s="141">
        <v>0.01</v>
      </c>
      <c r="M94" s="141">
        <v>0.01</v>
      </c>
      <c r="N94" s="141">
        <v>0.01</v>
      </c>
      <c r="O94" s="141">
        <v>0.01</v>
      </c>
      <c r="P94" s="141">
        <v>0.01</v>
      </c>
    </row>
    <row r="95" spans="1:16" s="119" customFormat="1" ht="12.6">
      <c r="A95" s="164" t="s">
        <v>254</v>
      </c>
      <c r="B95" s="121" t="s">
        <v>231</v>
      </c>
      <c r="C95" s="174" t="s">
        <v>323</v>
      </c>
      <c r="E95" s="142"/>
      <c r="F95" s="142"/>
      <c r="G95" s="142"/>
      <c r="H95" s="142"/>
      <c r="I95" s="142"/>
      <c r="J95" s="142"/>
      <c r="K95" s="142"/>
      <c r="L95" s="142"/>
      <c r="M95" s="142"/>
      <c r="N95" s="142"/>
      <c r="O95" s="142"/>
      <c r="P95" s="142"/>
    </row>
    <row r="96" spans="1:16" s="119" customFormat="1" ht="12.6">
      <c r="A96" s="167" t="s">
        <v>255</v>
      </c>
      <c r="B96" s="121" t="s">
        <v>231</v>
      </c>
      <c r="C96" s="174" t="s">
        <v>323</v>
      </c>
      <c r="E96" s="141">
        <v>0.01</v>
      </c>
      <c r="F96" s="141">
        <v>0.01</v>
      </c>
      <c r="G96" s="141">
        <v>0.01</v>
      </c>
      <c r="H96" s="141">
        <v>0.01</v>
      </c>
      <c r="I96" s="141">
        <v>0.01</v>
      </c>
      <c r="J96" s="141">
        <v>0.01</v>
      </c>
      <c r="K96" s="141">
        <v>0.01</v>
      </c>
      <c r="L96" s="141">
        <v>0.01</v>
      </c>
      <c r="M96" s="141">
        <v>0.01</v>
      </c>
      <c r="N96" s="141">
        <v>0.01</v>
      </c>
      <c r="O96" s="141">
        <v>0.01</v>
      </c>
      <c r="P96" s="141">
        <v>0.01</v>
      </c>
    </row>
    <row r="97" spans="1:16" s="119" customFormat="1" ht="12.6">
      <c r="A97" s="167" t="s">
        <v>256</v>
      </c>
      <c r="B97" s="121" t="s">
        <v>231</v>
      </c>
      <c r="C97" s="174" t="s">
        <v>323</v>
      </c>
      <c r="E97" s="141">
        <v>0.01</v>
      </c>
      <c r="F97" s="141">
        <v>0.01</v>
      </c>
      <c r="G97" s="141">
        <v>0.01</v>
      </c>
      <c r="H97" s="141">
        <v>0.01</v>
      </c>
      <c r="I97" s="141">
        <v>0.01</v>
      </c>
      <c r="J97" s="141">
        <v>0.01</v>
      </c>
      <c r="K97" s="141">
        <v>0.01</v>
      </c>
      <c r="L97" s="141">
        <v>0.01</v>
      </c>
      <c r="M97" s="141">
        <v>0.01</v>
      </c>
      <c r="N97" s="141">
        <v>0.01</v>
      </c>
      <c r="O97" s="141">
        <v>0.01</v>
      </c>
      <c r="P97" s="141">
        <v>0.01</v>
      </c>
    </row>
    <row r="98" spans="1:16" s="119" customFormat="1" ht="12.6">
      <c r="A98" s="167" t="s">
        <v>257</v>
      </c>
      <c r="B98" s="121" t="s">
        <v>231</v>
      </c>
      <c r="C98" s="174" t="s">
        <v>323</v>
      </c>
      <c r="E98" s="141">
        <v>0.01</v>
      </c>
      <c r="F98" s="141">
        <v>0.01</v>
      </c>
      <c r="G98" s="141">
        <v>0.01</v>
      </c>
      <c r="H98" s="141">
        <v>0.01</v>
      </c>
      <c r="I98" s="141">
        <v>0.01</v>
      </c>
      <c r="J98" s="141">
        <v>0.01</v>
      </c>
      <c r="K98" s="141">
        <v>0.01</v>
      </c>
      <c r="L98" s="141">
        <v>0.01</v>
      </c>
      <c r="M98" s="141">
        <v>0.01</v>
      </c>
      <c r="N98" s="141">
        <v>0.01</v>
      </c>
      <c r="O98" s="141">
        <v>0.01</v>
      </c>
      <c r="P98" s="141">
        <v>0.01</v>
      </c>
    </row>
    <row r="99" spans="1:16" s="119" customFormat="1" ht="12.6">
      <c r="A99" s="164" t="s">
        <v>258</v>
      </c>
      <c r="B99" s="121" t="s">
        <v>231</v>
      </c>
      <c r="C99" s="174" t="s">
        <v>323</v>
      </c>
      <c r="E99" s="141">
        <v>0.01</v>
      </c>
      <c r="F99" s="141">
        <v>0.01</v>
      </c>
      <c r="G99" s="141">
        <v>0.01</v>
      </c>
      <c r="H99" s="141">
        <v>0.01</v>
      </c>
      <c r="I99" s="141">
        <v>0.01</v>
      </c>
      <c r="J99" s="141">
        <v>0.01</v>
      </c>
      <c r="K99" s="141">
        <v>0.01</v>
      </c>
      <c r="L99" s="141">
        <v>0.01</v>
      </c>
      <c r="M99" s="141">
        <v>0.01</v>
      </c>
      <c r="N99" s="141">
        <v>0.01</v>
      </c>
      <c r="O99" s="141">
        <v>0.01</v>
      </c>
      <c r="P99" s="141">
        <v>0.01</v>
      </c>
    </row>
    <row r="100" spans="1:16" s="119" customFormat="1" ht="12.6">
      <c r="A100" s="164" t="s">
        <v>259</v>
      </c>
      <c r="B100" s="121" t="s">
        <v>231</v>
      </c>
      <c r="C100" s="174" t="s">
        <v>323</v>
      </c>
      <c r="E100" s="141">
        <v>0.01</v>
      </c>
      <c r="F100" s="141">
        <v>0.01</v>
      </c>
      <c r="G100" s="141">
        <v>0.01</v>
      </c>
      <c r="H100" s="141">
        <v>0.01</v>
      </c>
      <c r="I100" s="141">
        <v>0.01</v>
      </c>
      <c r="J100" s="141">
        <v>0.01</v>
      </c>
      <c r="K100" s="141">
        <v>0.01</v>
      </c>
      <c r="L100" s="141">
        <v>0.01</v>
      </c>
      <c r="M100" s="141">
        <v>0.01</v>
      </c>
      <c r="N100" s="141">
        <v>0.01</v>
      </c>
      <c r="O100" s="141">
        <v>0.01</v>
      </c>
      <c r="P100" s="141">
        <v>0.01</v>
      </c>
    </row>
    <row r="101" spans="1:16" s="119" customFormat="1" ht="12.6">
      <c r="A101" s="164"/>
      <c r="B101" s="121"/>
      <c r="C101" s="174"/>
      <c r="E101" s="142"/>
      <c r="F101" s="142"/>
      <c r="G101" s="142"/>
      <c r="H101" s="142"/>
      <c r="I101" s="142"/>
      <c r="J101" s="142"/>
      <c r="K101" s="142"/>
      <c r="L101" s="142"/>
      <c r="M101" s="142"/>
      <c r="N101" s="142"/>
      <c r="O101" s="142"/>
      <c r="P101" s="142"/>
    </row>
    <row r="102" spans="1:16" s="166" customFormat="1" ht="12.6">
      <c r="A102" s="169" t="s">
        <v>364</v>
      </c>
      <c r="B102" s="163"/>
      <c r="C102" s="174"/>
      <c r="E102" s="184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/>
    </row>
    <row r="103" spans="1:16" s="166" customFormat="1" ht="12.6">
      <c r="A103" s="164" t="s">
        <v>325</v>
      </c>
      <c r="B103" s="163" t="s">
        <v>231</v>
      </c>
      <c r="C103" s="171" t="s">
        <v>323</v>
      </c>
      <c r="E103" s="214">
        <v>0.01</v>
      </c>
      <c r="F103" s="214">
        <v>0.01</v>
      </c>
      <c r="G103" s="214">
        <v>0.01</v>
      </c>
      <c r="H103" s="214">
        <v>0.01</v>
      </c>
      <c r="I103" s="214">
        <v>0.01</v>
      </c>
      <c r="J103" s="214">
        <v>0.01</v>
      </c>
      <c r="K103" s="214">
        <v>0.01</v>
      </c>
      <c r="L103" s="214">
        <v>0.01</v>
      </c>
      <c r="M103" s="214">
        <v>0.01</v>
      </c>
      <c r="N103" s="214">
        <v>0.01</v>
      </c>
      <c r="O103" s="214">
        <v>0.01</v>
      </c>
      <c r="P103" s="214">
        <v>0.01</v>
      </c>
    </row>
    <row r="104" spans="1:16" s="166" customFormat="1" ht="12.6">
      <c r="A104" s="169"/>
      <c r="B104" s="163"/>
      <c r="C104" s="171"/>
      <c r="E104" s="184"/>
      <c r="F104" s="184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</row>
    <row r="105" spans="1:16" s="166" customFormat="1" ht="12.6">
      <c r="A105" s="169" t="s">
        <v>362</v>
      </c>
      <c r="B105" s="163"/>
      <c r="C105" s="171"/>
      <c r="E105" s="184"/>
      <c r="F105" s="184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</row>
    <row r="106" spans="1:16" s="166" customFormat="1" ht="12.6">
      <c r="A106" s="164" t="s">
        <v>363</v>
      </c>
      <c r="B106" s="163" t="s">
        <v>248</v>
      </c>
      <c r="C106" s="171" t="s">
        <v>323</v>
      </c>
      <c r="E106" s="213">
        <v>1</v>
      </c>
      <c r="F106" s="213">
        <v>1</v>
      </c>
      <c r="G106" s="213">
        <v>1</v>
      </c>
      <c r="H106" s="213">
        <v>1</v>
      </c>
      <c r="I106" s="213">
        <v>1</v>
      </c>
      <c r="J106" s="213">
        <v>1</v>
      </c>
      <c r="K106" s="213">
        <v>1</v>
      </c>
      <c r="L106" s="213">
        <v>1</v>
      </c>
      <c r="M106" s="213">
        <v>1</v>
      </c>
      <c r="N106" s="213">
        <v>1</v>
      </c>
      <c r="O106" s="213">
        <v>1</v>
      </c>
      <c r="P106" s="213">
        <v>1</v>
      </c>
    </row>
    <row r="108" spans="1:16" s="166" customFormat="1" ht="12.6">
      <c r="A108" s="169" t="s">
        <v>361</v>
      </c>
      <c r="B108" s="163"/>
      <c r="C108" s="174"/>
      <c r="E108" s="184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</row>
    <row r="109" spans="1:16" s="119" customFormat="1" ht="12.6">
      <c r="A109" s="164" t="s">
        <v>346</v>
      </c>
      <c r="B109" s="121" t="s">
        <v>248</v>
      </c>
      <c r="C109" s="174" t="s">
        <v>323</v>
      </c>
      <c r="E109" s="208">
        <v>1</v>
      </c>
      <c r="F109" s="208">
        <v>1</v>
      </c>
      <c r="G109" s="208">
        <v>1</v>
      </c>
      <c r="H109" s="208">
        <v>1</v>
      </c>
      <c r="I109" s="208">
        <v>1</v>
      </c>
      <c r="J109" s="208">
        <v>1</v>
      </c>
      <c r="K109" s="208">
        <v>1</v>
      </c>
      <c r="L109" s="208">
        <v>1</v>
      </c>
      <c r="M109" s="208">
        <v>1</v>
      </c>
      <c r="N109" s="208">
        <v>1</v>
      </c>
      <c r="O109" s="208">
        <v>1</v>
      </c>
      <c r="P109" s="208">
        <v>1</v>
      </c>
    </row>
    <row r="110" spans="1:16" s="119" customFormat="1" ht="12.6">
      <c r="A110" s="164" t="s">
        <v>360</v>
      </c>
      <c r="B110" s="121" t="s">
        <v>248</v>
      </c>
      <c r="C110" s="174" t="s">
        <v>323</v>
      </c>
      <c r="E110" s="186"/>
      <c r="F110" s="186"/>
      <c r="G110" s="186"/>
      <c r="H110" s="186"/>
      <c r="I110" s="186"/>
      <c r="J110" s="186"/>
      <c r="K110" s="186"/>
      <c r="L110" s="186"/>
      <c r="M110" s="186"/>
      <c r="N110" s="186"/>
      <c r="O110" s="186"/>
      <c r="P110" s="186"/>
    </row>
    <row r="111" spans="1:16" s="164" customFormat="1" ht="12.6"/>
    <row r="112" spans="1:16" s="166" customFormat="1" ht="12.6">
      <c r="A112" s="169" t="s">
        <v>265</v>
      </c>
      <c r="B112" s="163"/>
      <c r="C112" s="170"/>
      <c r="D112" s="17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</row>
    <row r="113" spans="1:16" s="119" customFormat="1" ht="12.6">
      <c r="A113" s="164" t="s">
        <v>250</v>
      </c>
      <c r="B113" s="121" t="s">
        <v>231</v>
      </c>
      <c r="C113" s="138"/>
      <c r="D113" s="174"/>
      <c r="E113" s="142"/>
      <c r="F113" s="142"/>
      <c r="G113" s="142"/>
      <c r="H113" s="142"/>
      <c r="I113" s="142"/>
      <c r="J113" s="142"/>
      <c r="K113" s="142"/>
      <c r="L113" s="142"/>
      <c r="M113" s="142"/>
      <c r="N113" s="142"/>
      <c r="O113" s="142"/>
      <c r="P113" s="142"/>
    </row>
    <row r="114" spans="1:16" s="119" customFormat="1" ht="12.6">
      <c r="A114" s="167" t="s">
        <v>251</v>
      </c>
      <c r="B114" s="121" t="s">
        <v>231</v>
      </c>
      <c r="C114" s="138"/>
      <c r="D114" s="174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</row>
    <row r="115" spans="1:16" s="119" customFormat="1" ht="12.6">
      <c r="A115" s="167" t="s">
        <v>252</v>
      </c>
      <c r="B115" s="121" t="s">
        <v>231</v>
      </c>
      <c r="C115" s="138"/>
      <c r="D115" s="174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</row>
    <row r="116" spans="1:16" s="119" customFormat="1" ht="12.6">
      <c r="A116" s="164" t="s">
        <v>253</v>
      </c>
      <c r="B116" s="121" t="s">
        <v>231</v>
      </c>
      <c r="C116" s="138"/>
      <c r="D116" s="174"/>
      <c r="E116" s="142"/>
      <c r="F116" s="142"/>
      <c r="G116" s="142"/>
      <c r="H116" s="142"/>
      <c r="I116" s="142"/>
      <c r="J116" s="142"/>
      <c r="K116" s="142"/>
      <c r="L116" s="142"/>
      <c r="M116" s="142"/>
      <c r="N116" s="142"/>
      <c r="O116" s="142"/>
      <c r="P116" s="142"/>
    </row>
    <row r="117" spans="1:16" s="119" customFormat="1" ht="12.6">
      <c r="A117" s="167" t="s">
        <v>251</v>
      </c>
      <c r="B117" s="121" t="s">
        <v>231</v>
      </c>
      <c r="C117" s="138"/>
      <c r="D117" s="174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</row>
    <row r="118" spans="1:16" s="119" customFormat="1" ht="12.6">
      <c r="A118" s="167" t="s">
        <v>252</v>
      </c>
      <c r="B118" s="121" t="s">
        <v>231</v>
      </c>
      <c r="C118" s="138"/>
      <c r="D118" s="174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</row>
    <row r="119" spans="1:16" s="166" customFormat="1" ht="12.6">
      <c r="A119" s="167" t="s">
        <v>270</v>
      </c>
      <c r="B119" s="163" t="s">
        <v>231</v>
      </c>
      <c r="C119" s="171" t="s">
        <v>323</v>
      </c>
      <c r="E119" s="214">
        <v>0.01</v>
      </c>
      <c r="F119" s="214">
        <v>0.01</v>
      </c>
      <c r="G119" s="214">
        <v>0.01</v>
      </c>
      <c r="H119" s="214">
        <v>0.01</v>
      </c>
      <c r="I119" s="214">
        <v>0.01</v>
      </c>
      <c r="J119" s="214">
        <v>0.01</v>
      </c>
      <c r="K119" s="214">
        <v>0.01</v>
      </c>
      <c r="L119" s="214">
        <v>0.01</v>
      </c>
      <c r="M119" s="214">
        <v>0.01</v>
      </c>
      <c r="N119" s="214">
        <v>0.01</v>
      </c>
      <c r="O119" s="214">
        <v>0.01</v>
      </c>
      <c r="P119" s="214">
        <v>0.01</v>
      </c>
    </row>
    <row r="120" spans="1:16" s="119" customFormat="1" ht="12.6">
      <c r="A120" s="164" t="s">
        <v>254</v>
      </c>
      <c r="B120" s="121" t="s">
        <v>231</v>
      </c>
      <c r="C120" s="174"/>
      <c r="E120" s="142"/>
      <c r="F120" s="142"/>
      <c r="G120" s="142"/>
      <c r="H120" s="142"/>
      <c r="I120" s="142"/>
      <c r="J120" s="142"/>
      <c r="K120" s="142"/>
      <c r="L120" s="142"/>
      <c r="M120" s="142"/>
      <c r="N120" s="142"/>
      <c r="O120" s="142"/>
      <c r="P120" s="142"/>
    </row>
    <row r="121" spans="1:16" s="119" customFormat="1" ht="12.6">
      <c r="A121" s="167" t="s">
        <v>255</v>
      </c>
      <c r="B121" s="121" t="s">
        <v>231</v>
      </c>
      <c r="C121" s="174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</row>
    <row r="122" spans="1:16" s="119" customFormat="1" ht="12.6">
      <c r="A122" s="167" t="s">
        <v>256</v>
      </c>
      <c r="B122" s="121" t="s">
        <v>231</v>
      </c>
      <c r="C122" s="174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</row>
    <row r="123" spans="1:16" s="119" customFormat="1" ht="12.6">
      <c r="A123" s="167" t="s">
        <v>257</v>
      </c>
      <c r="B123" s="121" t="s">
        <v>231</v>
      </c>
      <c r="C123" s="174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</row>
    <row r="124" spans="1:16" s="119" customFormat="1" ht="12.6">
      <c r="A124" s="164" t="s">
        <v>258</v>
      </c>
      <c r="B124" s="121" t="s">
        <v>231</v>
      </c>
      <c r="C124" s="174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</row>
    <row r="125" spans="1:16" s="119" customFormat="1" ht="12.6">
      <c r="A125" s="164" t="s">
        <v>259</v>
      </c>
      <c r="B125" s="121" t="s">
        <v>231</v>
      </c>
      <c r="C125" s="174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</row>
    <row r="126" spans="1:16" s="119" customFormat="1" ht="12.6">
      <c r="A126" s="164"/>
      <c r="B126" s="121"/>
      <c r="C126" s="174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</row>
    <row r="127" spans="1:16" s="166" customFormat="1" ht="12.6">
      <c r="A127" s="169" t="s">
        <v>348</v>
      </c>
      <c r="B127" s="163"/>
      <c r="C127" s="174"/>
      <c r="E127" s="184"/>
      <c r="F127" s="184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</row>
    <row r="128" spans="1:16" s="166" customFormat="1" ht="12.6">
      <c r="A128" s="164" t="s">
        <v>349</v>
      </c>
      <c r="B128" s="163" t="s">
        <v>248</v>
      </c>
      <c r="C128" s="171" t="s">
        <v>323</v>
      </c>
      <c r="E128" s="213">
        <v>1</v>
      </c>
      <c r="F128" s="213">
        <v>1</v>
      </c>
      <c r="G128" s="213">
        <v>1</v>
      </c>
      <c r="H128" s="213">
        <v>1</v>
      </c>
      <c r="I128" s="213">
        <v>1</v>
      </c>
      <c r="J128" s="213">
        <v>1</v>
      </c>
      <c r="K128" s="213">
        <v>1</v>
      </c>
      <c r="L128" s="213">
        <v>1</v>
      </c>
      <c r="M128" s="213">
        <v>1</v>
      </c>
      <c r="N128" s="213">
        <v>1</v>
      </c>
      <c r="O128" s="213">
        <v>1</v>
      </c>
      <c r="P128" s="213">
        <v>1</v>
      </c>
    </row>
    <row r="129" spans="1:16" s="166" customFormat="1" ht="12.6">
      <c r="A129" s="164" t="s">
        <v>350</v>
      </c>
      <c r="B129" s="163" t="s">
        <v>248</v>
      </c>
      <c r="C129" s="171" t="s">
        <v>323</v>
      </c>
      <c r="E129" s="213">
        <v>5</v>
      </c>
      <c r="F129" s="213">
        <v>5</v>
      </c>
      <c r="G129" s="213">
        <v>5</v>
      </c>
      <c r="H129" s="213">
        <v>5</v>
      </c>
      <c r="I129" s="213">
        <v>5</v>
      </c>
      <c r="J129" s="213">
        <v>5</v>
      </c>
      <c r="K129" s="213">
        <v>5</v>
      </c>
      <c r="L129" s="213">
        <v>5</v>
      </c>
      <c r="M129" s="213">
        <v>5</v>
      </c>
      <c r="N129" s="213">
        <v>5</v>
      </c>
      <c r="O129" s="213">
        <v>5</v>
      </c>
      <c r="P129" s="213">
        <v>5</v>
      </c>
    </row>
    <row r="130" spans="1:16" s="164" customFormat="1" ht="12.6"/>
    <row r="131" spans="1:16" s="119" customFormat="1" ht="12.6">
      <c r="A131" s="191" t="s">
        <v>267</v>
      </c>
      <c r="B131" s="192"/>
      <c r="C131" s="193"/>
      <c r="D131" s="194"/>
      <c r="E131" s="195"/>
      <c r="F131" s="195"/>
      <c r="G131" s="195"/>
      <c r="H131" s="195"/>
      <c r="I131" s="195"/>
      <c r="J131" s="195"/>
      <c r="K131" s="195"/>
      <c r="L131" s="195"/>
      <c r="M131" s="195"/>
      <c r="N131" s="195"/>
      <c r="O131" s="195"/>
      <c r="P131" s="195"/>
    </row>
    <row r="132" spans="1:16" s="119" customFormat="1" ht="12.6">
      <c r="A132" s="164"/>
      <c r="B132" s="121"/>
      <c r="C132" s="138"/>
      <c r="D132" s="174"/>
      <c r="E132" s="142"/>
      <c r="F132" s="142"/>
      <c r="G132" s="142"/>
      <c r="H132" s="142"/>
      <c r="I132" s="142"/>
      <c r="J132" s="142"/>
      <c r="K132" s="142"/>
      <c r="L132" s="142"/>
      <c r="M132" s="142"/>
      <c r="N132" s="142"/>
      <c r="O132" s="142"/>
      <c r="P132" s="142"/>
    </row>
    <row r="133" spans="1:16" s="166" customFormat="1" ht="12.6">
      <c r="A133" s="169" t="s">
        <v>274</v>
      </c>
      <c r="B133" s="121" t="s">
        <v>248</v>
      </c>
      <c r="C133" s="170"/>
      <c r="D133" s="174"/>
      <c r="E133" s="203">
        <f>E134+E135</f>
        <v>0</v>
      </c>
      <c r="F133" s="203">
        <f t="shared" ref="F133:P133" si="31">F134+F135</f>
        <v>0</v>
      </c>
      <c r="G133" s="203">
        <f t="shared" si="31"/>
        <v>23468.007500000003</v>
      </c>
      <c r="H133" s="203">
        <f t="shared" si="31"/>
        <v>47962.425000000003</v>
      </c>
      <c r="I133" s="203">
        <f t="shared" si="31"/>
        <v>99842.785000000003</v>
      </c>
      <c r="J133" s="203">
        <f t="shared" si="31"/>
        <v>103745.53000000001</v>
      </c>
      <c r="K133" s="203">
        <f t="shared" si="31"/>
        <v>107750.26500000001</v>
      </c>
      <c r="L133" s="203">
        <f t="shared" si="31"/>
        <v>111481.58000000002</v>
      </c>
      <c r="M133" s="203">
        <f t="shared" si="31"/>
        <v>116320.68000000001</v>
      </c>
      <c r="N133" s="203">
        <f t="shared" si="31"/>
        <v>122547.49500000002</v>
      </c>
      <c r="O133" s="203">
        <f t="shared" si="31"/>
        <v>129564.19000000002</v>
      </c>
      <c r="P133" s="203">
        <f t="shared" si="31"/>
        <v>137362.08500000002</v>
      </c>
    </row>
    <row r="134" spans="1:16" s="119" customFormat="1" ht="12.6">
      <c r="A134" s="182" t="s">
        <v>130</v>
      </c>
      <c r="B134" s="163" t="s">
        <v>248</v>
      </c>
      <c r="C134" s="196"/>
      <c r="D134" s="197"/>
      <c r="E134" s="203">
        <f t="shared" ref="E134:H135" si="32">E51*(D45+E45)/2*3/12</f>
        <v>0</v>
      </c>
      <c r="F134" s="203">
        <f t="shared" si="32"/>
        <v>0</v>
      </c>
      <c r="G134" s="203">
        <f t="shared" si="32"/>
        <v>22710.975000000002</v>
      </c>
      <c r="H134" s="203">
        <f t="shared" si="32"/>
        <v>46415.25</v>
      </c>
      <c r="I134" s="203">
        <f t="shared" ref="I134:P135" si="33">I51*(H45+I45)/2*6/12</f>
        <v>96622.05</v>
      </c>
      <c r="J134" s="203">
        <f t="shared" si="33"/>
        <v>100398.90000000001</v>
      </c>
      <c r="K134" s="203">
        <f t="shared" si="33"/>
        <v>104274.45000000001</v>
      </c>
      <c r="L134" s="203">
        <f t="shared" si="33"/>
        <v>107885.40000000001</v>
      </c>
      <c r="M134" s="203">
        <f t="shared" si="33"/>
        <v>112568.40000000001</v>
      </c>
      <c r="N134" s="203">
        <f t="shared" si="33"/>
        <v>118594.35000000002</v>
      </c>
      <c r="O134" s="203">
        <f t="shared" si="33"/>
        <v>125384.70000000001</v>
      </c>
      <c r="P134" s="203">
        <f t="shared" si="33"/>
        <v>132931.05000000002</v>
      </c>
    </row>
    <row r="135" spans="1:16" s="119" customFormat="1" ht="12.6">
      <c r="A135" s="182" t="s">
        <v>268</v>
      </c>
      <c r="B135" s="163" t="s">
        <v>248</v>
      </c>
      <c r="C135" s="199"/>
      <c r="D135" s="197"/>
      <c r="E135" s="203">
        <f t="shared" si="32"/>
        <v>0</v>
      </c>
      <c r="F135" s="203">
        <f t="shared" si="32"/>
        <v>0</v>
      </c>
      <c r="G135" s="203">
        <f t="shared" si="32"/>
        <v>757.03249999999991</v>
      </c>
      <c r="H135" s="203">
        <f t="shared" si="32"/>
        <v>1547.175</v>
      </c>
      <c r="I135" s="203">
        <f t="shared" si="33"/>
        <v>3220.7350000000001</v>
      </c>
      <c r="J135" s="203">
        <f t="shared" si="33"/>
        <v>3346.6299999999997</v>
      </c>
      <c r="K135" s="203">
        <f t="shared" si="33"/>
        <v>3475.8150000000001</v>
      </c>
      <c r="L135" s="203">
        <f t="shared" si="33"/>
        <v>3596.1800000000003</v>
      </c>
      <c r="M135" s="203">
        <f t="shared" si="33"/>
        <v>3752.28</v>
      </c>
      <c r="N135" s="203">
        <f t="shared" si="33"/>
        <v>3953.145</v>
      </c>
      <c r="O135" s="203">
        <f t="shared" si="33"/>
        <v>4179.49</v>
      </c>
      <c r="P135" s="203">
        <f t="shared" si="33"/>
        <v>4431.0349999999999</v>
      </c>
    </row>
    <row r="136" spans="1:16" s="166" customFormat="1" ht="12.6">
      <c r="A136" s="169" t="s">
        <v>275</v>
      </c>
      <c r="B136" s="121" t="s">
        <v>248</v>
      </c>
      <c r="C136" s="170"/>
      <c r="D136" s="174"/>
      <c r="E136" s="198">
        <f>E137+E138</f>
        <v>0</v>
      </c>
      <c r="F136" s="198">
        <f t="shared" ref="F136:P136" si="34">F137+F138</f>
        <v>0</v>
      </c>
      <c r="G136" s="198">
        <f t="shared" si="34"/>
        <v>0</v>
      </c>
      <c r="H136" s="198">
        <f t="shared" si="34"/>
        <v>0</v>
      </c>
      <c r="I136" s="198">
        <f t="shared" si="34"/>
        <v>0</v>
      </c>
      <c r="J136" s="198">
        <f t="shared" si="34"/>
        <v>0</v>
      </c>
      <c r="K136" s="198">
        <f t="shared" si="34"/>
        <v>0</v>
      </c>
      <c r="L136" s="198">
        <f t="shared" si="34"/>
        <v>0</v>
      </c>
      <c r="M136" s="198">
        <f t="shared" si="34"/>
        <v>0</v>
      </c>
      <c r="N136" s="198">
        <f t="shared" si="34"/>
        <v>0</v>
      </c>
      <c r="O136" s="198">
        <f t="shared" si="34"/>
        <v>0</v>
      </c>
      <c r="P136" s="198">
        <f t="shared" si="34"/>
        <v>0</v>
      </c>
    </row>
    <row r="137" spans="1:16" s="166" customFormat="1" ht="12.6">
      <c r="A137" s="182" t="s">
        <v>130</v>
      </c>
      <c r="B137" s="163" t="s">
        <v>248</v>
      </c>
      <c r="C137" s="170"/>
      <c r="D137" s="171"/>
      <c r="E137" s="161">
        <f t="shared" ref="E137:H138" si="35">-E48*(D45+E45)/2*3/12</f>
        <v>0</v>
      </c>
      <c r="F137" s="161">
        <f t="shared" si="35"/>
        <v>0</v>
      </c>
      <c r="G137" s="161">
        <f t="shared" si="35"/>
        <v>0</v>
      </c>
      <c r="H137" s="161">
        <f t="shared" si="35"/>
        <v>0</v>
      </c>
      <c r="I137" s="161">
        <f t="shared" ref="I137:P138" si="36">-I48*(H45+I45)/2*6/12</f>
        <v>0</v>
      </c>
      <c r="J137" s="161">
        <f t="shared" si="36"/>
        <v>0</v>
      </c>
      <c r="K137" s="161">
        <f t="shared" si="36"/>
        <v>0</v>
      </c>
      <c r="L137" s="161">
        <f t="shared" si="36"/>
        <v>0</v>
      </c>
      <c r="M137" s="161">
        <f t="shared" si="36"/>
        <v>0</v>
      </c>
      <c r="N137" s="161">
        <f t="shared" si="36"/>
        <v>0</v>
      </c>
      <c r="O137" s="161">
        <f t="shared" si="36"/>
        <v>0</v>
      </c>
      <c r="P137" s="161">
        <f t="shared" si="36"/>
        <v>0</v>
      </c>
    </row>
    <row r="138" spans="1:16" s="166" customFormat="1" ht="12.6">
      <c r="A138" s="182" t="s">
        <v>268</v>
      </c>
      <c r="B138" s="163" t="s">
        <v>248</v>
      </c>
      <c r="C138" s="204"/>
      <c r="D138" s="171"/>
      <c r="E138" s="161">
        <f t="shared" si="35"/>
        <v>0</v>
      </c>
      <c r="F138" s="161">
        <f t="shared" si="35"/>
        <v>0</v>
      </c>
      <c r="G138" s="161">
        <f t="shared" si="35"/>
        <v>0</v>
      </c>
      <c r="H138" s="161">
        <f t="shared" si="35"/>
        <v>0</v>
      </c>
      <c r="I138" s="161">
        <f t="shared" si="36"/>
        <v>0</v>
      </c>
      <c r="J138" s="161">
        <f t="shared" si="36"/>
        <v>0</v>
      </c>
      <c r="K138" s="161">
        <f t="shared" si="36"/>
        <v>0</v>
      </c>
      <c r="L138" s="161">
        <f t="shared" si="36"/>
        <v>0</v>
      </c>
      <c r="M138" s="161">
        <f t="shared" si="36"/>
        <v>0</v>
      </c>
      <c r="N138" s="161">
        <f t="shared" si="36"/>
        <v>0</v>
      </c>
      <c r="O138" s="161">
        <f t="shared" si="36"/>
        <v>0</v>
      </c>
      <c r="P138" s="161">
        <f t="shared" si="36"/>
        <v>0</v>
      </c>
    </row>
    <row r="139" spans="1:16" s="162" customFormat="1" ht="14.4">
      <c r="A139" s="169" t="s">
        <v>273</v>
      </c>
      <c r="B139" s="121"/>
      <c r="C139" s="138"/>
      <c r="D139" s="138"/>
      <c r="E139" s="161">
        <f>SUM(E140:E141)</f>
        <v>0</v>
      </c>
      <c r="F139" s="161">
        <f>SUM(F140:F141)</f>
        <v>0</v>
      </c>
      <c r="G139" s="161">
        <f t="shared" ref="G139:P139" si="37">SUM(G140:G141)</f>
        <v>-4239.3819999999996</v>
      </c>
      <c r="H139" s="161">
        <f t="shared" si="37"/>
        <v>-185.41599999999954</v>
      </c>
      <c r="I139" s="161">
        <f t="shared" si="37"/>
        <v>-168.46200000000047</v>
      </c>
      <c r="J139" s="161">
        <f t="shared" si="37"/>
        <v>-184.04400000000001</v>
      </c>
      <c r="K139" s="161">
        <f t="shared" si="37"/>
        <v>-177.67400000000001</v>
      </c>
      <c r="L139" s="161">
        <f t="shared" si="37"/>
        <v>-159.34799999999896</v>
      </c>
      <c r="M139" s="161">
        <f t="shared" si="37"/>
        <v>-277.73200000000105</v>
      </c>
      <c r="N139" s="161">
        <f t="shared" si="37"/>
        <v>-284.69</v>
      </c>
      <c r="O139" s="161">
        <f t="shared" si="37"/>
        <v>-349.07600000000002</v>
      </c>
      <c r="P139" s="161">
        <f t="shared" si="37"/>
        <v>-355.25</v>
      </c>
    </row>
    <row r="140" spans="1:16" s="119" customFormat="1" ht="12.6">
      <c r="A140" s="181" t="s">
        <v>130</v>
      </c>
      <c r="B140" s="121" t="s">
        <v>248</v>
      </c>
      <c r="C140" s="138"/>
      <c r="D140" s="174"/>
      <c r="E140" s="165">
        <f>-(E45-D45)*E54</f>
        <v>0</v>
      </c>
      <c r="F140" s="165">
        <f t="shared" ref="F140:P140" si="38">-(F45-E45)*F54</f>
        <v>0</v>
      </c>
      <c r="G140" s="165">
        <f t="shared" si="38"/>
        <v>-3633.7559999999999</v>
      </c>
      <c r="H140" s="165">
        <f t="shared" si="38"/>
        <v>-158.92799999999954</v>
      </c>
      <c r="I140" s="165">
        <f t="shared" si="38"/>
        <v>-144.39600000000047</v>
      </c>
      <c r="J140" s="165">
        <f t="shared" si="38"/>
        <v>-157.75200000000001</v>
      </c>
      <c r="K140" s="165">
        <f t="shared" si="38"/>
        <v>-152.292</v>
      </c>
      <c r="L140" s="165">
        <f t="shared" si="38"/>
        <v>-136.58399999999907</v>
      </c>
      <c r="M140" s="165">
        <f t="shared" si="38"/>
        <v>-238.05600000000095</v>
      </c>
      <c r="N140" s="165">
        <f t="shared" si="38"/>
        <v>-244.02</v>
      </c>
      <c r="O140" s="165">
        <f t="shared" si="38"/>
        <v>-299.20800000000003</v>
      </c>
      <c r="P140" s="165">
        <f t="shared" si="38"/>
        <v>-304.5</v>
      </c>
    </row>
    <row r="141" spans="1:16" s="119" customFormat="1" ht="12.6">
      <c r="A141" s="181" t="s">
        <v>268</v>
      </c>
      <c r="B141" s="121" t="s">
        <v>248</v>
      </c>
      <c r="C141" s="138"/>
      <c r="D141" s="174"/>
      <c r="E141" s="165">
        <f t="shared" ref="E141:P141" si="39">-(E46-D46)*E55</f>
        <v>0</v>
      </c>
      <c r="F141" s="165">
        <f t="shared" si="39"/>
        <v>0</v>
      </c>
      <c r="G141" s="165">
        <f t="shared" si="39"/>
        <v>-605.62599999999998</v>
      </c>
      <c r="H141" s="165">
        <f t="shared" si="39"/>
        <v>-26.488</v>
      </c>
      <c r="I141" s="165">
        <f t="shared" si="39"/>
        <v>-24.065999999999999</v>
      </c>
      <c r="J141" s="165">
        <f t="shared" si="39"/>
        <v>-26.292000000000002</v>
      </c>
      <c r="K141" s="165">
        <f t="shared" si="39"/>
        <v>-25.382000000000001</v>
      </c>
      <c r="L141" s="165">
        <f t="shared" si="39"/>
        <v>-22.763999999999886</v>
      </c>
      <c r="M141" s="165">
        <f t="shared" si="39"/>
        <v>-39.676000000000116</v>
      </c>
      <c r="N141" s="165">
        <f t="shared" si="39"/>
        <v>-40.67</v>
      </c>
      <c r="O141" s="165">
        <f t="shared" si="39"/>
        <v>-49.868000000000002</v>
      </c>
      <c r="P141" s="165">
        <f t="shared" si="39"/>
        <v>-50.75</v>
      </c>
    </row>
    <row r="142" spans="1:16" s="177" customFormat="1" ht="12.6">
      <c r="A142" s="176" t="s">
        <v>232</v>
      </c>
      <c r="B142" s="121" t="s">
        <v>248</v>
      </c>
      <c r="E142" s="178">
        <f t="shared" ref="E142:P142" si="40">E133+E136+E139</f>
        <v>0</v>
      </c>
      <c r="F142" s="178">
        <f t="shared" si="40"/>
        <v>0</v>
      </c>
      <c r="G142" s="178">
        <f t="shared" si="40"/>
        <v>19228.625500000002</v>
      </c>
      <c r="H142" s="178">
        <f t="shared" si="40"/>
        <v>47777.009000000005</v>
      </c>
      <c r="I142" s="178">
        <f t="shared" si="40"/>
        <v>99674.323000000004</v>
      </c>
      <c r="J142" s="178">
        <f t="shared" si="40"/>
        <v>103561.48600000002</v>
      </c>
      <c r="K142" s="178">
        <f t="shared" si="40"/>
        <v>107572.59100000001</v>
      </c>
      <c r="L142" s="178">
        <f t="shared" si="40"/>
        <v>111322.23200000002</v>
      </c>
      <c r="M142" s="178">
        <f t="shared" si="40"/>
        <v>116042.948</v>
      </c>
      <c r="N142" s="178">
        <f t="shared" si="40"/>
        <v>122262.80500000002</v>
      </c>
      <c r="O142" s="178">
        <f t="shared" si="40"/>
        <v>129215.11400000002</v>
      </c>
      <c r="P142" s="178">
        <f t="shared" si="40"/>
        <v>137006.83500000002</v>
      </c>
    </row>
    <row r="143" spans="1:16" s="177" customFormat="1" ht="12.6">
      <c r="A143" s="176" t="s">
        <v>233</v>
      </c>
      <c r="B143" s="179" t="s">
        <v>231</v>
      </c>
      <c r="E143" s="180" t="e">
        <f>E142*4/((D45+E45)/2)</f>
        <v>#DIV/0!</v>
      </c>
      <c r="F143" s="180" t="e">
        <f>F142*4/((E45+F45)/2)</f>
        <v>#DIV/0!</v>
      </c>
      <c r="G143" s="180">
        <f>G142*4/((F45+G45)/2)</f>
        <v>8.4666666666666682E-2</v>
      </c>
      <c r="H143" s="180">
        <f>H142*4/((G45+H45)/2)</f>
        <v>0.10293386117709159</v>
      </c>
      <c r="I143" s="180">
        <f t="shared" ref="I143:P143" si="41">I142*2/((H45+I45)/2)</f>
        <v>0.10315898182661204</v>
      </c>
      <c r="J143" s="180">
        <f t="shared" si="41"/>
        <v>0.10315002056795444</v>
      </c>
      <c r="K143" s="180">
        <f t="shared" si="41"/>
        <v>0.10316294260003291</v>
      </c>
      <c r="L143" s="180">
        <f t="shared" si="41"/>
        <v>0.10318563216153438</v>
      </c>
      <c r="M143" s="180">
        <f t="shared" si="41"/>
        <v>0.10308661045195633</v>
      </c>
      <c r="N143" s="180">
        <f t="shared" si="41"/>
        <v>0.1030932797388746</v>
      </c>
      <c r="O143" s="180">
        <f t="shared" si="41"/>
        <v>0.10305492934943419</v>
      </c>
      <c r="P143" s="180">
        <f t="shared" si="41"/>
        <v>0.10306608952535921</v>
      </c>
    </row>
    <row r="144" spans="1:16" s="166" customFormat="1" ht="12.6">
      <c r="A144" s="169" t="s">
        <v>264</v>
      </c>
      <c r="B144" s="121" t="s">
        <v>248</v>
      </c>
      <c r="C144" s="170"/>
      <c r="D144" s="174"/>
      <c r="E144" s="185">
        <f>E145+E148+E151+E155+E156</f>
        <v>0</v>
      </c>
      <c r="F144" s="185">
        <f t="shared" ref="F144:P144" si="42">F145+F148+F151+F155+F156</f>
        <v>0</v>
      </c>
      <c r="G144" s="185">
        <f t="shared" si="42"/>
        <v>68132.925000000003</v>
      </c>
      <c r="H144" s="185">
        <f t="shared" si="42"/>
        <v>139245.75</v>
      </c>
      <c r="I144" s="185">
        <f t="shared" si="42"/>
        <v>289866.15000000002</v>
      </c>
      <c r="J144" s="185">
        <f t="shared" si="42"/>
        <v>301196.69999999995</v>
      </c>
      <c r="K144" s="185">
        <f t="shared" si="42"/>
        <v>312823.34999999998</v>
      </c>
      <c r="L144" s="185">
        <f t="shared" si="42"/>
        <v>323656.1999999999</v>
      </c>
      <c r="M144" s="185">
        <f t="shared" si="42"/>
        <v>337705.19999999995</v>
      </c>
      <c r="N144" s="185">
        <f t="shared" si="42"/>
        <v>355783.04999999993</v>
      </c>
      <c r="O144" s="185">
        <f t="shared" si="42"/>
        <v>376154.09999999992</v>
      </c>
      <c r="P144" s="185">
        <f t="shared" si="42"/>
        <v>398793.15</v>
      </c>
    </row>
    <row r="145" spans="1:16" s="119" customFormat="1" ht="12.6">
      <c r="A145" s="164" t="s">
        <v>250</v>
      </c>
      <c r="B145" s="121" t="s">
        <v>248</v>
      </c>
      <c r="C145" s="170"/>
      <c r="D145" s="174"/>
      <c r="E145" s="185">
        <f>E146+E147</f>
        <v>0</v>
      </c>
      <c r="F145" s="185">
        <f t="shared" ref="F145:O145" si="43">F146+F147</f>
        <v>0</v>
      </c>
      <c r="G145" s="185">
        <f t="shared" si="43"/>
        <v>20439.877500000002</v>
      </c>
      <c r="H145" s="185">
        <f t="shared" si="43"/>
        <v>41773.725000000006</v>
      </c>
      <c r="I145" s="185">
        <f t="shared" si="43"/>
        <v>86959.845000000001</v>
      </c>
      <c r="J145" s="185">
        <f t="shared" si="43"/>
        <v>90359.010000000009</v>
      </c>
      <c r="K145" s="185">
        <f t="shared" si="43"/>
        <v>93847.00499999999</v>
      </c>
      <c r="L145" s="185">
        <f t="shared" si="43"/>
        <v>97096.859999999986</v>
      </c>
      <c r="M145" s="185">
        <f t="shared" si="43"/>
        <v>101311.56</v>
      </c>
      <c r="N145" s="185">
        <f t="shared" si="43"/>
        <v>106734.91500000001</v>
      </c>
      <c r="O145" s="185">
        <f t="shared" si="43"/>
        <v>112846.22999999998</v>
      </c>
      <c r="P145" s="185">
        <f>P146+P147</f>
        <v>119637.94500000001</v>
      </c>
    </row>
    <row r="146" spans="1:16" s="119" customFormat="1" ht="12.6">
      <c r="A146" s="167" t="s">
        <v>251</v>
      </c>
      <c r="B146" s="121" t="s">
        <v>248</v>
      </c>
      <c r="C146" s="138"/>
      <c r="D146" s="174"/>
      <c r="E146" s="185">
        <f t="shared" ref="E146:P146" si="44">E90*E76</f>
        <v>0</v>
      </c>
      <c r="F146" s="185">
        <f t="shared" si="44"/>
        <v>0</v>
      </c>
      <c r="G146" s="185">
        <f t="shared" si="44"/>
        <v>13626.585000000001</v>
      </c>
      <c r="H146" s="185">
        <f t="shared" si="44"/>
        <v>27849.15</v>
      </c>
      <c r="I146" s="185">
        <f t="shared" si="44"/>
        <v>57973.23</v>
      </c>
      <c r="J146" s="185">
        <f t="shared" si="44"/>
        <v>60239.340000000004</v>
      </c>
      <c r="K146" s="185">
        <f t="shared" si="44"/>
        <v>62564.669999999991</v>
      </c>
      <c r="L146" s="185">
        <f t="shared" si="44"/>
        <v>64731.239999999991</v>
      </c>
      <c r="M146" s="185">
        <f t="shared" si="44"/>
        <v>67541.039999999994</v>
      </c>
      <c r="N146" s="185">
        <f t="shared" si="44"/>
        <v>71156.61</v>
      </c>
      <c r="O146" s="185">
        <f t="shared" si="44"/>
        <v>75230.819999999992</v>
      </c>
      <c r="P146" s="185">
        <f t="shared" si="44"/>
        <v>79758.63</v>
      </c>
    </row>
    <row r="147" spans="1:16" s="119" customFormat="1" ht="12.6">
      <c r="A147" s="167" t="s">
        <v>252</v>
      </c>
      <c r="B147" s="121" t="s">
        <v>248</v>
      </c>
      <c r="C147" s="138"/>
      <c r="D147" s="174"/>
      <c r="E147" s="185">
        <f t="shared" ref="E147:P147" si="45">E91*E77</f>
        <v>0</v>
      </c>
      <c r="F147" s="185">
        <f t="shared" si="45"/>
        <v>0</v>
      </c>
      <c r="G147" s="185">
        <f t="shared" si="45"/>
        <v>6813.2925000000005</v>
      </c>
      <c r="H147" s="185">
        <f t="shared" si="45"/>
        <v>13924.575000000001</v>
      </c>
      <c r="I147" s="185">
        <f t="shared" si="45"/>
        <v>28986.615000000002</v>
      </c>
      <c r="J147" s="185">
        <f t="shared" si="45"/>
        <v>30119.670000000002</v>
      </c>
      <c r="K147" s="185">
        <f t="shared" si="45"/>
        <v>31282.334999999995</v>
      </c>
      <c r="L147" s="185">
        <f t="shared" si="45"/>
        <v>32365.619999999995</v>
      </c>
      <c r="M147" s="185">
        <f t="shared" si="45"/>
        <v>33770.519999999997</v>
      </c>
      <c r="N147" s="185">
        <f t="shared" si="45"/>
        <v>35578.305</v>
      </c>
      <c r="O147" s="185">
        <f t="shared" si="45"/>
        <v>37615.409999999996</v>
      </c>
      <c r="P147" s="185">
        <f t="shared" si="45"/>
        <v>39879.315000000002</v>
      </c>
    </row>
    <row r="148" spans="1:16" s="119" customFormat="1" ht="12.6">
      <c r="A148" s="164" t="s">
        <v>253</v>
      </c>
      <c r="B148" s="121" t="s">
        <v>248</v>
      </c>
      <c r="C148" s="138"/>
      <c r="D148" s="174"/>
      <c r="E148" s="185">
        <f>E149+E150</f>
        <v>0</v>
      </c>
      <c r="F148" s="185">
        <f t="shared" ref="F148:P148" si="46">F149+F150</f>
        <v>0</v>
      </c>
      <c r="G148" s="185">
        <f t="shared" si="46"/>
        <v>30659.816250000003</v>
      </c>
      <c r="H148" s="185">
        <f t="shared" si="46"/>
        <v>62660.587500000001</v>
      </c>
      <c r="I148" s="185">
        <f t="shared" si="46"/>
        <v>130439.76750000002</v>
      </c>
      <c r="J148" s="185">
        <f t="shared" si="46"/>
        <v>135538.51500000001</v>
      </c>
      <c r="K148" s="185">
        <f t="shared" si="46"/>
        <v>140770.50749999998</v>
      </c>
      <c r="L148" s="185">
        <f t="shared" si="46"/>
        <v>145645.28999999998</v>
      </c>
      <c r="M148" s="185">
        <f t="shared" si="46"/>
        <v>151967.33999999997</v>
      </c>
      <c r="N148" s="185">
        <f t="shared" si="46"/>
        <v>160102.3725</v>
      </c>
      <c r="O148" s="185">
        <f t="shared" si="46"/>
        <v>169269.34499999997</v>
      </c>
      <c r="P148" s="185">
        <f t="shared" si="46"/>
        <v>179456.91750000001</v>
      </c>
    </row>
    <row r="149" spans="1:16" s="119" customFormat="1" ht="12.6">
      <c r="A149" s="167" t="s">
        <v>251</v>
      </c>
      <c r="B149" s="121" t="s">
        <v>248</v>
      </c>
      <c r="C149" s="138"/>
      <c r="D149" s="174"/>
      <c r="E149" s="185">
        <f t="shared" ref="E149:P149" si="47">E93*E79</f>
        <v>0</v>
      </c>
      <c r="F149" s="185">
        <f t="shared" si="47"/>
        <v>0</v>
      </c>
      <c r="G149" s="185">
        <f t="shared" si="47"/>
        <v>13626.585000000001</v>
      </c>
      <c r="H149" s="185">
        <f t="shared" si="47"/>
        <v>27849.15</v>
      </c>
      <c r="I149" s="185">
        <f t="shared" si="47"/>
        <v>57973.23</v>
      </c>
      <c r="J149" s="185">
        <f t="shared" si="47"/>
        <v>60239.340000000004</v>
      </c>
      <c r="K149" s="185">
        <f t="shared" si="47"/>
        <v>62564.669999999991</v>
      </c>
      <c r="L149" s="185">
        <f t="shared" si="47"/>
        <v>64731.239999999991</v>
      </c>
      <c r="M149" s="185">
        <f t="shared" si="47"/>
        <v>67541.039999999994</v>
      </c>
      <c r="N149" s="185">
        <f t="shared" si="47"/>
        <v>71156.61</v>
      </c>
      <c r="O149" s="185">
        <f t="shared" si="47"/>
        <v>75230.819999999992</v>
      </c>
      <c r="P149" s="185">
        <f t="shared" si="47"/>
        <v>79758.63</v>
      </c>
    </row>
    <row r="150" spans="1:16" s="119" customFormat="1" ht="12.6">
      <c r="A150" s="167" t="s">
        <v>252</v>
      </c>
      <c r="B150" s="121" t="s">
        <v>248</v>
      </c>
      <c r="C150" s="138"/>
      <c r="D150" s="174"/>
      <c r="E150" s="185">
        <f t="shared" ref="E150:P150" si="48">E94*E80</f>
        <v>0</v>
      </c>
      <c r="F150" s="185">
        <f t="shared" si="48"/>
        <v>0</v>
      </c>
      <c r="G150" s="185">
        <f t="shared" si="48"/>
        <v>17033.231250000001</v>
      </c>
      <c r="H150" s="185">
        <f t="shared" si="48"/>
        <v>34811.4375</v>
      </c>
      <c r="I150" s="185">
        <f t="shared" si="48"/>
        <v>72466.537500000006</v>
      </c>
      <c r="J150" s="185">
        <f t="shared" si="48"/>
        <v>75299.175000000003</v>
      </c>
      <c r="K150" s="185">
        <f t="shared" si="48"/>
        <v>78205.83749999998</v>
      </c>
      <c r="L150" s="185">
        <f t="shared" si="48"/>
        <v>80914.049999999988</v>
      </c>
      <c r="M150" s="185">
        <f t="shared" si="48"/>
        <v>84426.299999999988</v>
      </c>
      <c r="N150" s="185">
        <f t="shared" si="48"/>
        <v>88945.762499999997</v>
      </c>
      <c r="O150" s="185">
        <f t="shared" si="48"/>
        <v>94038.52499999998</v>
      </c>
      <c r="P150" s="185">
        <f t="shared" si="48"/>
        <v>99698.287500000006</v>
      </c>
    </row>
    <row r="151" spans="1:16" s="119" customFormat="1" ht="12.6">
      <c r="A151" s="164" t="s">
        <v>254</v>
      </c>
      <c r="B151" s="121" t="s">
        <v>248</v>
      </c>
      <c r="C151" s="138"/>
      <c r="D151" s="174"/>
      <c r="E151" s="185">
        <f>E152+E153+E154</f>
        <v>0</v>
      </c>
      <c r="F151" s="185">
        <f t="shared" ref="F151:P151" si="49">F152+F153+F154</f>
        <v>0</v>
      </c>
      <c r="G151" s="185">
        <f t="shared" si="49"/>
        <v>7494.6217500000002</v>
      </c>
      <c r="H151" s="185">
        <f t="shared" si="49"/>
        <v>15317.032500000001</v>
      </c>
      <c r="I151" s="185">
        <f t="shared" si="49"/>
        <v>31885.2765</v>
      </c>
      <c r="J151" s="185">
        <f t="shared" si="49"/>
        <v>33131.637000000002</v>
      </c>
      <c r="K151" s="185">
        <f t="shared" si="49"/>
        <v>34410.568499999994</v>
      </c>
      <c r="L151" s="185">
        <f t="shared" si="49"/>
        <v>35602.181999999993</v>
      </c>
      <c r="M151" s="185">
        <f t="shared" si="49"/>
        <v>37147.572</v>
      </c>
      <c r="N151" s="185">
        <f t="shared" si="49"/>
        <v>39136.135500000004</v>
      </c>
      <c r="O151" s="185">
        <f t="shared" si="49"/>
        <v>41376.950999999994</v>
      </c>
      <c r="P151" s="185">
        <f t="shared" si="49"/>
        <v>43867.246500000001</v>
      </c>
    </row>
    <row r="152" spans="1:16" s="119" customFormat="1" ht="12.6">
      <c r="A152" s="167" t="s">
        <v>255</v>
      </c>
      <c r="B152" s="121" t="s">
        <v>248</v>
      </c>
      <c r="C152" s="138"/>
      <c r="D152" s="174"/>
      <c r="E152" s="185">
        <f t="shared" ref="E152:P152" si="50">E96*E82</f>
        <v>0</v>
      </c>
      <c r="F152" s="185">
        <f t="shared" si="50"/>
        <v>0</v>
      </c>
      <c r="G152" s="185">
        <f t="shared" si="50"/>
        <v>3406.6462500000002</v>
      </c>
      <c r="H152" s="185">
        <f t="shared" si="50"/>
        <v>6962.2875000000004</v>
      </c>
      <c r="I152" s="185">
        <f t="shared" si="50"/>
        <v>14493.307500000001</v>
      </c>
      <c r="J152" s="185">
        <f t="shared" si="50"/>
        <v>15059.835000000001</v>
      </c>
      <c r="K152" s="185">
        <f t="shared" si="50"/>
        <v>15641.167499999998</v>
      </c>
      <c r="L152" s="185">
        <f t="shared" si="50"/>
        <v>16182.809999999998</v>
      </c>
      <c r="M152" s="185">
        <f t="shared" si="50"/>
        <v>16885.259999999998</v>
      </c>
      <c r="N152" s="185">
        <f t="shared" si="50"/>
        <v>17789.1525</v>
      </c>
      <c r="O152" s="185">
        <f t="shared" si="50"/>
        <v>18807.704999999998</v>
      </c>
      <c r="P152" s="185">
        <f t="shared" si="50"/>
        <v>19939.657500000001</v>
      </c>
    </row>
    <row r="153" spans="1:16" s="119" customFormat="1" ht="12.6">
      <c r="A153" s="167" t="s">
        <v>256</v>
      </c>
      <c r="B153" s="121" t="s">
        <v>248</v>
      </c>
      <c r="C153" s="138"/>
      <c r="D153" s="174"/>
      <c r="E153" s="185">
        <f t="shared" ref="E153:P153" si="51">E97*E83</f>
        <v>0</v>
      </c>
      <c r="F153" s="185">
        <f t="shared" si="51"/>
        <v>0</v>
      </c>
      <c r="G153" s="185">
        <f t="shared" si="51"/>
        <v>3406.6462500000002</v>
      </c>
      <c r="H153" s="185">
        <f t="shared" si="51"/>
        <v>6962.2875000000004</v>
      </c>
      <c r="I153" s="185">
        <f t="shared" si="51"/>
        <v>14493.307500000001</v>
      </c>
      <c r="J153" s="185">
        <f t="shared" si="51"/>
        <v>15059.835000000001</v>
      </c>
      <c r="K153" s="185">
        <f t="shared" si="51"/>
        <v>15641.167499999998</v>
      </c>
      <c r="L153" s="185">
        <f t="shared" si="51"/>
        <v>16182.809999999998</v>
      </c>
      <c r="M153" s="185">
        <f t="shared" si="51"/>
        <v>16885.259999999998</v>
      </c>
      <c r="N153" s="185">
        <f t="shared" si="51"/>
        <v>17789.1525</v>
      </c>
      <c r="O153" s="185">
        <f t="shared" si="51"/>
        <v>18807.704999999998</v>
      </c>
      <c r="P153" s="185">
        <f t="shared" si="51"/>
        <v>19939.657500000001</v>
      </c>
    </row>
    <row r="154" spans="1:16" s="119" customFormat="1" ht="12.6">
      <c r="A154" s="167" t="s">
        <v>257</v>
      </c>
      <c r="B154" s="121" t="s">
        <v>248</v>
      </c>
      <c r="C154" s="138"/>
      <c r="D154" s="174"/>
      <c r="E154" s="185">
        <f t="shared" ref="E154:P154" si="52">E98*E84</f>
        <v>0</v>
      </c>
      <c r="F154" s="185">
        <f t="shared" si="52"/>
        <v>0</v>
      </c>
      <c r="G154" s="185">
        <f t="shared" si="52"/>
        <v>681.32925</v>
      </c>
      <c r="H154" s="185">
        <f t="shared" si="52"/>
        <v>1392.4575</v>
      </c>
      <c r="I154" s="185">
        <f t="shared" si="52"/>
        <v>2898.6615000000002</v>
      </c>
      <c r="J154" s="185">
        <f t="shared" si="52"/>
        <v>3011.9670000000001</v>
      </c>
      <c r="K154" s="185">
        <f t="shared" si="52"/>
        <v>3128.2334999999994</v>
      </c>
      <c r="L154" s="185">
        <f t="shared" si="52"/>
        <v>3236.5619999999994</v>
      </c>
      <c r="M154" s="185">
        <f t="shared" si="52"/>
        <v>3377.0519999999997</v>
      </c>
      <c r="N154" s="185">
        <f t="shared" si="52"/>
        <v>3557.8305</v>
      </c>
      <c r="O154" s="185">
        <f t="shared" si="52"/>
        <v>3761.5409999999993</v>
      </c>
      <c r="P154" s="185">
        <f t="shared" si="52"/>
        <v>3987.9315000000001</v>
      </c>
    </row>
    <row r="155" spans="1:16" s="119" customFormat="1" ht="12.6">
      <c r="A155" s="164" t="s">
        <v>258</v>
      </c>
      <c r="B155" s="121" t="s">
        <v>248</v>
      </c>
      <c r="C155" s="138"/>
      <c r="D155" s="174"/>
      <c r="E155" s="185">
        <f t="shared" ref="E155:P155" si="53">E99*E85</f>
        <v>0</v>
      </c>
      <c r="F155" s="185">
        <f t="shared" si="53"/>
        <v>0</v>
      </c>
      <c r="G155" s="185">
        <f t="shared" si="53"/>
        <v>6813.2925000000005</v>
      </c>
      <c r="H155" s="185">
        <f t="shared" si="53"/>
        <v>13924.575000000001</v>
      </c>
      <c r="I155" s="185">
        <f t="shared" si="53"/>
        <v>28986.615000000002</v>
      </c>
      <c r="J155" s="185">
        <f t="shared" si="53"/>
        <v>30119.670000000002</v>
      </c>
      <c r="K155" s="185">
        <f t="shared" si="53"/>
        <v>31282.334999999995</v>
      </c>
      <c r="L155" s="185">
        <f t="shared" si="53"/>
        <v>32365.619999999995</v>
      </c>
      <c r="M155" s="185">
        <f t="shared" si="53"/>
        <v>33770.519999999997</v>
      </c>
      <c r="N155" s="185">
        <f t="shared" si="53"/>
        <v>35578.305</v>
      </c>
      <c r="O155" s="185">
        <f t="shared" si="53"/>
        <v>37615.409999999996</v>
      </c>
      <c r="P155" s="185">
        <f t="shared" si="53"/>
        <v>39879.315000000002</v>
      </c>
    </row>
    <row r="156" spans="1:16" s="119" customFormat="1" ht="12.6">
      <c r="A156" s="164" t="s">
        <v>259</v>
      </c>
      <c r="B156" s="121" t="s">
        <v>248</v>
      </c>
      <c r="C156" s="138"/>
      <c r="D156" s="174"/>
      <c r="E156" s="185">
        <f t="shared" ref="E156:P156" si="54">E100*E86</f>
        <v>0</v>
      </c>
      <c r="F156" s="185">
        <f t="shared" si="54"/>
        <v>0</v>
      </c>
      <c r="G156" s="185">
        <f t="shared" si="54"/>
        <v>2725.3169999999968</v>
      </c>
      <c r="H156" s="185">
        <f t="shared" si="54"/>
        <v>5569.8299999999936</v>
      </c>
      <c r="I156" s="185">
        <f t="shared" si="54"/>
        <v>11594.645999999988</v>
      </c>
      <c r="J156" s="185">
        <f t="shared" si="54"/>
        <v>12047.867999999986</v>
      </c>
      <c r="K156" s="185">
        <f t="shared" si="54"/>
        <v>12512.933999999983</v>
      </c>
      <c r="L156" s="185">
        <f t="shared" si="54"/>
        <v>12946.247999999981</v>
      </c>
      <c r="M156" s="185">
        <f t="shared" si="54"/>
        <v>13508.207999999982</v>
      </c>
      <c r="N156" s="185">
        <f t="shared" si="54"/>
        <v>14231.321999999984</v>
      </c>
      <c r="O156" s="185">
        <f t="shared" si="54"/>
        <v>15046.163999999979</v>
      </c>
      <c r="P156" s="185">
        <f t="shared" si="54"/>
        <v>15951.725999999981</v>
      </c>
    </row>
    <row r="157" spans="1:16" s="166" customFormat="1" ht="12.6">
      <c r="A157" s="169" t="s">
        <v>345</v>
      </c>
      <c r="B157" s="163"/>
      <c r="C157" s="170"/>
      <c r="D157" s="174"/>
      <c r="E157" s="184"/>
      <c r="F157" s="184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</row>
    <row r="158" spans="1:16" s="166" customFormat="1" ht="12.6">
      <c r="A158" s="164" t="s">
        <v>325</v>
      </c>
      <c r="B158" s="163" t="s">
        <v>248</v>
      </c>
      <c r="C158" s="170"/>
      <c r="D158" s="171"/>
      <c r="E158" s="203">
        <f>E103*E80</f>
        <v>0</v>
      </c>
      <c r="F158" s="203">
        <f t="shared" ref="F158:P158" si="55">F103*F80</f>
        <v>0</v>
      </c>
      <c r="G158" s="203">
        <f t="shared" si="55"/>
        <v>17033.231250000001</v>
      </c>
      <c r="H158" s="203">
        <f t="shared" si="55"/>
        <v>34811.4375</v>
      </c>
      <c r="I158" s="203">
        <f t="shared" si="55"/>
        <v>72466.537500000006</v>
      </c>
      <c r="J158" s="203">
        <f t="shared" si="55"/>
        <v>75299.175000000003</v>
      </c>
      <c r="K158" s="203">
        <f t="shared" si="55"/>
        <v>78205.83749999998</v>
      </c>
      <c r="L158" s="203">
        <f t="shared" si="55"/>
        <v>80914.049999999988</v>
      </c>
      <c r="M158" s="203">
        <f t="shared" si="55"/>
        <v>84426.299999999988</v>
      </c>
      <c r="N158" s="203">
        <f t="shared" si="55"/>
        <v>88945.762499999997</v>
      </c>
      <c r="O158" s="203">
        <f t="shared" si="55"/>
        <v>94038.52499999998</v>
      </c>
      <c r="P158" s="203">
        <f t="shared" si="55"/>
        <v>99698.287500000006</v>
      </c>
    </row>
    <row r="159" spans="1:16" s="166" customFormat="1" ht="12.6">
      <c r="A159" s="169" t="s">
        <v>347</v>
      </c>
      <c r="B159" s="121" t="s">
        <v>248</v>
      </c>
      <c r="C159" s="170"/>
      <c r="D159" s="174"/>
      <c r="E159" s="211">
        <f>E160+E161</f>
        <v>0</v>
      </c>
      <c r="F159" s="211">
        <f t="shared" ref="F159:P159" si="56">F160+F161</f>
        <v>0</v>
      </c>
      <c r="G159" s="211">
        <f t="shared" si="56"/>
        <v>27253.17</v>
      </c>
      <c r="H159" s="211">
        <f t="shared" si="56"/>
        <v>28445.129999999997</v>
      </c>
      <c r="I159" s="211">
        <f t="shared" si="56"/>
        <v>59056.200000000004</v>
      </c>
      <c r="J159" s="211">
        <f t="shared" si="56"/>
        <v>61422.48000000001</v>
      </c>
      <c r="K159" s="211">
        <f t="shared" si="56"/>
        <v>63706.860000000008</v>
      </c>
      <c r="L159" s="211">
        <f t="shared" si="56"/>
        <v>65755.62</v>
      </c>
      <c r="M159" s="211">
        <f t="shared" si="56"/>
        <v>69326.459999999992</v>
      </c>
      <c r="N159" s="211">
        <f t="shared" si="56"/>
        <v>72986.759999999995</v>
      </c>
      <c r="O159" s="211">
        <f t="shared" si="56"/>
        <v>77474.880000000019</v>
      </c>
      <c r="P159" s="211">
        <f t="shared" si="56"/>
        <v>82042.380000000019</v>
      </c>
    </row>
    <row r="160" spans="1:16" s="119" customFormat="1" ht="12.6">
      <c r="A160" s="164" t="s">
        <v>354</v>
      </c>
      <c r="B160" s="121" t="s">
        <v>248</v>
      </c>
      <c r="C160" s="138"/>
      <c r="D160" s="174"/>
      <c r="E160" s="185">
        <f>E30*E109*3</f>
        <v>0</v>
      </c>
      <c r="F160" s="185">
        <f>F30*F109*3</f>
        <v>0</v>
      </c>
      <c r="G160" s="185">
        <f>G30*G109*3</f>
        <v>27253.17</v>
      </c>
      <c r="H160" s="185">
        <f>H30*H109*3</f>
        <v>28445.129999999997</v>
      </c>
      <c r="I160" s="185">
        <f t="shared" ref="I160:P160" si="57">I30*I109*6</f>
        <v>59056.200000000004</v>
      </c>
      <c r="J160" s="185">
        <f t="shared" si="57"/>
        <v>61422.48000000001</v>
      </c>
      <c r="K160" s="185">
        <f t="shared" si="57"/>
        <v>63706.860000000008</v>
      </c>
      <c r="L160" s="185">
        <f t="shared" si="57"/>
        <v>65755.62</v>
      </c>
      <c r="M160" s="185">
        <f t="shared" si="57"/>
        <v>69326.459999999992</v>
      </c>
      <c r="N160" s="185">
        <f t="shared" si="57"/>
        <v>72986.759999999995</v>
      </c>
      <c r="O160" s="185">
        <f t="shared" si="57"/>
        <v>77474.880000000019</v>
      </c>
      <c r="P160" s="185">
        <f t="shared" si="57"/>
        <v>82042.380000000019</v>
      </c>
    </row>
    <row r="161" spans="1:16" s="119" customFormat="1" ht="12.6">
      <c r="A161" s="164" t="s">
        <v>326</v>
      </c>
      <c r="B161" s="121" t="s">
        <v>248</v>
      </c>
      <c r="C161" s="138"/>
      <c r="D161" s="174"/>
      <c r="E161" s="185">
        <f>E30*E110*3</f>
        <v>0</v>
      </c>
      <c r="F161" s="185">
        <f>F30*F110*3</f>
        <v>0</v>
      </c>
      <c r="G161" s="185">
        <f>G30*G110*3</f>
        <v>0</v>
      </c>
      <c r="H161" s="185">
        <f>H30*H110*3</f>
        <v>0</v>
      </c>
      <c r="I161" s="185">
        <f t="shared" ref="I161:P161" si="58">I30*I110*6</f>
        <v>0</v>
      </c>
      <c r="J161" s="185">
        <f t="shared" si="58"/>
        <v>0</v>
      </c>
      <c r="K161" s="185">
        <f t="shared" si="58"/>
        <v>0</v>
      </c>
      <c r="L161" s="185">
        <f t="shared" si="58"/>
        <v>0</v>
      </c>
      <c r="M161" s="185">
        <f t="shared" si="58"/>
        <v>0</v>
      </c>
      <c r="N161" s="185">
        <f t="shared" si="58"/>
        <v>0</v>
      </c>
      <c r="O161" s="185">
        <f t="shared" si="58"/>
        <v>0</v>
      </c>
      <c r="P161" s="185">
        <f t="shared" si="58"/>
        <v>0</v>
      </c>
    </row>
    <row r="162" spans="1:16" s="166" customFormat="1" ht="12.6">
      <c r="A162" s="169" t="s">
        <v>266</v>
      </c>
      <c r="B162" s="121" t="s">
        <v>248</v>
      </c>
      <c r="C162" s="170"/>
      <c r="D162" s="174"/>
      <c r="E162" s="165">
        <f>E163+E166+E170+E174+E175</f>
        <v>0</v>
      </c>
      <c r="F162" s="165">
        <f t="shared" ref="F162:P162" si="59">F163+F166+F170+F174+F175</f>
        <v>0</v>
      </c>
      <c r="G162" s="165">
        <f t="shared" si="59"/>
        <v>-306.59816250000006</v>
      </c>
      <c r="H162" s="165">
        <f t="shared" si="59"/>
        <v>-626.60587500000008</v>
      </c>
      <c r="I162" s="165">
        <f t="shared" si="59"/>
        <v>-1304.3976750000002</v>
      </c>
      <c r="J162" s="165">
        <f t="shared" si="59"/>
        <v>-1355.3851500000001</v>
      </c>
      <c r="K162" s="165">
        <f t="shared" si="59"/>
        <v>-1407.7050749999999</v>
      </c>
      <c r="L162" s="165">
        <f t="shared" si="59"/>
        <v>-1456.4528999999998</v>
      </c>
      <c r="M162" s="165">
        <f t="shared" si="59"/>
        <v>-1519.6733999999997</v>
      </c>
      <c r="N162" s="165">
        <f t="shared" si="59"/>
        <v>-1601.023725</v>
      </c>
      <c r="O162" s="165">
        <f t="shared" si="59"/>
        <v>-1692.6934499999998</v>
      </c>
      <c r="P162" s="165">
        <f t="shared" si="59"/>
        <v>-1794.5691750000001</v>
      </c>
    </row>
    <row r="163" spans="1:16" s="119" customFormat="1" ht="12.6">
      <c r="A163" s="164" t="s">
        <v>250</v>
      </c>
      <c r="B163" s="121" t="s">
        <v>248</v>
      </c>
      <c r="C163" s="170"/>
      <c r="D163" s="174"/>
      <c r="E163" s="165">
        <f>E164+E165</f>
        <v>0</v>
      </c>
      <c r="F163" s="165">
        <f t="shared" ref="F163:P163" si="60">F164+F165</f>
        <v>0</v>
      </c>
      <c r="G163" s="165">
        <f t="shared" si="60"/>
        <v>0</v>
      </c>
      <c r="H163" s="165">
        <f t="shared" si="60"/>
        <v>0</v>
      </c>
      <c r="I163" s="165">
        <f t="shared" si="60"/>
        <v>0</v>
      </c>
      <c r="J163" s="165">
        <f t="shared" si="60"/>
        <v>0</v>
      </c>
      <c r="K163" s="165">
        <f t="shared" si="60"/>
        <v>0</v>
      </c>
      <c r="L163" s="165">
        <f t="shared" si="60"/>
        <v>0</v>
      </c>
      <c r="M163" s="165">
        <f t="shared" si="60"/>
        <v>0</v>
      </c>
      <c r="N163" s="165">
        <f t="shared" si="60"/>
        <v>0</v>
      </c>
      <c r="O163" s="165">
        <f t="shared" si="60"/>
        <v>0</v>
      </c>
      <c r="P163" s="165">
        <f t="shared" si="60"/>
        <v>0</v>
      </c>
    </row>
    <row r="164" spans="1:16" s="119" customFormat="1" ht="12.6">
      <c r="A164" s="167" t="s">
        <v>251</v>
      </c>
      <c r="B164" s="121" t="s">
        <v>248</v>
      </c>
      <c r="C164" s="138"/>
      <c r="D164" s="174"/>
      <c r="E164" s="165">
        <f t="shared" ref="E164:P164" si="61">-E114*E76</f>
        <v>0</v>
      </c>
      <c r="F164" s="165">
        <f t="shared" si="61"/>
        <v>0</v>
      </c>
      <c r="G164" s="165">
        <f t="shared" si="61"/>
        <v>0</v>
      </c>
      <c r="H164" s="165">
        <f t="shared" si="61"/>
        <v>0</v>
      </c>
      <c r="I164" s="165">
        <f t="shared" si="61"/>
        <v>0</v>
      </c>
      <c r="J164" s="165">
        <f t="shared" si="61"/>
        <v>0</v>
      </c>
      <c r="K164" s="165">
        <f t="shared" si="61"/>
        <v>0</v>
      </c>
      <c r="L164" s="165">
        <f t="shared" si="61"/>
        <v>0</v>
      </c>
      <c r="M164" s="165">
        <f t="shared" si="61"/>
        <v>0</v>
      </c>
      <c r="N164" s="165">
        <f t="shared" si="61"/>
        <v>0</v>
      </c>
      <c r="O164" s="165">
        <f t="shared" si="61"/>
        <v>0</v>
      </c>
      <c r="P164" s="165">
        <f t="shared" si="61"/>
        <v>0</v>
      </c>
    </row>
    <row r="165" spans="1:16" s="119" customFormat="1" ht="12.6">
      <c r="A165" s="167" t="s">
        <v>252</v>
      </c>
      <c r="B165" s="121" t="s">
        <v>248</v>
      </c>
      <c r="C165" s="138"/>
      <c r="D165" s="174"/>
      <c r="E165" s="165">
        <f t="shared" ref="E165:P165" si="62">-E115*E77</f>
        <v>0</v>
      </c>
      <c r="F165" s="165">
        <f t="shared" si="62"/>
        <v>0</v>
      </c>
      <c r="G165" s="165">
        <f t="shared" si="62"/>
        <v>0</v>
      </c>
      <c r="H165" s="165">
        <f t="shared" si="62"/>
        <v>0</v>
      </c>
      <c r="I165" s="165">
        <f t="shared" si="62"/>
        <v>0</v>
      </c>
      <c r="J165" s="165">
        <f t="shared" si="62"/>
        <v>0</v>
      </c>
      <c r="K165" s="165">
        <f t="shared" si="62"/>
        <v>0</v>
      </c>
      <c r="L165" s="165">
        <f t="shared" si="62"/>
        <v>0</v>
      </c>
      <c r="M165" s="165">
        <f t="shared" si="62"/>
        <v>0</v>
      </c>
      <c r="N165" s="165">
        <f t="shared" si="62"/>
        <v>0</v>
      </c>
      <c r="O165" s="165">
        <f t="shared" si="62"/>
        <v>0</v>
      </c>
      <c r="P165" s="165">
        <f t="shared" si="62"/>
        <v>0</v>
      </c>
    </row>
    <row r="166" spans="1:16" s="119" customFormat="1" ht="12.6">
      <c r="A166" s="164" t="s">
        <v>253</v>
      </c>
      <c r="B166" s="121" t="s">
        <v>248</v>
      </c>
      <c r="C166" s="138"/>
      <c r="D166" s="174"/>
      <c r="E166" s="165">
        <f>E167+E168+E169</f>
        <v>0</v>
      </c>
      <c r="F166" s="165">
        <f t="shared" ref="F166:P166" si="63">F167+F168+F169</f>
        <v>0</v>
      </c>
      <c r="G166" s="165">
        <f t="shared" si="63"/>
        <v>-306.59816250000006</v>
      </c>
      <c r="H166" s="165">
        <f t="shared" si="63"/>
        <v>-626.60587500000008</v>
      </c>
      <c r="I166" s="165">
        <f t="shared" si="63"/>
        <v>-1304.3976750000002</v>
      </c>
      <c r="J166" s="165">
        <f t="shared" si="63"/>
        <v>-1355.3851500000001</v>
      </c>
      <c r="K166" s="165">
        <f t="shared" si="63"/>
        <v>-1407.7050749999999</v>
      </c>
      <c r="L166" s="165">
        <f t="shared" si="63"/>
        <v>-1456.4528999999998</v>
      </c>
      <c r="M166" s="165">
        <f t="shared" si="63"/>
        <v>-1519.6733999999997</v>
      </c>
      <c r="N166" s="165">
        <f t="shared" si="63"/>
        <v>-1601.023725</v>
      </c>
      <c r="O166" s="165">
        <f t="shared" si="63"/>
        <v>-1692.6934499999998</v>
      </c>
      <c r="P166" s="165">
        <f t="shared" si="63"/>
        <v>-1794.5691750000001</v>
      </c>
    </row>
    <row r="167" spans="1:16" s="119" customFormat="1" ht="12.6">
      <c r="A167" s="167" t="s">
        <v>251</v>
      </c>
      <c r="B167" s="121" t="s">
        <v>248</v>
      </c>
      <c r="C167" s="138"/>
      <c r="D167" s="174"/>
      <c r="E167" s="165">
        <f t="shared" ref="E167:P167" si="64">-E117*E79</f>
        <v>0</v>
      </c>
      <c r="F167" s="165">
        <f t="shared" si="64"/>
        <v>0</v>
      </c>
      <c r="G167" s="165">
        <f t="shared" si="64"/>
        <v>0</v>
      </c>
      <c r="H167" s="165">
        <f t="shared" si="64"/>
        <v>0</v>
      </c>
      <c r="I167" s="165">
        <f t="shared" si="64"/>
        <v>0</v>
      </c>
      <c r="J167" s="165">
        <f t="shared" si="64"/>
        <v>0</v>
      </c>
      <c r="K167" s="165">
        <f t="shared" si="64"/>
        <v>0</v>
      </c>
      <c r="L167" s="165">
        <f t="shared" si="64"/>
        <v>0</v>
      </c>
      <c r="M167" s="165">
        <f t="shared" si="64"/>
        <v>0</v>
      </c>
      <c r="N167" s="165">
        <f t="shared" si="64"/>
        <v>0</v>
      </c>
      <c r="O167" s="165">
        <f t="shared" si="64"/>
        <v>0</v>
      </c>
      <c r="P167" s="165">
        <f t="shared" si="64"/>
        <v>0</v>
      </c>
    </row>
    <row r="168" spans="1:16" s="119" customFormat="1" ht="12.6">
      <c r="A168" s="167" t="s">
        <v>252</v>
      </c>
      <c r="B168" s="121" t="s">
        <v>248</v>
      </c>
      <c r="C168" s="138"/>
      <c r="D168" s="174"/>
      <c r="E168" s="165">
        <f t="shared" ref="E168:P168" si="65">-E118*E80</f>
        <v>0</v>
      </c>
      <c r="F168" s="165">
        <f t="shared" si="65"/>
        <v>0</v>
      </c>
      <c r="G168" s="165">
        <f t="shared" si="65"/>
        <v>0</v>
      </c>
      <c r="H168" s="165">
        <f t="shared" si="65"/>
        <v>0</v>
      </c>
      <c r="I168" s="165">
        <f t="shared" si="65"/>
        <v>0</v>
      </c>
      <c r="J168" s="165">
        <f t="shared" si="65"/>
        <v>0</v>
      </c>
      <c r="K168" s="165">
        <f t="shared" si="65"/>
        <v>0</v>
      </c>
      <c r="L168" s="165">
        <f t="shared" si="65"/>
        <v>0</v>
      </c>
      <c r="M168" s="165">
        <f t="shared" si="65"/>
        <v>0</v>
      </c>
      <c r="N168" s="165">
        <f t="shared" si="65"/>
        <v>0</v>
      </c>
      <c r="O168" s="165">
        <f t="shared" si="65"/>
        <v>0</v>
      </c>
      <c r="P168" s="165">
        <f t="shared" si="65"/>
        <v>0</v>
      </c>
    </row>
    <row r="169" spans="1:16" s="119" customFormat="1" ht="12.6">
      <c r="A169" s="167" t="s">
        <v>270</v>
      </c>
      <c r="B169" s="121" t="s">
        <v>248</v>
      </c>
      <c r="C169" s="138"/>
      <c r="D169" s="174"/>
      <c r="E169" s="165">
        <f t="shared" ref="E169:P169" si="66">-E119*E148</f>
        <v>0</v>
      </c>
      <c r="F169" s="165">
        <f t="shared" si="66"/>
        <v>0</v>
      </c>
      <c r="G169" s="165">
        <f t="shared" si="66"/>
        <v>-306.59816250000006</v>
      </c>
      <c r="H169" s="165">
        <f t="shared" si="66"/>
        <v>-626.60587500000008</v>
      </c>
      <c r="I169" s="165">
        <f t="shared" si="66"/>
        <v>-1304.3976750000002</v>
      </c>
      <c r="J169" s="165">
        <f t="shared" si="66"/>
        <v>-1355.3851500000001</v>
      </c>
      <c r="K169" s="165">
        <f t="shared" si="66"/>
        <v>-1407.7050749999999</v>
      </c>
      <c r="L169" s="165">
        <f t="shared" si="66"/>
        <v>-1456.4528999999998</v>
      </c>
      <c r="M169" s="165">
        <f t="shared" si="66"/>
        <v>-1519.6733999999997</v>
      </c>
      <c r="N169" s="165">
        <f t="shared" si="66"/>
        <v>-1601.023725</v>
      </c>
      <c r="O169" s="165">
        <f t="shared" si="66"/>
        <v>-1692.6934499999998</v>
      </c>
      <c r="P169" s="165">
        <f t="shared" si="66"/>
        <v>-1794.5691750000001</v>
      </c>
    </row>
    <row r="170" spans="1:16" s="119" customFormat="1" ht="12.6">
      <c r="A170" s="164" t="s">
        <v>254</v>
      </c>
      <c r="B170" s="121" t="s">
        <v>248</v>
      </c>
      <c r="C170" s="138"/>
      <c r="D170" s="174"/>
      <c r="E170" s="165">
        <f>E171+E172+E173</f>
        <v>0</v>
      </c>
      <c r="F170" s="165">
        <f t="shared" ref="F170:P170" si="67">F171+F172+F173</f>
        <v>0</v>
      </c>
      <c r="G170" s="165">
        <f t="shared" si="67"/>
        <v>0</v>
      </c>
      <c r="H170" s="165">
        <f t="shared" si="67"/>
        <v>0</v>
      </c>
      <c r="I170" s="165">
        <f t="shared" si="67"/>
        <v>0</v>
      </c>
      <c r="J170" s="165">
        <f t="shared" si="67"/>
        <v>0</v>
      </c>
      <c r="K170" s="165">
        <f t="shared" si="67"/>
        <v>0</v>
      </c>
      <c r="L170" s="165">
        <f t="shared" si="67"/>
        <v>0</v>
      </c>
      <c r="M170" s="165">
        <f t="shared" si="67"/>
        <v>0</v>
      </c>
      <c r="N170" s="165">
        <f t="shared" si="67"/>
        <v>0</v>
      </c>
      <c r="O170" s="165">
        <f t="shared" si="67"/>
        <v>0</v>
      </c>
      <c r="P170" s="165">
        <f t="shared" si="67"/>
        <v>0</v>
      </c>
    </row>
    <row r="171" spans="1:16" s="119" customFormat="1" ht="12.6">
      <c r="A171" s="167" t="s">
        <v>255</v>
      </c>
      <c r="B171" s="121" t="s">
        <v>248</v>
      </c>
      <c r="C171" s="138"/>
      <c r="D171" s="174"/>
      <c r="E171" s="165">
        <f t="shared" ref="E171:P171" si="68">-E121*E82</f>
        <v>0</v>
      </c>
      <c r="F171" s="165">
        <f t="shared" si="68"/>
        <v>0</v>
      </c>
      <c r="G171" s="165">
        <f t="shared" si="68"/>
        <v>0</v>
      </c>
      <c r="H171" s="165">
        <f t="shared" si="68"/>
        <v>0</v>
      </c>
      <c r="I171" s="165">
        <f t="shared" si="68"/>
        <v>0</v>
      </c>
      <c r="J171" s="165">
        <f t="shared" si="68"/>
        <v>0</v>
      </c>
      <c r="K171" s="165">
        <f t="shared" si="68"/>
        <v>0</v>
      </c>
      <c r="L171" s="165">
        <f t="shared" si="68"/>
        <v>0</v>
      </c>
      <c r="M171" s="165">
        <f t="shared" si="68"/>
        <v>0</v>
      </c>
      <c r="N171" s="165">
        <f t="shared" si="68"/>
        <v>0</v>
      </c>
      <c r="O171" s="165">
        <f t="shared" si="68"/>
        <v>0</v>
      </c>
      <c r="P171" s="165">
        <f t="shared" si="68"/>
        <v>0</v>
      </c>
    </row>
    <row r="172" spans="1:16" s="119" customFormat="1" ht="12.6">
      <c r="A172" s="167" t="s">
        <v>256</v>
      </c>
      <c r="B172" s="121" t="s">
        <v>248</v>
      </c>
      <c r="C172" s="138"/>
      <c r="D172" s="174"/>
      <c r="E172" s="165">
        <f t="shared" ref="E172:P172" si="69">-E122*E83</f>
        <v>0</v>
      </c>
      <c r="F172" s="165">
        <f t="shared" si="69"/>
        <v>0</v>
      </c>
      <c r="G172" s="165">
        <f t="shared" si="69"/>
        <v>0</v>
      </c>
      <c r="H172" s="165">
        <f t="shared" si="69"/>
        <v>0</v>
      </c>
      <c r="I172" s="165">
        <f t="shared" si="69"/>
        <v>0</v>
      </c>
      <c r="J172" s="165">
        <f t="shared" si="69"/>
        <v>0</v>
      </c>
      <c r="K172" s="165">
        <f t="shared" si="69"/>
        <v>0</v>
      </c>
      <c r="L172" s="165">
        <f t="shared" si="69"/>
        <v>0</v>
      </c>
      <c r="M172" s="165">
        <f t="shared" si="69"/>
        <v>0</v>
      </c>
      <c r="N172" s="165">
        <f t="shared" si="69"/>
        <v>0</v>
      </c>
      <c r="O172" s="165">
        <f t="shared" si="69"/>
        <v>0</v>
      </c>
      <c r="P172" s="165">
        <f t="shared" si="69"/>
        <v>0</v>
      </c>
    </row>
    <row r="173" spans="1:16" s="119" customFormat="1" ht="12.6">
      <c r="A173" s="167" t="s">
        <v>257</v>
      </c>
      <c r="B173" s="121" t="s">
        <v>248</v>
      </c>
      <c r="C173" s="138"/>
      <c r="D173" s="174"/>
      <c r="E173" s="165">
        <f t="shared" ref="E173:P173" si="70">-E123*E84</f>
        <v>0</v>
      </c>
      <c r="F173" s="165">
        <f t="shared" si="70"/>
        <v>0</v>
      </c>
      <c r="G173" s="165">
        <f t="shared" si="70"/>
        <v>0</v>
      </c>
      <c r="H173" s="165">
        <f t="shared" si="70"/>
        <v>0</v>
      </c>
      <c r="I173" s="165">
        <f t="shared" si="70"/>
        <v>0</v>
      </c>
      <c r="J173" s="165">
        <f t="shared" si="70"/>
        <v>0</v>
      </c>
      <c r="K173" s="165">
        <f t="shared" si="70"/>
        <v>0</v>
      </c>
      <c r="L173" s="165">
        <f t="shared" si="70"/>
        <v>0</v>
      </c>
      <c r="M173" s="165">
        <f t="shared" si="70"/>
        <v>0</v>
      </c>
      <c r="N173" s="165">
        <f t="shared" si="70"/>
        <v>0</v>
      </c>
      <c r="O173" s="165">
        <f t="shared" si="70"/>
        <v>0</v>
      </c>
      <c r="P173" s="165">
        <f t="shared" si="70"/>
        <v>0</v>
      </c>
    </row>
    <row r="174" spans="1:16" s="119" customFormat="1" ht="12.6">
      <c r="A174" s="164" t="s">
        <v>258</v>
      </c>
      <c r="B174" s="121" t="s">
        <v>248</v>
      </c>
      <c r="C174" s="138"/>
      <c r="D174" s="174"/>
      <c r="E174" s="165">
        <f t="shared" ref="E174:P174" si="71">-E124*E85</f>
        <v>0</v>
      </c>
      <c r="F174" s="165">
        <f t="shared" si="71"/>
        <v>0</v>
      </c>
      <c r="G174" s="165">
        <f t="shared" si="71"/>
        <v>0</v>
      </c>
      <c r="H174" s="165">
        <f t="shared" si="71"/>
        <v>0</v>
      </c>
      <c r="I174" s="165">
        <f t="shared" si="71"/>
        <v>0</v>
      </c>
      <c r="J174" s="165">
        <f t="shared" si="71"/>
        <v>0</v>
      </c>
      <c r="K174" s="165">
        <f t="shared" si="71"/>
        <v>0</v>
      </c>
      <c r="L174" s="165">
        <f t="shared" si="71"/>
        <v>0</v>
      </c>
      <c r="M174" s="165">
        <f t="shared" si="71"/>
        <v>0</v>
      </c>
      <c r="N174" s="165">
        <f t="shared" si="71"/>
        <v>0</v>
      </c>
      <c r="O174" s="165">
        <f t="shared" si="71"/>
        <v>0</v>
      </c>
      <c r="P174" s="165">
        <f t="shared" si="71"/>
        <v>0</v>
      </c>
    </row>
    <row r="175" spans="1:16" s="119" customFormat="1" ht="12.6">
      <c r="A175" s="164" t="s">
        <v>259</v>
      </c>
      <c r="B175" s="121" t="s">
        <v>248</v>
      </c>
      <c r="C175" s="138"/>
      <c r="D175" s="174"/>
      <c r="E175" s="165">
        <f t="shared" ref="E175:P175" si="72">-E125*E86</f>
        <v>0</v>
      </c>
      <c r="F175" s="165">
        <f t="shared" si="72"/>
        <v>0</v>
      </c>
      <c r="G175" s="165">
        <f t="shared" si="72"/>
        <v>0</v>
      </c>
      <c r="H175" s="165">
        <f t="shared" si="72"/>
        <v>0</v>
      </c>
      <c r="I175" s="165">
        <f t="shared" si="72"/>
        <v>0</v>
      </c>
      <c r="J175" s="165">
        <f t="shared" si="72"/>
        <v>0</v>
      </c>
      <c r="K175" s="165">
        <f t="shared" si="72"/>
        <v>0</v>
      </c>
      <c r="L175" s="165">
        <f t="shared" si="72"/>
        <v>0</v>
      </c>
      <c r="M175" s="165">
        <f t="shared" si="72"/>
        <v>0</v>
      </c>
      <c r="N175" s="165">
        <f t="shared" si="72"/>
        <v>0</v>
      </c>
      <c r="O175" s="165">
        <f t="shared" si="72"/>
        <v>0</v>
      </c>
      <c r="P175" s="165">
        <f t="shared" si="72"/>
        <v>0</v>
      </c>
    </row>
    <row r="176" spans="1:16" s="166" customFormat="1" ht="12.6">
      <c r="A176" s="169" t="s">
        <v>358</v>
      </c>
      <c r="B176" s="121" t="s">
        <v>248</v>
      </c>
      <c r="C176" s="170"/>
      <c r="D176" s="174"/>
      <c r="E176" s="165">
        <f t="shared" ref="E176:P176" si="73">E106*E27</f>
        <v>0</v>
      </c>
      <c r="F176" s="165">
        <f t="shared" si="73"/>
        <v>0</v>
      </c>
      <c r="G176" s="165">
        <f t="shared" si="73"/>
        <v>30281.3</v>
      </c>
      <c r="H176" s="165">
        <f t="shared" si="73"/>
        <v>31605.699999999997</v>
      </c>
      <c r="I176" s="165">
        <f t="shared" si="73"/>
        <v>32809</v>
      </c>
      <c r="J176" s="165">
        <f t="shared" si="73"/>
        <v>34123.599999999999</v>
      </c>
      <c r="K176" s="165">
        <f t="shared" si="73"/>
        <v>35392.699999999997</v>
      </c>
      <c r="L176" s="165">
        <f t="shared" si="73"/>
        <v>36530.899999999994</v>
      </c>
      <c r="M176" s="165">
        <f t="shared" si="73"/>
        <v>38514.699999999997</v>
      </c>
      <c r="N176" s="165">
        <f t="shared" si="73"/>
        <v>40548.199999999997</v>
      </c>
      <c r="O176" s="165">
        <f t="shared" si="73"/>
        <v>43041.599999999999</v>
      </c>
      <c r="P176" s="165">
        <f t="shared" si="73"/>
        <v>45579.1</v>
      </c>
    </row>
    <row r="177" spans="1:16" s="173" customFormat="1" ht="12.6">
      <c r="A177" s="183" t="s">
        <v>237</v>
      </c>
      <c r="B177" s="121" t="s">
        <v>248</v>
      </c>
      <c r="E177" s="175">
        <f>E142+E144+E158+E159+E162+E176</f>
        <v>0</v>
      </c>
      <c r="F177" s="175">
        <f t="shared" ref="F177:P177" si="74">F142+F144+F158+F159+F162+F176</f>
        <v>0</v>
      </c>
      <c r="G177" s="175">
        <f t="shared" si="74"/>
        <v>161622.65358749998</v>
      </c>
      <c r="H177" s="175">
        <f t="shared" si="74"/>
        <v>281258.42062500003</v>
      </c>
      <c r="I177" s="175">
        <f t="shared" si="74"/>
        <v>552567.81282499991</v>
      </c>
      <c r="J177" s="175">
        <f t="shared" si="74"/>
        <v>574248.05585</v>
      </c>
      <c r="K177" s="175">
        <f t="shared" si="74"/>
        <v>596293.63342500001</v>
      </c>
      <c r="L177" s="175">
        <f t="shared" si="74"/>
        <v>616722.54909999995</v>
      </c>
      <c r="M177" s="175">
        <f t="shared" si="74"/>
        <v>644495.9345999998</v>
      </c>
      <c r="N177" s="175">
        <f t="shared" si="74"/>
        <v>678925.55377499992</v>
      </c>
      <c r="O177" s="175">
        <f t="shared" si="74"/>
        <v>718231.5255499999</v>
      </c>
      <c r="P177" s="175">
        <f t="shared" si="74"/>
        <v>761325.18332500011</v>
      </c>
    </row>
    <row r="178" spans="1:16" s="173" customFormat="1" ht="12.6">
      <c r="A178" s="174" t="s">
        <v>355</v>
      </c>
      <c r="B178" s="121" t="s">
        <v>248</v>
      </c>
      <c r="C178" s="173" t="s">
        <v>323</v>
      </c>
      <c r="E178" s="175">
        <f t="shared" ref="E178:P178" si="75">-E128*E36</f>
        <v>0</v>
      </c>
      <c r="F178" s="175">
        <f t="shared" si="75"/>
        <v>0</v>
      </c>
      <c r="G178" s="175">
        <f t="shared" si="75"/>
        <v>-2703</v>
      </c>
      <c r="H178" s="175">
        <f t="shared" si="75"/>
        <v>-5526</v>
      </c>
      <c r="I178" s="175">
        <f t="shared" si="75"/>
        <v>-11502</v>
      </c>
      <c r="J178" s="175">
        <f t="shared" si="75"/>
        <v>-11952</v>
      </c>
      <c r="K178" s="175">
        <f t="shared" si="75"/>
        <v>-12414</v>
      </c>
      <c r="L178" s="175">
        <f t="shared" si="75"/>
        <v>-12843</v>
      </c>
      <c r="M178" s="175">
        <f t="shared" si="75"/>
        <v>-13401</v>
      </c>
      <c r="N178" s="175">
        <f t="shared" si="75"/>
        <v>-14118</v>
      </c>
      <c r="O178" s="175">
        <f t="shared" si="75"/>
        <v>-14926.5</v>
      </c>
      <c r="P178" s="175">
        <f t="shared" si="75"/>
        <v>-15825</v>
      </c>
    </row>
    <row r="179" spans="1:16" s="173" customFormat="1" ht="12.6">
      <c r="A179" s="174" t="s">
        <v>356</v>
      </c>
      <c r="B179" s="121" t="s">
        <v>248</v>
      </c>
      <c r="C179" s="173" t="s">
        <v>323</v>
      </c>
      <c r="E179" s="175">
        <f t="shared" ref="E179:P179" si="76">-E129*E38</f>
        <v>0</v>
      </c>
      <c r="F179" s="175">
        <f t="shared" si="76"/>
        <v>0</v>
      </c>
      <c r="G179" s="175">
        <f t="shared" si="76"/>
        <v>-4505</v>
      </c>
      <c r="H179" s="175">
        <f t="shared" si="76"/>
        <v>-9210</v>
      </c>
      <c r="I179" s="175">
        <f t="shared" si="76"/>
        <v>-19170</v>
      </c>
      <c r="J179" s="175">
        <f t="shared" si="76"/>
        <v>-19920</v>
      </c>
      <c r="K179" s="175">
        <f t="shared" si="76"/>
        <v>-20690</v>
      </c>
      <c r="L179" s="175">
        <f t="shared" si="76"/>
        <v>-21405</v>
      </c>
      <c r="M179" s="175">
        <f t="shared" si="76"/>
        <v>-22335</v>
      </c>
      <c r="N179" s="175">
        <f t="shared" si="76"/>
        <v>-23530</v>
      </c>
      <c r="O179" s="175">
        <f t="shared" si="76"/>
        <v>-24880</v>
      </c>
      <c r="P179" s="175">
        <f t="shared" si="76"/>
        <v>-26375</v>
      </c>
    </row>
    <row r="180" spans="1:16" s="197" customFormat="1" ht="12.6">
      <c r="A180" s="197" t="s">
        <v>357</v>
      </c>
      <c r="B180" s="218" t="s">
        <v>248</v>
      </c>
      <c r="E180" s="219">
        <v>-5</v>
      </c>
      <c r="F180" s="219">
        <v>-5</v>
      </c>
      <c r="G180" s="219">
        <v>-5</v>
      </c>
      <c r="H180" s="219">
        <v>-5</v>
      </c>
      <c r="I180" s="219">
        <v>-5</v>
      </c>
      <c r="J180" s="219">
        <v>-5</v>
      </c>
      <c r="K180" s="219">
        <v>-1</v>
      </c>
      <c r="L180" s="219">
        <v>-1</v>
      </c>
      <c r="M180" s="219">
        <v>-1</v>
      </c>
      <c r="N180" s="219">
        <v>-1</v>
      </c>
      <c r="O180" s="219">
        <v>-1</v>
      </c>
      <c r="P180" s="219">
        <v>-1</v>
      </c>
    </row>
    <row r="181" spans="1:16" s="171" customFormat="1" ht="12.6">
      <c r="A181" s="197"/>
      <c r="B181" s="121"/>
      <c r="E181" s="175">
        <f>E180*E27</f>
        <v>0</v>
      </c>
      <c r="F181" s="175">
        <f t="shared" ref="F181:P181" si="77">F180*F27</f>
        <v>0</v>
      </c>
      <c r="G181" s="175">
        <f t="shared" si="77"/>
        <v>-151406.5</v>
      </c>
      <c r="H181" s="175">
        <f t="shared" si="77"/>
        <v>-158028.5</v>
      </c>
      <c r="I181" s="175">
        <f t="shared" si="77"/>
        <v>-164045</v>
      </c>
      <c r="J181" s="175">
        <f t="shared" si="77"/>
        <v>-170618</v>
      </c>
      <c r="K181" s="175">
        <f t="shared" si="77"/>
        <v>-35392.699999999997</v>
      </c>
      <c r="L181" s="175">
        <f t="shared" si="77"/>
        <v>-36530.899999999994</v>
      </c>
      <c r="M181" s="175">
        <f t="shared" si="77"/>
        <v>-38514.699999999997</v>
      </c>
      <c r="N181" s="175">
        <f t="shared" si="77"/>
        <v>-40548.199999999997</v>
      </c>
      <c r="O181" s="175">
        <f t="shared" si="77"/>
        <v>-43041.599999999999</v>
      </c>
      <c r="P181" s="175">
        <f t="shared" si="77"/>
        <v>-45579.1</v>
      </c>
    </row>
    <row r="182" spans="1:16" s="177" customFormat="1" ht="12.6">
      <c r="A182" s="176" t="s">
        <v>307</v>
      </c>
      <c r="B182" s="121" t="s">
        <v>248</v>
      </c>
      <c r="E182" s="178">
        <f>E178+E179+E181</f>
        <v>0</v>
      </c>
      <c r="F182" s="178">
        <f t="shared" ref="F182:P182" si="78">F178+F179+F181</f>
        <v>0</v>
      </c>
      <c r="G182" s="178">
        <f t="shared" si="78"/>
        <v>-158614.5</v>
      </c>
      <c r="H182" s="178">
        <f t="shared" si="78"/>
        <v>-172764.5</v>
      </c>
      <c r="I182" s="178">
        <f t="shared" si="78"/>
        <v>-194717</v>
      </c>
      <c r="J182" s="178">
        <f t="shared" si="78"/>
        <v>-202490</v>
      </c>
      <c r="K182" s="178">
        <f t="shared" si="78"/>
        <v>-68496.7</v>
      </c>
      <c r="L182" s="178">
        <f t="shared" si="78"/>
        <v>-70778.899999999994</v>
      </c>
      <c r="M182" s="178">
        <f t="shared" si="78"/>
        <v>-74250.7</v>
      </c>
      <c r="N182" s="178">
        <f t="shared" si="78"/>
        <v>-78196.2</v>
      </c>
      <c r="O182" s="178">
        <f t="shared" si="78"/>
        <v>-82848.100000000006</v>
      </c>
      <c r="P182" s="178">
        <f t="shared" si="78"/>
        <v>-87779.1</v>
      </c>
    </row>
    <row r="183" spans="1:16" s="171" customFormat="1" ht="12.6">
      <c r="A183" s="171" t="s">
        <v>234</v>
      </c>
      <c r="B183" s="121" t="s">
        <v>248</v>
      </c>
      <c r="E183" s="172">
        <f>E177+E182</f>
        <v>0</v>
      </c>
      <c r="F183" s="172">
        <f t="shared" ref="F183:P183" si="79">F177+F182</f>
        <v>0</v>
      </c>
      <c r="G183" s="172">
        <f t="shared" si="79"/>
        <v>3008.1535874999827</v>
      </c>
      <c r="H183" s="172">
        <f t="shared" si="79"/>
        <v>108493.92062500003</v>
      </c>
      <c r="I183" s="172">
        <f t="shared" si="79"/>
        <v>357850.81282499991</v>
      </c>
      <c r="J183" s="172">
        <f t="shared" si="79"/>
        <v>371758.05585</v>
      </c>
      <c r="K183" s="172">
        <f t="shared" si="79"/>
        <v>527796.93342500005</v>
      </c>
      <c r="L183" s="172">
        <f t="shared" si="79"/>
        <v>545943.64909999992</v>
      </c>
      <c r="M183" s="172">
        <f t="shared" si="79"/>
        <v>570245.23459999985</v>
      </c>
      <c r="N183" s="172">
        <f t="shared" si="79"/>
        <v>600729.35377499997</v>
      </c>
      <c r="O183" s="172">
        <f t="shared" si="79"/>
        <v>635383.42554999993</v>
      </c>
      <c r="P183" s="172">
        <f t="shared" si="79"/>
        <v>673546.08332500013</v>
      </c>
    </row>
    <row r="184" spans="1:16" s="171" customFormat="1" ht="12.6">
      <c r="A184" s="171" t="s">
        <v>235</v>
      </c>
      <c r="B184" s="121" t="s">
        <v>248</v>
      </c>
      <c r="E184" s="172">
        <f>E183</f>
        <v>0</v>
      </c>
      <c r="F184" s="172">
        <f>E184+F183</f>
        <v>0</v>
      </c>
      <c r="G184" s="172">
        <f>F184+G183</f>
        <v>3008.1535874999827</v>
      </c>
      <c r="H184" s="172">
        <f>G184+H183</f>
        <v>111502.07421250001</v>
      </c>
      <c r="I184" s="172">
        <f>I183</f>
        <v>357850.81282499991</v>
      </c>
      <c r="J184" s="172">
        <f>I184+J183</f>
        <v>729608.86867499992</v>
      </c>
      <c r="K184" s="172">
        <f>K183</f>
        <v>527796.93342500005</v>
      </c>
      <c r="L184" s="172">
        <f>K184+L183</f>
        <v>1073740.582525</v>
      </c>
      <c r="M184" s="172">
        <f>M183</f>
        <v>570245.23459999985</v>
      </c>
      <c r="N184" s="172">
        <f>M184+N183</f>
        <v>1170974.5883749998</v>
      </c>
      <c r="O184" s="172">
        <f>O183</f>
        <v>635383.42554999993</v>
      </c>
      <c r="P184" s="172">
        <f>O184+P183</f>
        <v>1308929.5088750001</v>
      </c>
    </row>
    <row r="185" spans="1:16" s="168" customFormat="1" ht="12.6">
      <c r="A185" s="176" t="s">
        <v>236</v>
      </c>
      <c r="B185" s="179" t="s">
        <v>231</v>
      </c>
      <c r="E185" s="180" t="e">
        <f>E183*4/((D44+E44)/2)</f>
        <v>#DIV/0!</v>
      </c>
      <c r="F185" s="180" t="e">
        <f>F183*4/((E44+F44)/2)</f>
        <v>#DIV/0!</v>
      </c>
      <c r="G185" s="180">
        <f t="shared" ref="G185:H185" si="80">G183*4/((F44+G44)/2)</f>
        <v>1.1353177750907969E-2</v>
      </c>
      <c r="H185" s="180">
        <f t="shared" si="80"/>
        <v>0.20035395501940179</v>
      </c>
      <c r="I185" s="180">
        <f>I183*2/((H44+I44)/2)</f>
        <v>0.31745266027342023</v>
      </c>
      <c r="J185" s="180">
        <f t="shared" ref="J185:P185" si="81">J183*2/((I44+J44)/2)</f>
        <v>0.3173837185040303</v>
      </c>
      <c r="K185" s="180">
        <f t="shared" si="81"/>
        <v>0.4338525607252236</v>
      </c>
      <c r="L185" s="180">
        <f t="shared" si="81"/>
        <v>0.43374886613811636</v>
      </c>
      <c r="M185" s="180">
        <f t="shared" si="81"/>
        <v>0.43420856089021675</v>
      </c>
      <c r="N185" s="180">
        <f t="shared" si="81"/>
        <v>0.43417825104171126</v>
      </c>
      <c r="O185" s="180">
        <f t="shared" si="81"/>
        <v>0.43435472171416672</v>
      </c>
      <c r="P185" s="180">
        <f t="shared" si="81"/>
        <v>0.43430426095225422</v>
      </c>
    </row>
    <row r="186" spans="1:16" s="171" customFormat="1" ht="12.6">
      <c r="A186" s="171" t="s">
        <v>359</v>
      </c>
      <c r="B186" s="121" t="s">
        <v>248</v>
      </c>
      <c r="E186" s="212"/>
      <c r="F186" s="212"/>
      <c r="G186" s="212"/>
      <c r="H186" s="212">
        <f>H184/AVERAGE(E27:H27)</f>
        <v>7.2068172128233723</v>
      </c>
      <c r="I186" s="212"/>
      <c r="J186" s="212">
        <f>J184/AVERAGE(I27:J27)</f>
        <v>21.801300671869907</v>
      </c>
      <c r="K186" s="212"/>
      <c r="L186" s="212">
        <f>L184/AVERAGE(K27:L27)</f>
        <v>29.857809746036075</v>
      </c>
      <c r="M186" s="212"/>
      <c r="N186" s="212">
        <f>N184/AVERAGE(M27:N27)</f>
        <v>29.621341700721828</v>
      </c>
      <c r="O186" s="212"/>
      <c r="P186" s="212">
        <f>P184/AVERAGE(O27:P27)</f>
        <v>29.540039942699622</v>
      </c>
    </row>
    <row r="187" spans="1:16" s="129" customFormat="1" ht="12.6">
      <c r="A187" s="120"/>
      <c r="B187" s="130"/>
      <c r="E187" s="131"/>
      <c r="F187" s="131"/>
      <c r="G187" s="131"/>
      <c r="H187" s="224">
        <f>H186/500*1000</f>
        <v>14.413634425646745</v>
      </c>
      <c r="I187" s="131"/>
      <c r="J187" s="224">
        <f>J186/500*1000</f>
        <v>43.602601343739813</v>
      </c>
      <c r="K187" s="131"/>
      <c r="L187" s="131"/>
      <c r="M187" s="131"/>
      <c r="N187" s="131"/>
      <c r="O187" s="131"/>
      <c r="P187" s="131"/>
    </row>
    <row r="188" spans="1:16" s="119" customFormat="1" ht="12.6">
      <c r="A188" s="132" t="s">
        <v>279</v>
      </c>
      <c r="B188" s="116" t="s">
        <v>228</v>
      </c>
      <c r="C188" s="117" t="s">
        <v>229</v>
      </c>
      <c r="D188" s="117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</row>
    <row r="189" spans="1:16" s="129" customFormat="1" ht="12.6">
      <c r="A189" s="120"/>
      <c r="B189" s="130"/>
      <c r="E189" s="131"/>
      <c r="F189" s="131"/>
      <c r="G189" s="131"/>
      <c r="H189" s="131"/>
      <c r="I189" s="131"/>
      <c r="J189" s="131"/>
      <c r="K189" s="131"/>
      <c r="L189" s="131"/>
      <c r="M189" s="131"/>
      <c r="N189" s="131"/>
      <c r="O189" s="131"/>
      <c r="P189" s="131"/>
    </row>
    <row r="190" spans="1:16" s="129" customFormat="1" ht="12.6">
      <c r="A190" s="120"/>
      <c r="B190" s="130"/>
      <c r="E190" s="131"/>
      <c r="F190" s="131"/>
      <c r="G190" s="131"/>
      <c r="H190" s="131"/>
      <c r="I190" s="131"/>
      <c r="J190" s="131"/>
      <c r="K190" s="131"/>
      <c r="L190" s="131"/>
      <c r="M190" s="131"/>
      <c r="N190" s="131"/>
      <c r="O190" s="131"/>
      <c r="P190" s="131"/>
    </row>
    <row r="191" spans="1:16" s="129" customFormat="1" ht="12.6">
      <c r="A191" s="120"/>
      <c r="B191" s="130"/>
      <c r="E191" s="131"/>
      <c r="F191" s="131"/>
      <c r="G191" s="131"/>
      <c r="H191" s="131"/>
      <c r="I191" s="131"/>
      <c r="J191" s="131"/>
      <c r="K191" s="131"/>
      <c r="L191" s="131"/>
      <c r="M191" s="131"/>
      <c r="N191" s="131"/>
      <c r="O191" s="131"/>
      <c r="P191" s="131"/>
    </row>
    <row r="192" spans="1:16" s="119" customFormat="1" ht="12.6">
      <c r="A192" s="132" t="s">
        <v>280</v>
      </c>
      <c r="B192" s="116" t="s">
        <v>228</v>
      </c>
      <c r="C192" s="117" t="s">
        <v>229</v>
      </c>
      <c r="D192" s="117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</row>
    <row r="193" spans="1:16" s="129" customFormat="1" ht="12.6">
      <c r="A193" s="120"/>
      <c r="B193" s="130"/>
      <c r="E193" s="131"/>
      <c r="F193" s="131"/>
      <c r="G193" s="131"/>
      <c r="H193" s="131"/>
      <c r="I193" s="131"/>
      <c r="J193" s="131"/>
      <c r="K193" s="131"/>
      <c r="L193" s="131"/>
      <c r="M193" s="131"/>
      <c r="N193" s="131"/>
      <c r="O193" s="131"/>
      <c r="P193" s="131"/>
    </row>
    <row r="194" spans="1:16" s="129" customFormat="1" ht="12.6">
      <c r="A194" s="120"/>
      <c r="B194" s="130"/>
      <c r="E194" s="131"/>
      <c r="F194" s="131"/>
      <c r="G194" s="131"/>
      <c r="H194" s="131"/>
      <c r="I194" s="131"/>
      <c r="J194" s="131"/>
      <c r="K194" s="131"/>
      <c r="L194" s="131"/>
      <c r="M194" s="131"/>
      <c r="N194" s="131"/>
      <c r="O194" s="131"/>
      <c r="P194" s="131"/>
    </row>
    <row r="195" spans="1:16" s="129" customFormat="1" ht="12.6">
      <c r="A195" s="120"/>
      <c r="B195" s="130"/>
      <c r="E195" s="131"/>
      <c r="F195" s="131"/>
      <c r="G195" s="131"/>
      <c r="H195" s="131"/>
      <c r="I195" s="131"/>
      <c r="J195" s="131"/>
      <c r="K195" s="131"/>
      <c r="L195" s="131"/>
      <c r="M195" s="131"/>
      <c r="N195" s="131"/>
      <c r="O195" s="131"/>
      <c r="P195" s="131"/>
    </row>
    <row r="196" spans="1:16" s="129" customFormat="1" ht="12.6">
      <c r="A196" s="120"/>
      <c r="B196" s="130"/>
      <c r="E196" s="131"/>
      <c r="F196" s="131"/>
      <c r="G196" s="131"/>
      <c r="H196" s="131"/>
      <c r="I196" s="131"/>
      <c r="J196" s="131"/>
      <c r="K196" s="131"/>
      <c r="L196" s="131"/>
      <c r="M196" s="131"/>
      <c r="N196" s="131"/>
      <c r="O196" s="131"/>
      <c r="P196" s="131"/>
    </row>
    <row r="197" spans="1:16" s="166" customFormat="1" ht="12.6">
      <c r="A197" s="207" t="s">
        <v>324</v>
      </c>
      <c r="B197" s="163"/>
      <c r="C197" s="170"/>
      <c r="D197" s="174"/>
      <c r="E197" s="184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</row>
    <row r="198" spans="1:16" s="166" customFormat="1" ht="12.6">
      <c r="A198" s="169"/>
      <c r="B198" s="163"/>
      <c r="C198" s="170"/>
      <c r="D198" s="174"/>
      <c r="E198" s="184"/>
      <c r="F198" s="184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</row>
  </sheetData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0000"/>
  </sheetPr>
  <dimension ref="A1:P15"/>
  <sheetViews>
    <sheetView zoomScaleNormal="100" workbookViewId="0">
      <pane ySplit="6" topLeftCell="A7" activePane="bottomLeft" state="frozen"/>
      <selection pane="bottomLeft" sqref="A1:XFD1048576"/>
    </sheetView>
  </sheetViews>
  <sheetFormatPr defaultColWidth="8.88671875" defaultRowHeight="13.8"/>
  <cols>
    <col min="1" max="1" width="66.33203125" style="143" customWidth="1"/>
    <col min="2" max="2" width="10.5546875" style="143" customWidth="1"/>
    <col min="3" max="3" width="10" style="143" bestFit="1" customWidth="1"/>
    <col min="4" max="4" width="22.88671875" style="143" customWidth="1"/>
    <col min="5" max="15" width="21.6640625" style="143" bestFit="1" customWidth="1"/>
    <col min="16" max="16" width="22.88671875" style="143" bestFit="1" customWidth="1"/>
    <col min="17" max="16384" width="8.88671875" style="143"/>
  </cols>
  <sheetData>
    <row r="1" spans="1:16" s="105" customFormat="1" ht="19.8">
      <c r="A1" s="156" t="s">
        <v>239</v>
      </c>
      <c r="B1" s="156"/>
      <c r="C1" s="156"/>
      <c r="D1" s="156"/>
      <c r="E1" s="156"/>
      <c r="F1" s="156"/>
      <c r="G1" s="157"/>
      <c r="H1" s="157"/>
      <c r="I1" s="157"/>
      <c r="J1" s="157"/>
      <c r="K1" s="157"/>
      <c r="L1" s="157"/>
      <c r="M1" s="157"/>
      <c r="N1" s="157"/>
      <c r="O1" s="157"/>
      <c r="P1" s="157"/>
    </row>
    <row r="2" spans="1:16" s="107" customFormat="1">
      <c r="A2" s="106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</row>
    <row r="3" spans="1:16" s="108" customFormat="1">
      <c r="A3" s="110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</row>
    <row r="4" spans="1:16" s="147" customFormat="1">
      <c r="D4" s="148">
        <v>2024</v>
      </c>
      <c r="E4" s="148">
        <v>2025</v>
      </c>
      <c r="F4" s="148">
        <v>2025</v>
      </c>
      <c r="G4" s="148">
        <v>2025</v>
      </c>
      <c r="H4" s="148">
        <v>2025</v>
      </c>
      <c r="I4" s="148">
        <v>2026</v>
      </c>
      <c r="J4" s="148">
        <v>2026</v>
      </c>
      <c r="K4" s="148">
        <v>2027</v>
      </c>
      <c r="L4" s="148">
        <v>2027</v>
      </c>
      <c r="M4" s="148">
        <v>2028</v>
      </c>
      <c r="N4" s="148">
        <v>2028</v>
      </c>
      <c r="O4" s="148">
        <v>2029</v>
      </c>
      <c r="P4" s="148">
        <v>2029</v>
      </c>
    </row>
    <row r="5" spans="1:16" s="149" customFormat="1">
      <c r="A5" s="150"/>
      <c r="B5" s="150"/>
      <c r="C5" s="150"/>
      <c r="D5" s="151" t="s">
        <v>294</v>
      </c>
      <c r="E5" s="151" t="s">
        <v>295</v>
      </c>
      <c r="F5" s="151" t="s">
        <v>296</v>
      </c>
      <c r="G5" s="151" t="s">
        <v>297</v>
      </c>
      <c r="H5" s="151" t="s">
        <v>298</v>
      </c>
      <c r="I5" s="151" t="s">
        <v>299</v>
      </c>
      <c r="J5" s="151" t="s">
        <v>300</v>
      </c>
      <c r="K5" s="151" t="s">
        <v>301</v>
      </c>
      <c r="L5" s="151" t="s">
        <v>302</v>
      </c>
      <c r="M5" s="151" t="s">
        <v>303</v>
      </c>
      <c r="N5" s="151" t="s">
        <v>304</v>
      </c>
      <c r="O5" s="151" t="s">
        <v>305</v>
      </c>
      <c r="P5" s="151" t="s">
        <v>306</v>
      </c>
    </row>
    <row r="6" spans="1:16" s="114" customFormat="1">
      <c r="D6" s="158">
        <v>0</v>
      </c>
      <c r="E6" s="115">
        <v>1</v>
      </c>
      <c r="F6" s="115">
        <v>2</v>
      </c>
      <c r="G6" s="115">
        <v>3</v>
      </c>
      <c r="H6" s="115">
        <v>4</v>
      </c>
      <c r="I6" s="115">
        <v>5</v>
      </c>
      <c r="J6" s="115">
        <v>6</v>
      </c>
      <c r="K6" s="115">
        <v>7</v>
      </c>
      <c r="L6" s="115">
        <v>8</v>
      </c>
      <c r="M6" s="115">
        <v>9</v>
      </c>
      <c r="N6" s="115">
        <v>10</v>
      </c>
      <c r="O6" s="115">
        <v>11</v>
      </c>
      <c r="P6" s="115">
        <v>12</v>
      </c>
    </row>
    <row r="7" spans="1:16" s="119" customFormat="1" ht="12.6">
      <c r="A7" s="132" t="s">
        <v>242</v>
      </c>
      <c r="B7" s="116" t="s">
        <v>228</v>
      </c>
      <c r="C7" s="117" t="s">
        <v>229</v>
      </c>
      <c r="D7" s="117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</row>
    <row r="8" spans="1:16" s="127" customFormat="1" ht="12.6">
      <c r="A8" s="126"/>
      <c r="B8" s="124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</row>
    <row r="9" spans="1:16" s="127" customFormat="1" ht="12.6">
      <c r="A9" s="126"/>
      <c r="B9" s="124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</row>
    <row r="10" spans="1:16" s="127" customFormat="1" ht="12.6">
      <c r="A10" s="126"/>
      <c r="B10" s="124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</row>
    <row r="11" spans="1:16" s="127" customFormat="1" ht="12.6">
      <c r="A11" s="126"/>
      <c r="B11" s="124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</row>
    <row r="12" spans="1:16" s="127" customFormat="1" ht="12.6">
      <c r="A12" s="126"/>
      <c r="B12" s="124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</row>
    <row r="13" spans="1:16" s="127" customFormat="1" ht="12.6">
      <c r="A13" s="126"/>
      <c r="B13" s="124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</row>
    <row r="14" spans="1:16" s="127" customFormat="1" ht="12.6">
      <c r="A14" s="126"/>
      <c r="B14" s="124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</row>
    <row r="15" spans="1:16" s="127" customFormat="1" ht="12.6">
      <c r="A15" s="126"/>
      <c r="B15" s="124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0000"/>
  </sheetPr>
  <dimension ref="A1:P15"/>
  <sheetViews>
    <sheetView zoomScaleNormal="100" workbookViewId="0">
      <pane ySplit="6" topLeftCell="A7" activePane="bottomLeft" state="frozen"/>
      <selection activeCell="E17" sqref="E17"/>
      <selection pane="bottomLeft" activeCell="C20" sqref="C20"/>
    </sheetView>
  </sheetViews>
  <sheetFormatPr defaultColWidth="8.88671875" defaultRowHeight="13.8"/>
  <cols>
    <col min="1" max="1" width="66.33203125" style="143" customWidth="1"/>
    <col min="2" max="2" width="10.5546875" style="143" customWidth="1"/>
    <col min="3" max="3" width="10" style="143" bestFit="1" customWidth="1"/>
    <col min="4" max="4" width="22.88671875" style="143" customWidth="1"/>
    <col min="5" max="15" width="21.6640625" style="143" bestFit="1" customWidth="1"/>
    <col min="16" max="16" width="22.88671875" style="143" bestFit="1" customWidth="1"/>
    <col min="17" max="16384" width="8.88671875" style="143"/>
  </cols>
  <sheetData>
    <row r="1" spans="1:16" s="105" customFormat="1" ht="19.8">
      <c r="A1" s="156" t="s">
        <v>239</v>
      </c>
      <c r="B1" s="156"/>
      <c r="C1" s="156"/>
      <c r="D1" s="156"/>
      <c r="E1" s="156"/>
      <c r="F1" s="156"/>
      <c r="G1" s="157"/>
      <c r="H1" s="157"/>
      <c r="I1" s="157"/>
      <c r="J1" s="157"/>
      <c r="K1" s="157"/>
      <c r="L1" s="157"/>
      <c r="M1" s="157"/>
      <c r="N1" s="157"/>
      <c r="O1" s="157"/>
      <c r="P1" s="157"/>
    </row>
    <row r="2" spans="1:16" s="107" customFormat="1">
      <c r="A2" s="106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</row>
    <row r="3" spans="1:16" s="108" customFormat="1">
      <c r="A3" s="110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</row>
    <row r="4" spans="1:16" s="147" customFormat="1">
      <c r="D4" s="148">
        <v>2024</v>
      </c>
      <c r="E4" s="148">
        <v>2025</v>
      </c>
      <c r="F4" s="148">
        <v>2025</v>
      </c>
      <c r="G4" s="148">
        <v>2025</v>
      </c>
      <c r="H4" s="148">
        <v>2025</v>
      </c>
      <c r="I4" s="148">
        <v>2026</v>
      </c>
      <c r="J4" s="148">
        <v>2026</v>
      </c>
      <c r="K4" s="148">
        <v>2027</v>
      </c>
      <c r="L4" s="148">
        <v>2027</v>
      </c>
      <c r="M4" s="148">
        <v>2028</v>
      </c>
      <c r="N4" s="148">
        <v>2028</v>
      </c>
      <c r="O4" s="148">
        <v>2029</v>
      </c>
      <c r="P4" s="148">
        <v>2029</v>
      </c>
    </row>
    <row r="5" spans="1:16" s="149" customFormat="1">
      <c r="A5" s="150"/>
      <c r="B5" s="150"/>
      <c r="C5" s="150"/>
      <c r="D5" s="151" t="s">
        <v>294</v>
      </c>
      <c r="E5" s="151" t="s">
        <v>295</v>
      </c>
      <c r="F5" s="151" t="s">
        <v>296</v>
      </c>
      <c r="G5" s="151" t="s">
        <v>297</v>
      </c>
      <c r="H5" s="151" t="s">
        <v>298</v>
      </c>
      <c r="I5" s="151" t="s">
        <v>299</v>
      </c>
      <c r="J5" s="151" t="s">
        <v>300</v>
      </c>
      <c r="K5" s="151" t="s">
        <v>301</v>
      </c>
      <c r="L5" s="151" t="s">
        <v>302</v>
      </c>
      <c r="M5" s="151" t="s">
        <v>303</v>
      </c>
      <c r="N5" s="151" t="s">
        <v>304</v>
      </c>
      <c r="O5" s="151" t="s">
        <v>305</v>
      </c>
      <c r="P5" s="151" t="s">
        <v>306</v>
      </c>
    </row>
    <row r="6" spans="1:16" s="114" customFormat="1">
      <c r="D6" s="158">
        <v>0</v>
      </c>
      <c r="E6" s="115">
        <v>1</v>
      </c>
      <c r="F6" s="115">
        <v>2</v>
      </c>
      <c r="G6" s="115">
        <v>3</v>
      </c>
      <c r="H6" s="115">
        <v>4</v>
      </c>
      <c r="I6" s="115">
        <v>5</v>
      </c>
      <c r="J6" s="115">
        <v>6</v>
      </c>
      <c r="K6" s="115">
        <v>7</v>
      </c>
      <c r="L6" s="115">
        <v>8</v>
      </c>
      <c r="M6" s="115">
        <v>9</v>
      </c>
      <c r="N6" s="115">
        <v>10</v>
      </c>
      <c r="O6" s="115">
        <v>11</v>
      </c>
      <c r="P6" s="115">
        <v>12</v>
      </c>
    </row>
    <row r="7" spans="1:16" s="119" customFormat="1" ht="12.6">
      <c r="A7" s="132" t="s">
        <v>242</v>
      </c>
      <c r="B7" s="116" t="s">
        <v>228</v>
      </c>
      <c r="C7" s="117" t="s">
        <v>229</v>
      </c>
      <c r="D7" s="117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</row>
    <row r="8" spans="1:16" s="127" customFormat="1" ht="12.6">
      <c r="A8" s="126"/>
      <c r="B8" s="124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</row>
    <row r="9" spans="1:16" s="127" customFormat="1" ht="12.6">
      <c r="A9" s="126"/>
      <c r="B9" s="124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</row>
    <row r="10" spans="1:16" s="127" customFormat="1" ht="12.6">
      <c r="A10" s="126"/>
      <c r="B10" s="124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</row>
    <row r="11" spans="1:16" s="127" customFormat="1" ht="12.6">
      <c r="A11" s="126"/>
      <c r="B11" s="124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</row>
    <row r="12" spans="1:16" s="127" customFormat="1" ht="12.6">
      <c r="A12" s="126"/>
      <c r="B12" s="124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</row>
    <row r="13" spans="1:16" s="127" customFormat="1" ht="12.6">
      <c r="A13" s="126"/>
      <c r="B13" s="124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</row>
    <row r="14" spans="1:16" s="127" customFormat="1" ht="12.6">
      <c r="A14" s="126"/>
      <c r="B14" s="124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</row>
    <row r="15" spans="1:16" s="127" customFormat="1" ht="12.6">
      <c r="A15" s="126"/>
      <c r="B15" s="124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0000"/>
  </sheetPr>
  <dimension ref="A1:P15"/>
  <sheetViews>
    <sheetView zoomScaleNormal="100" workbookViewId="0">
      <pane ySplit="6" topLeftCell="A7" activePane="bottomLeft" state="frozen"/>
      <selection activeCell="C25" sqref="C25"/>
      <selection pane="bottomLeft" activeCell="D15" sqref="D15"/>
    </sheetView>
  </sheetViews>
  <sheetFormatPr defaultColWidth="8.88671875" defaultRowHeight="13.8"/>
  <cols>
    <col min="1" max="1" width="66.33203125" style="143" customWidth="1"/>
    <col min="2" max="2" width="10.5546875" style="143" customWidth="1"/>
    <col min="3" max="3" width="10" style="143" bestFit="1" customWidth="1"/>
    <col min="4" max="4" width="22.88671875" style="143" customWidth="1"/>
    <col min="5" max="15" width="21.6640625" style="143" bestFit="1" customWidth="1"/>
    <col min="16" max="16" width="22.88671875" style="143" bestFit="1" customWidth="1"/>
    <col min="17" max="16384" width="8.88671875" style="143"/>
  </cols>
  <sheetData>
    <row r="1" spans="1:16" s="105" customFormat="1" ht="19.8">
      <c r="A1" s="156" t="s">
        <v>239</v>
      </c>
      <c r="B1" s="156"/>
      <c r="C1" s="156"/>
      <c r="D1" s="156"/>
      <c r="E1" s="156"/>
      <c r="F1" s="156"/>
      <c r="G1" s="157"/>
      <c r="H1" s="157"/>
      <c r="I1" s="157"/>
      <c r="J1" s="157"/>
      <c r="K1" s="157"/>
      <c r="L1" s="157"/>
      <c r="M1" s="157"/>
      <c r="N1" s="157"/>
      <c r="O1" s="157"/>
      <c r="P1" s="157"/>
    </row>
    <row r="2" spans="1:16" s="107" customFormat="1">
      <c r="A2" s="106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</row>
    <row r="3" spans="1:16" s="108" customFormat="1">
      <c r="A3" s="110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</row>
    <row r="4" spans="1:16" s="147" customFormat="1">
      <c r="D4" s="148">
        <v>2024</v>
      </c>
      <c r="E4" s="148">
        <v>2025</v>
      </c>
      <c r="F4" s="148">
        <v>2025</v>
      </c>
      <c r="G4" s="148">
        <v>2025</v>
      </c>
      <c r="H4" s="148">
        <v>2025</v>
      </c>
      <c r="I4" s="148">
        <v>2026</v>
      </c>
      <c r="J4" s="148">
        <v>2026</v>
      </c>
      <c r="K4" s="148">
        <v>2027</v>
      </c>
      <c r="L4" s="148">
        <v>2027</v>
      </c>
      <c r="M4" s="148">
        <v>2028</v>
      </c>
      <c r="N4" s="148">
        <v>2028</v>
      </c>
      <c r="O4" s="148">
        <v>2029</v>
      </c>
      <c r="P4" s="148">
        <v>2029</v>
      </c>
    </row>
    <row r="5" spans="1:16" s="149" customFormat="1">
      <c r="A5" s="150"/>
      <c r="B5" s="150"/>
      <c r="C5" s="150"/>
      <c r="D5" s="151" t="s">
        <v>294</v>
      </c>
      <c r="E5" s="151" t="s">
        <v>295</v>
      </c>
      <c r="F5" s="151" t="s">
        <v>296</v>
      </c>
      <c r="G5" s="151" t="s">
        <v>297</v>
      </c>
      <c r="H5" s="151" t="s">
        <v>298</v>
      </c>
      <c r="I5" s="151" t="s">
        <v>299</v>
      </c>
      <c r="J5" s="151" t="s">
        <v>300</v>
      </c>
      <c r="K5" s="151" t="s">
        <v>301</v>
      </c>
      <c r="L5" s="151" t="s">
        <v>302</v>
      </c>
      <c r="M5" s="151" t="s">
        <v>303</v>
      </c>
      <c r="N5" s="151" t="s">
        <v>304</v>
      </c>
      <c r="O5" s="151" t="s">
        <v>305</v>
      </c>
      <c r="P5" s="151" t="s">
        <v>306</v>
      </c>
    </row>
    <row r="6" spans="1:16" s="114" customFormat="1">
      <c r="D6" s="158">
        <v>0</v>
      </c>
      <c r="E6" s="115">
        <v>1</v>
      </c>
      <c r="F6" s="115">
        <v>2</v>
      </c>
      <c r="G6" s="115">
        <v>3</v>
      </c>
      <c r="H6" s="115">
        <v>4</v>
      </c>
      <c r="I6" s="115">
        <v>5</v>
      </c>
      <c r="J6" s="115">
        <v>6</v>
      </c>
      <c r="K6" s="115">
        <v>7</v>
      </c>
      <c r="L6" s="115">
        <v>8</v>
      </c>
      <c r="M6" s="115">
        <v>9</v>
      </c>
      <c r="N6" s="115">
        <v>10</v>
      </c>
      <c r="O6" s="115">
        <v>11</v>
      </c>
      <c r="P6" s="115">
        <v>12</v>
      </c>
    </row>
    <row r="7" spans="1:16" s="119" customFormat="1" ht="12.6">
      <c r="A7" s="132" t="s">
        <v>242</v>
      </c>
      <c r="B7" s="116" t="s">
        <v>228</v>
      </c>
      <c r="C7" s="117" t="s">
        <v>229</v>
      </c>
      <c r="D7" s="117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</row>
    <row r="8" spans="1:16" s="127" customFormat="1" ht="12.6">
      <c r="A8" s="126"/>
      <c r="B8" s="124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</row>
    <row r="9" spans="1:16" s="127" customFormat="1" ht="12.6">
      <c r="A9" s="126"/>
      <c r="B9" s="124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</row>
    <row r="10" spans="1:16" s="127" customFormat="1" ht="12.6">
      <c r="A10" s="126"/>
      <c r="B10" s="124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</row>
    <row r="11" spans="1:16" s="127" customFormat="1" ht="12.6">
      <c r="A11" s="126"/>
      <c r="B11" s="124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</row>
    <row r="12" spans="1:16" s="127" customFormat="1" ht="12.6">
      <c r="A12" s="126"/>
      <c r="B12" s="124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</row>
    <row r="13" spans="1:16" s="127" customFormat="1" ht="12.6">
      <c r="A13" s="126"/>
      <c r="B13" s="124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</row>
    <row r="14" spans="1:16" s="127" customFormat="1" ht="12.6">
      <c r="A14" s="126"/>
      <c r="B14" s="124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</row>
    <row r="15" spans="1:16" s="127" customFormat="1" ht="12.6">
      <c r="A15" s="126"/>
      <c r="B15" s="124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</row>
  </sheetData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0000"/>
  </sheetPr>
  <dimension ref="A1:P15"/>
  <sheetViews>
    <sheetView zoomScaleNormal="100" workbookViewId="0">
      <pane ySplit="6" topLeftCell="A7" activePane="bottomLeft" state="frozen"/>
      <selection activeCell="C25" sqref="C25"/>
      <selection pane="bottomLeft" activeCell="A7" sqref="A7"/>
    </sheetView>
  </sheetViews>
  <sheetFormatPr defaultColWidth="8.88671875" defaultRowHeight="13.8"/>
  <cols>
    <col min="1" max="1" width="66.33203125" style="143" customWidth="1"/>
    <col min="2" max="2" width="10.5546875" style="143" customWidth="1"/>
    <col min="3" max="3" width="10" style="143" bestFit="1" customWidth="1"/>
    <col min="4" max="4" width="22.88671875" style="143" customWidth="1"/>
    <col min="5" max="15" width="21.6640625" style="143" bestFit="1" customWidth="1"/>
    <col min="16" max="16" width="22.88671875" style="143" bestFit="1" customWidth="1"/>
    <col min="17" max="16384" width="8.88671875" style="143"/>
  </cols>
  <sheetData>
    <row r="1" spans="1:16" s="105" customFormat="1" ht="19.8">
      <c r="A1" s="156" t="s">
        <v>239</v>
      </c>
      <c r="B1" s="156"/>
      <c r="C1" s="156"/>
      <c r="D1" s="156"/>
      <c r="E1" s="156"/>
      <c r="F1" s="156"/>
      <c r="G1" s="157"/>
      <c r="H1" s="157"/>
      <c r="I1" s="157"/>
      <c r="J1" s="157"/>
      <c r="K1" s="157"/>
      <c r="L1" s="157"/>
      <c r="M1" s="157"/>
      <c r="N1" s="157"/>
      <c r="O1" s="157"/>
      <c r="P1" s="157"/>
    </row>
    <row r="2" spans="1:16" s="107" customFormat="1">
      <c r="A2" s="106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</row>
    <row r="3" spans="1:16" s="108" customFormat="1">
      <c r="A3" s="110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</row>
    <row r="4" spans="1:16" s="147" customFormat="1">
      <c r="D4" s="148">
        <v>2024</v>
      </c>
      <c r="E4" s="148">
        <v>2025</v>
      </c>
      <c r="F4" s="148">
        <v>2025</v>
      </c>
      <c r="G4" s="148">
        <v>2025</v>
      </c>
      <c r="H4" s="148">
        <v>2025</v>
      </c>
      <c r="I4" s="148">
        <v>2026</v>
      </c>
      <c r="J4" s="148">
        <v>2026</v>
      </c>
      <c r="K4" s="148">
        <v>2027</v>
      </c>
      <c r="L4" s="148">
        <v>2027</v>
      </c>
      <c r="M4" s="148">
        <v>2028</v>
      </c>
      <c r="N4" s="148">
        <v>2028</v>
      </c>
      <c r="O4" s="148">
        <v>2029</v>
      </c>
      <c r="P4" s="148">
        <v>2029</v>
      </c>
    </row>
    <row r="5" spans="1:16" s="149" customFormat="1">
      <c r="A5" s="150"/>
      <c r="B5" s="150"/>
      <c r="C5" s="150"/>
      <c r="D5" s="151" t="s">
        <v>294</v>
      </c>
      <c r="E5" s="151" t="s">
        <v>295</v>
      </c>
      <c r="F5" s="151" t="s">
        <v>296</v>
      </c>
      <c r="G5" s="151" t="s">
        <v>297</v>
      </c>
      <c r="H5" s="151" t="s">
        <v>298</v>
      </c>
      <c r="I5" s="151" t="s">
        <v>299</v>
      </c>
      <c r="J5" s="151" t="s">
        <v>300</v>
      </c>
      <c r="K5" s="151" t="s">
        <v>301</v>
      </c>
      <c r="L5" s="151" t="s">
        <v>302</v>
      </c>
      <c r="M5" s="151" t="s">
        <v>303</v>
      </c>
      <c r="N5" s="151" t="s">
        <v>304</v>
      </c>
      <c r="O5" s="151" t="s">
        <v>305</v>
      </c>
      <c r="P5" s="151" t="s">
        <v>306</v>
      </c>
    </row>
    <row r="6" spans="1:16" s="114" customFormat="1">
      <c r="D6" s="158">
        <v>0</v>
      </c>
      <c r="E6" s="115">
        <v>1</v>
      </c>
      <c r="F6" s="115">
        <v>2</v>
      </c>
      <c r="G6" s="115">
        <v>3</v>
      </c>
      <c r="H6" s="115">
        <v>4</v>
      </c>
      <c r="I6" s="115">
        <v>5</v>
      </c>
      <c r="J6" s="115">
        <v>6</v>
      </c>
      <c r="K6" s="115">
        <v>7</v>
      </c>
      <c r="L6" s="115">
        <v>8</v>
      </c>
      <c r="M6" s="115">
        <v>9</v>
      </c>
      <c r="N6" s="115">
        <v>10</v>
      </c>
      <c r="O6" s="115">
        <v>11</v>
      </c>
      <c r="P6" s="115">
        <v>12</v>
      </c>
    </row>
    <row r="7" spans="1:16" s="119" customFormat="1" ht="12.6">
      <c r="A7" s="132" t="s">
        <v>318</v>
      </c>
      <c r="B7" s="116" t="s">
        <v>228</v>
      </c>
      <c r="C7" s="117" t="s">
        <v>229</v>
      </c>
      <c r="D7" s="117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</row>
    <row r="8" spans="1:16" s="127" customFormat="1" ht="12.6">
      <c r="A8" s="126"/>
      <c r="B8" s="124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</row>
    <row r="9" spans="1:16" s="127" customFormat="1" ht="12.6">
      <c r="A9" s="126"/>
      <c r="B9" s="124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</row>
    <row r="10" spans="1:16" s="127" customFormat="1" ht="12.6">
      <c r="A10" s="126"/>
      <c r="B10" s="124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</row>
    <row r="11" spans="1:16" s="127" customFormat="1" ht="12.6">
      <c r="A11" s="126"/>
      <c r="B11" s="124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</row>
    <row r="12" spans="1:16" s="127" customFormat="1" ht="12.6">
      <c r="A12" s="126"/>
      <c r="B12" s="124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</row>
    <row r="13" spans="1:16" s="127" customFormat="1" ht="12.6">
      <c r="A13" s="126"/>
      <c r="B13" s="124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</row>
    <row r="14" spans="1:16" s="127" customFormat="1" ht="12.6">
      <c r="A14" s="126"/>
      <c r="B14" s="124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</row>
    <row r="15" spans="1:16" s="127" customFormat="1" ht="12.6">
      <c r="A15" s="126"/>
      <c r="B15" s="124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</row>
  </sheetData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0000"/>
  </sheetPr>
  <dimension ref="A1:P15"/>
  <sheetViews>
    <sheetView zoomScaleNormal="100" workbookViewId="0">
      <pane ySplit="4" topLeftCell="A5" activePane="bottomLeft" state="frozen"/>
      <selection activeCell="E17" sqref="E17"/>
      <selection pane="bottomLeft" activeCell="B20" sqref="B20"/>
    </sheetView>
  </sheetViews>
  <sheetFormatPr defaultColWidth="8.88671875" defaultRowHeight="13.8"/>
  <cols>
    <col min="1" max="1" width="60.33203125" style="143" customWidth="1"/>
    <col min="2" max="2" width="9.88671875" style="143" bestFit="1" customWidth="1"/>
    <col min="3" max="3" width="23.6640625" style="143" customWidth="1"/>
    <col min="4" max="4" width="22.88671875" style="143" customWidth="1"/>
    <col min="5" max="15" width="21.6640625" style="143" bestFit="1" customWidth="1"/>
    <col min="16" max="16" width="22.88671875" style="143" bestFit="1" customWidth="1"/>
    <col min="17" max="16384" width="8.88671875" style="143"/>
  </cols>
  <sheetData>
    <row r="1" spans="1:16" s="105" customFormat="1" ht="19.8">
      <c r="A1" s="156" t="s">
        <v>240</v>
      </c>
      <c r="B1" s="156"/>
      <c r="C1" s="156"/>
      <c r="D1" s="156"/>
      <c r="E1" s="156"/>
      <c r="F1" s="156"/>
      <c r="G1" s="157"/>
      <c r="H1" s="157"/>
      <c r="I1" s="157"/>
      <c r="J1" s="157"/>
      <c r="K1" s="157"/>
      <c r="L1" s="157"/>
      <c r="M1" s="157"/>
      <c r="N1" s="157"/>
      <c r="O1" s="157"/>
      <c r="P1" s="157"/>
    </row>
    <row r="2" spans="1:16" s="107" customFormat="1">
      <c r="A2" s="106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</row>
    <row r="3" spans="1:16" s="108" customFormat="1">
      <c r="A3" s="110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</row>
    <row r="4" spans="1:16" s="108" customFormat="1">
      <c r="D4" s="148">
        <v>2024</v>
      </c>
      <c r="E4" s="148">
        <v>2025</v>
      </c>
      <c r="F4" s="148">
        <v>2025</v>
      </c>
      <c r="G4" s="148">
        <v>2025</v>
      </c>
      <c r="H4" s="148">
        <v>2025</v>
      </c>
      <c r="I4" s="148">
        <v>2026</v>
      </c>
      <c r="J4" s="148">
        <v>2026</v>
      </c>
      <c r="K4" s="148">
        <v>2027</v>
      </c>
      <c r="L4" s="148">
        <v>2027</v>
      </c>
      <c r="M4" s="148">
        <v>2028</v>
      </c>
      <c r="N4" s="148">
        <v>2028</v>
      </c>
      <c r="O4" s="148">
        <v>2029</v>
      </c>
      <c r="P4" s="148">
        <v>2029</v>
      </c>
    </row>
    <row r="5" spans="1:16" s="113" customFormat="1">
      <c r="A5" s="112"/>
      <c r="B5" s="112"/>
      <c r="C5" s="112"/>
      <c r="D5" s="151" t="s">
        <v>294</v>
      </c>
      <c r="E5" s="151" t="s">
        <v>295</v>
      </c>
      <c r="F5" s="151" t="s">
        <v>296</v>
      </c>
      <c r="G5" s="151" t="s">
        <v>297</v>
      </c>
      <c r="H5" s="151" t="s">
        <v>298</v>
      </c>
      <c r="I5" s="151" t="s">
        <v>299</v>
      </c>
      <c r="J5" s="151" t="s">
        <v>300</v>
      </c>
      <c r="K5" s="151" t="s">
        <v>301</v>
      </c>
      <c r="L5" s="151" t="s">
        <v>302</v>
      </c>
      <c r="M5" s="151" t="s">
        <v>303</v>
      </c>
      <c r="N5" s="151" t="s">
        <v>304</v>
      </c>
      <c r="O5" s="151" t="s">
        <v>305</v>
      </c>
      <c r="P5" s="151" t="s">
        <v>306</v>
      </c>
    </row>
    <row r="6" spans="1:16" s="114" customFormat="1">
      <c r="D6" s="158">
        <v>0</v>
      </c>
      <c r="E6" s="115">
        <v>1</v>
      </c>
      <c r="F6" s="115">
        <v>2</v>
      </c>
      <c r="G6" s="115">
        <v>3</v>
      </c>
      <c r="H6" s="115">
        <v>4</v>
      </c>
      <c r="I6" s="115">
        <v>5</v>
      </c>
      <c r="J6" s="115">
        <v>6</v>
      </c>
      <c r="K6" s="115">
        <v>7</v>
      </c>
      <c r="L6" s="115">
        <v>8</v>
      </c>
      <c r="M6" s="115">
        <v>9</v>
      </c>
      <c r="N6" s="115">
        <v>10</v>
      </c>
      <c r="O6" s="115">
        <v>11</v>
      </c>
      <c r="P6" s="115">
        <v>12</v>
      </c>
    </row>
    <row r="7" spans="1:16" s="119" customFormat="1" ht="12.6">
      <c r="A7" s="132" t="s">
        <v>18</v>
      </c>
      <c r="B7" s="116" t="s">
        <v>228</v>
      </c>
      <c r="C7" s="117" t="s">
        <v>229</v>
      </c>
      <c r="D7" s="117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</row>
    <row r="8" spans="1:16">
      <c r="D8" s="127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</row>
    <row r="9" spans="1:16">
      <c r="D9" s="127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</row>
    <row r="10" spans="1:16">
      <c r="D10" s="127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</row>
    <row r="11" spans="1:16">
      <c r="D11" s="127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</row>
    <row r="12" spans="1:16">
      <c r="D12" s="127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</row>
    <row r="13" spans="1:16">
      <c r="D13" s="127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</row>
    <row r="14" spans="1:16">
      <c r="D14" s="127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</row>
    <row r="15" spans="1:16">
      <c r="D15" s="127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9" tint="0.79998168889431442"/>
  </sheetPr>
  <dimension ref="G6:K13"/>
  <sheetViews>
    <sheetView workbookViewId="0">
      <selection activeCell="G8" sqref="G8"/>
    </sheetView>
  </sheetViews>
  <sheetFormatPr defaultColWidth="8.88671875" defaultRowHeight="14.4"/>
  <cols>
    <col min="1" max="5" width="8.88671875" style="145"/>
    <col min="6" max="6" width="15.5546875" style="145" bestFit="1" customWidth="1"/>
    <col min="7" max="7" width="15.5546875" style="145" customWidth="1"/>
    <col min="8" max="16384" width="8.88671875" style="145"/>
  </cols>
  <sheetData>
    <row r="6" spans="7:11" ht="23.4">
      <c r="G6" s="144" t="s">
        <v>239</v>
      </c>
    </row>
    <row r="8" spans="7:11">
      <c r="G8" s="145" t="s">
        <v>319</v>
      </c>
      <c r="H8" s="146" t="s">
        <v>320</v>
      </c>
      <c r="K8" s="160" t="s">
        <v>365</v>
      </c>
    </row>
    <row r="9" spans="7:11">
      <c r="G9" s="145" t="s">
        <v>282</v>
      </c>
      <c r="H9" s="145" t="s">
        <v>238</v>
      </c>
    </row>
    <row r="10" spans="7:11">
      <c r="G10" s="145" t="s">
        <v>285</v>
      </c>
      <c r="H10" s="145" t="s">
        <v>177</v>
      </c>
    </row>
    <row r="11" spans="7:11">
      <c r="G11" s="145" t="s">
        <v>284</v>
      </c>
      <c r="H11" s="145" t="s">
        <v>196</v>
      </c>
    </row>
    <row r="12" spans="7:11">
      <c r="G12" s="145" t="s">
        <v>283</v>
      </c>
      <c r="H12" s="145" t="s">
        <v>241</v>
      </c>
    </row>
    <row r="13" spans="7:11">
      <c r="G13" s="145" t="s">
        <v>317</v>
      </c>
      <c r="H13" s="206" t="s">
        <v>316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8" tint="0.79998168889431442"/>
  </sheetPr>
  <dimension ref="F6:H13"/>
  <sheetViews>
    <sheetView workbookViewId="0">
      <selection activeCell="H9" sqref="H9:H10"/>
    </sheetView>
  </sheetViews>
  <sheetFormatPr defaultColWidth="8.88671875" defaultRowHeight="14.4"/>
  <cols>
    <col min="1" max="5" width="8.88671875" style="145"/>
    <col min="6" max="6" width="15.5546875" style="145" bestFit="1" customWidth="1"/>
    <col min="7" max="7" width="15.5546875" style="145" customWidth="1"/>
    <col min="8" max="16384" width="8.88671875" style="145"/>
  </cols>
  <sheetData>
    <row r="6" spans="6:8" ht="23.4">
      <c r="G6" s="144" t="s">
        <v>240</v>
      </c>
    </row>
    <row r="7" spans="6:8" ht="23.4">
      <c r="F7" s="144"/>
      <c r="G7" s="144"/>
    </row>
    <row r="8" spans="6:8">
      <c r="G8" s="145" t="s">
        <v>286</v>
      </c>
      <c r="H8" s="145" t="s">
        <v>18</v>
      </c>
    </row>
    <row r="9" spans="6:8">
      <c r="G9" s="145" t="s">
        <v>287</v>
      </c>
      <c r="H9" s="145" t="s">
        <v>186</v>
      </c>
    </row>
    <row r="10" spans="6:8">
      <c r="G10" s="145" t="s">
        <v>288</v>
      </c>
      <c r="H10" s="145" t="s">
        <v>289</v>
      </c>
    </row>
    <row r="13" spans="6:8">
      <c r="H13" s="16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35</vt:i4>
      </vt:variant>
    </vt:vector>
  </HeadingPairs>
  <TitlesOfParts>
    <vt:vector size="35" baseType="lpstr">
      <vt:lpstr>Лист3</vt:lpstr>
      <vt:lpstr>Лист4</vt:lpstr>
      <vt:lpstr>Лист2</vt:lpstr>
      <vt:lpstr>Product</vt:lpstr>
      <vt:lpstr>Воронка (2)</vt:lpstr>
      <vt:lpstr>Goals</vt:lpstr>
      <vt:lpstr>Funnel</vt:lpstr>
      <vt:lpstr>Funnel QH</vt:lpstr>
      <vt:lpstr>packages (indiv)</vt:lpstr>
      <vt:lpstr>Micro_30 (indiv)</vt:lpstr>
      <vt:lpstr>Installment card_150 (indiv)</vt:lpstr>
      <vt:lpstr>Installment card_1000 (indiv)</vt:lpstr>
      <vt:lpstr>Debit card (indiv)</vt:lpstr>
      <vt:lpstr>CashCredit_dossym (indiv)</vt:lpstr>
      <vt:lpstr>BNPL_commiss (corp)</vt:lpstr>
      <vt:lpstr>Deposits (indiv)</vt:lpstr>
      <vt:lpstr>Merchants(corp)</vt:lpstr>
      <vt:lpstr>Subscr</vt:lpstr>
      <vt:lpstr>CashLoans</vt:lpstr>
      <vt:lpstr>Криейтеры (ЮЛ)</vt:lpstr>
      <vt:lpstr>OPEX_CAPEX</vt:lpstr>
      <vt:lpstr>BS (Ecosystem)</vt:lpstr>
      <vt:lpstr>PL (Ecosystem)</vt:lpstr>
      <vt:lpstr>PL (Ecosystem+KEM)</vt:lpstr>
      <vt:lpstr>Presentation</vt:lpstr>
      <vt:lpstr>Slides</vt:lpstr>
      <vt:lpstr>Comments</vt:lpstr>
      <vt:lpstr>Деб.карты</vt:lpstr>
      <vt:lpstr>ML30-Forte</vt:lpstr>
      <vt:lpstr>BNPL150-Forte</vt:lpstr>
      <vt:lpstr>BNPL1000-Forte</vt:lpstr>
      <vt:lpstr>MI-Forte</vt:lpstr>
      <vt:lpstr>NL-Finco</vt:lpstr>
      <vt:lpstr>Forte &gt;&gt;&gt;</vt:lpstr>
      <vt:lpstr>Finco &gt;&gt;&gt;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77017188781</dc:creator>
  <cp:lastModifiedBy>Big Screen Ashkinadze</cp:lastModifiedBy>
  <dcterms:created xsi:type="dcterms:W3CDTF">2024-11-09T12:07:32Z</dcterms:created>
  <dcterms:modified xsi:type="dcterms:W3CDTF">2025-02-09T18:38:23Z</dcterms:modified>
</cp:coreProperties>
</file>