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182" documentId="8_{3F362DAA-50C3-4FD5-8424-31B14A6F0275}" xr6:coauthVersionLast="47" xr6:coauthVersionMax="47" xr10:uidLastSave="{F5A136D2-2D0D-445F-8DE8-6470A1DC623B}"/>
  <bookViews>
    <workbookView xWindow="-120" yWindow="-120" windowWidth="29040" windowHeight="15840" xr2:uid="{00000000-000D-0000-FFFF-FFFF00000000}"/>
  </bookViews>
  <sheets>
    <sheet name="GC data" sheetId="3" r:id="rId1"/>
    <sheet name="TTRs 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5" i="3" l="1"/>
  <c r="BI5" i="3"/>
  <c r="BH6" i="3"/>
  <c r="BH40" i="3" s="1"/>
  <c r="BI6" i="3"/>
  <c r="BH7" i="3"/>
  <c r="BI7" i="3"/>
  <c r="BH8" i="3"/>
  <c r="BI8" i="3"/>
  <c r="BI40" i="3" s="1"/>
  <c r="BH9" i="3"/>
  <c r="BI9" i="3"/>
  <c r="BH11" i="3"/>
  <c r="BI11" i="3"/>
  <c r="BH12" i="3"/>
  <c r="BI12" i="3"/>
  <c r="BH13" i="3"/>
  <c r="BI13" i="3"/>
  <c r="BH14" i="3"/>
  <c r="BI14" i="3"/>
  <c r="BH15" i="3"/>
  <c r="BI15" i="3"/>
  <c r="BH17" i="3"/>
  <c r="BI17" i="3"/>
  <c r="BH18" i="3"/>
  <c r="BI18" i="3"/>
  <c r="BH20" i="3"/>
  <c r="BI20" i="3"/>
  <c r="BH21" i="3"/>
  <c r="BI21" i="3"/>
  <c r="BH22" i="3"/>
  <c r="BI22" i="3"/>
  <c r="BH23" i="3"/>
  <c r="BI23" i="3"/>
  <c r="BH24" i="3"/>
  <c r="BI24" i="3"/>
  <c r="BH25" i="3"/>
  <c r="BI25" i="3"/>
  <c r="BH26" i="3"/>
  <c r="BI26" i="3"/>
  <c r="BH27" i="3"/>
  <c r="BI27" i="3"/>
  <c r="BH28" i="3"/>
  <c r="BI28" i="3"/>
  <c r="BH29" i="3"/>
  <c r="BI29" i="3"/>
  <c r="BH30" i="3"/>
  <c r="BI30" i="3"/>
  <c r="BH31" i="3"/>
  <c r="BI31" i="3"/>
  <c r="BH32" i="3"/>
  <c r="BI32" i="3"/>
  <c r="BH33" i="3"/>
  <c r="BI33" i="3"/>
  <c r="BH34" i="3"/>
  <c r="BI34" i="3"/>
  <c r="BH35" i="3"/>
  <c r="BI35" i="3"/>
  <c r="BH37" i="3"/>
  <c r="BI37" i="3"/>
  <c r="BH38" i="3"/>
  <c r="BI38" i="3"/>
  <c r="B40" i="3"/>
  <c r="C40" i="3"/>
  <c r="AG31" i="3"/>
  <c r="AH31" i="3"/>
  <c r="AF31" i="3"/>
  <c r="AG29" i="3"/>
  <c r="AH29" i="3"/>
  <c r="AF29" i="3"/>
  <c r="AC29" i="3"/>
  <c r="AF30" i="3"/>
  <c r="AI31" i="3" l="1"/>
  <c r="AJ31" i="3"/>
  <c r="AK31" i="3"/>
  <c r="AL31" i="3"/>
  <c r="AM31" i="3"/>
  <c r="AN31" i="3"/>
  <c r="F40" i="3"/>
  <c r="N40" i="3"/>
  <c r="AM5" i="3"/>
  <c r="AN5" i="3"/>
  <c r="AM6" i="3"/>
  <c r="AN6" i="3"/>
  <c r="AM7" i="3"/>
  <c r="AN7" i="3"/>
  <c r="AM8" i="3"/>
  <c r="AN8" i="3"/>
  <c r="AM9" i="3"/>
  <c r="AN9" i="3"/>
  <c r="AM11" i="3"/>
  <c r="AN11" i="3"/>
  <c r="AM12" i="3"/>
  <c r="AN12" i="3"/>
  <c r="AM14" i="3"/>
  <c r="AN14" i="3"/>
  <c r="AM15" i="3"/>
  <c r="AN15" i="3"/>
  <c r="AM17" i="3"/>
  <c r="AN17" i="3"/>
  <c r="AM18" i="3"/>
  <c r="AN18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2" i="3"/>
  <c r="AN32" i="3"/>
  <c r="AM33" i="3"/>
  <c r="AN33" i="3"/>
  <c r="AM34" i="3"/>
  <c r="AN34" i="3"/>
  <c r="AM35" i="3"/>
  <c r="AN35" i="3"/>
  <c r="AM37" i="3"/>
  <c r="AN37" i="3"/>
  <c r="AM38" i="3"/>
  <c r="AN38" i="3"/>
  <c r="E40" i="3"/>
  <c r="G40" i="3"/>
  <c r="H40" i="3"/>
  <c r="I40" i="3"/>
  <c r="J40" i="3"/>
  <c r="AN39" i="3" l="1"/>
  <c r="AM39" i="3"/>
  <c r="S40" i="3"/>
  <c r="R40" i="3"/>
  <c r="W6" i="3"/>
  <c r="X18" i="3" l="1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X29" i="3"/>
  <c r="Y29" i="3"/>
  <c r="Z29" i="3"/>
  <c r="AA29" i="3"/>
  <c r="AB29" i="3"/>
  <c r="AD29" i="3"/>
  <c r="AE29" i="3"/>
  <c r="AI29" i="3"/>
  <c r="AJ29" i="3"/>
  <c r="AK29" i="3"/>
  <c r="AL29" i="3"/>
  <c r="X30" i="3"/>
  <c r="Y30" i="3"/>
  <c r="Z30" i="3"/>
  <c r="AA30" i="3"/>
  <c r="AB30" i="3"/>
  <c r="AC30" i="3"/>
  <c r="AD30" i="3"/>
  <c r="AE30" i="3"/>
  <c r="AG30" i="3"/>
  <c r="AH30" i="3"/>
  <c r="AI30" i="3"/>
  <c r="AJ30" i="3"/>
  <c r="AK30" i="3"/>
  <c r="AL30" i="3"/>
  <c r="X31" i="3"/>
  <c r="Y31" i="3"/>
  <c r="Z31" i="3"/>
  <c r="AA31" i="3"/>
  <c r="AB31" i="3"/>
  <c r="AC31" i="3"/>
  <c r="AD31" i="3"/>
  <c r="AE31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W15" i="3"/>
  <c r="W14" i="3"/>
  <c r="W12" i="3"/>
  <c r="W11" i="3"/>
  <c r="W9" i="3"/>
  <c r="W8" i="3"/>
  <c r="W7" i="3"/>
  <c r="W18" i="3"/>
  <c r="AF39" i="3" l="1"/>
  <c r="W5" i="3"/>
  <c r="AJ39" i="3" l="1"/>
  <c r="AI39" i="3"/>
  <c r="AG39" i="3"/>
  <c r="AL39" i="3"/>
  <c r="AH39" i="3"/>
  <c r="AK39" i="3"/>
  <c r="X5" i="3"/>
  <c r="AS5" i="3" s="1"/>
  <c r="BM5" i="3" s="1"/>
  <c r="Y5" i="3"/>
  <c r="AT5" i="3" s="1"/>
  <c r="BN5" i="3" s="1"/>
  <c r="Z5" i="3"/>
  <c r="AU5" i="3" s="1"/>
  <c r="BO5" i="3" s="1"/>
  <c r="AA5" i="3"/>
  <c r="AV5" i="3" s="1"/>
  <c r="BP5" i="3" s="1"/>
  <c r="AB5" i="3"/>
  <c r="AW5" i="3" s="1"/>
  <c r="BQ5" i="3" s="1"/>
  <c r="AC5" i="3"/>
  <c r="AX5" i="3" s="1"/>
  <c r="BR5" i="3" s="1"/>
  <c r="AD5" i="3"/>
  <c r="AY5" i="3" s="1"/>
  <c r="BS5" i="3" s="1"/>
  <c r="AE5" i="3"/>
  <c r="AZ5" i="3" s="1"/>
  <c r="BT5" i="3" s="1"/>
  <c r="AF5" i="3"/>
  <c r="BA5" i="3" s="1"/>
  <c r="BU5" i="3" s="1"/>
  <c r="AG5" i="3"/>
  <c r="BB5" i="3" s="1"/>
  <c r="BV5" i="3" s="1"/>
  <c r="AH5" i="3"/>
  <c r="BC5" i="3" s="1"/>
  <c r="BW5" i="3" s="1"/>
  <c r="AI5" i="3"/>
  <c r="BD5" i="3" s="1"/>
  <c r="BX5" i="3" s="1"/>
  <c r="AJ5" i="3"/>
  <c r="BE5" i="3" s="1"/>
  <c r="BY5" i="3" s="1"/>
  <c r="AK5" i="3"/>
  <c r="BF5" i="3" s="1"/>
  <c r="BZ5" i="3" s="1"/>
  <c r="AL5" i="3"/>
  <c r="BG5" i="3" s="1"/>
  <c r="CA5" i="3" s="1"/>
  <c r="AR5" i="3"/>
  <c r="BL5" i="3" s="1"/>
  <c r="BE13" i="3" l="1"/>
  <c r="BG13" i="3" l="1"/>
  <c r="BC13" i="3"/>
  <c r="BD13" i="3"/>
  <c r="BF13" i="3"/>
  <c r="E6" i="6"/>
  <c r="E7" i="6"/>
  <c r="E8" i="6"/>
  <c r="E9" i="6"/>
  <c r="F9" i="6" s="1"/>
  <c r="E10" i="6"/>
  <c r="E11" i="6"/>
  <c r="E12" i="6"/>
  <c r="E13" i="6"/>
  <c r="E14" i="6"/>
  <c r="E15" i="6"/>
  <c r="E16" i="6"/>
  <c r="E17" i="6"/>
  <c r="F17" i="6" s="1"/>
  <c r="E18" i="6"/>
  <c r="E19" i="6"/>
  <c r="E20" i="6"/>
  <c r="E21" i="6"/>
  <c r="E22" i="6"/>
  <c r="E23" i="6"/>
  <c r="E4" i="6"/>
  <c r="F4" i="6" s="1"/>
  <c r="E30" i="6"/>
  <c r="E31" i="6"/>
  <c r="E32" i="6"/>
  <c r="E33" i="6"/>
  <c r="E34" i="6"/>
  <c r="E35" i="6"/>
  <c r="E36" i="6"/>
  <c r="E37" i="6"/>
  <c r="E40" i="6"/>
  <c r="E41" i="6"/>
  <c r="E42" i="6"/>
  <c r="E43" i="6"/>
  <c r="E44" i="6"/>
  <c r="E45" i="6"/>
  <c r="E46" i="6"/>
  <c r="E47" i="6"/>
  <c r="E48" i="6"/>
  <c r="E49" i="6"/>
  <c r="E56" i="6"/>
  <c r="E57" i="6"/>
  <c r="E58" i="6"/>
  <c r="E59" i="6"/>
  <c r="E60" i="6"/>
  <c r="E61" i="6"/>
  <c r="E62" i="6"/>
  <c r="E63" i="6"/>
  <c r="E66" i="6"/>
  <c r="E67" i="6"/>
  <c r="E68" i="6"/>
  <c r="E69" i="6"/>
  <c r="E70" i="6"/>
  <c r="E71" i="6"/>
  <c r="E72" i="6"/>
  <c r="E73" i="6"/>
  <c r="E74" i="6"/>
  <c r="E75" i="6"/>
  <c r="F20" i="6" l="1"/>
  <c r="F12" i="6"/>
  <c r="F16" i="6"/>
  <c r="F23" i="6"/>
  <c r="F15" i="6"/>
  <c r="F7" i="6"/>
  <c r="F22" i="6"/>
  <c r="F14" i="6"/>
  <c r="F6" i="6"/>
  <c r="F8" i="6"/>
  <c r="F21" i="6"/>
  <c r="F13" i="6"/>
  <c r="F11" i="6"/>
  <c r="F18" i="6"/>
  <c r="F10" i="6"/>
  <c r="F19" i="6"/>
  <c r="J57" i="6" l="1"/>
  <c r="J58" i="6"/>
  <c r="J59" i="6"/>
  <c r="J60" i="6"/>
  <c r="J61" i="6"/>
  <c r="J62" i="6"/>
  <c r="J63" i="6"/>
  <c r="J66" i="6"/>
  <c r="J67" i="6"/>
  <c r="J68" i="6"/>
  <c r="J69" i="6"/>
  <c r="J70" i="6"/>
  <c r="J71" i="6"/>
  <c r="J72" i="6"/>
  <c r="J73" i="6"/>
  <c r="J74" i="6"/>
  <c r="J75" i="6"/>
  <c r="J56" i="6"/>
  <c r="F75" i="6" l="1"/>
  <c r="F74" i="6"/>
  <c r="F73" i="6"/>
  <c r="F72" i="6"/>
  <c r="F71" i="6"/>
  <c r="F70" i="6"/>
  <c r="F69" i="6"/>
  <c r="F68" i="6"/>
  <c r="F67" i="6"/>
  <c r="F66" i="6"/>
  <c r="F63" i="6"/>
  <c r="F62" i="6"/>
  <c r="F61" i="6"/>
  <c r="F60" i="6"/>
  <c r="F59" i="6"/>
  <c r="F58" i="6"/>
  <c r="F57" i="6"/>
  <c r="F56" i="6"/>
  <c r="D40" i="3" l="1"/>
  <c r="K40" i="3"/>
  <c r="L40" i="3"/>
  <c r="M40" i="3"/>
  <c r="O40" i="3"/>
  <c r="P40" i="3"/>
  <c r="Q40" i="3"/>
  <c r="W38" i="3"/>
  <c r="W37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0" i="3"/>
  <c r="W17" i="3"/>
  <c r="J41" i="6"/>
  <c r="J42" i="6"/>
  <c r="J43" i="6"/>
  <c r="J44" i="6"/>
  <c r="J45" i="6"/>
  <c r="J46" i="6"/>
  <c r="J47" i="6"/>
  <c r="J48" i="6"/>
  <c r="J49" i="6"/>
  <c r="J31" i="6"/>
  <c r="J32" i="6"/>
  <c r="J33" i="6"/>
  <c r="J34" i="6"/>
  <c r="J35" i="6"/>
  <c r="J36" i="6"/>
  <c r="J37" i="6"/>
  <c r="BF6" i="3" l="1"/>
  <c r="BG18" i="3"/>
  <c r="BD18" i="3"/>
  <c r="BE6" i="3"/>
  <c r="BF26" i="3"/>
  <c r="BF37" i="3"/>
  <c r="BF35" i="3"/>
  <c r="BF12" i="3"/>
  <c r="BF31" i="3"/>
  <c r="BG27" i="3"/>
  <c r="BF21" i="3"/>
  <c r="BF8" i="3"/>
  <c r="BG6" i="3"/>
  <c r="BG32" i="3"/>
  <c r="BF22" i="3"/>
  <c r="BF29" i="3"/>
  <c r="BF24" i="3"/>
  <c r="BF25" i="3"/>
  <c r="BF14" i="3"/>
  <c r="BG21" i="3"/>
  <c r="BG31" i="3"/>
  <c r="BG24" i="3"/>
  <c r="BF20" i="3"/>
  <c r="BF30" i="3"/>
  <c r="BF32" i="3"/>
  <c r="BF33" i="3"/>
  <c r="BF38" i="3"/>
  <c r="BG14" i="3"/>
  <c r="BF17" i="3"/>
  <c r="BF34" i="3"/>
  <c r="BG30" i="3"/>
  <c r="BG17" i="3"/>
  <c r="BG37" i="3"/>
  <c r="BG20" i="3"/>
  <c r="BG12" i="3"/>
  <c r="BF28" i="3"/>
  <c r="BG38" i="3"/>
  <c r="BF9" i="3"/>
  <c r="BG26" i="3"/>
  <c r="BE21" i="3"/>
  <c r="BE8" i="3"/>
  <c r="BE23" i="3"/>
  <c r="BE33" i="3"/>
  <c r="BG35" i="3"/>
  <c r="BG34" i="3"/>
  <c r="BG23" i="3"/>
  <c r="BG15" i="3"/>
  <c r="BG28" i="3"/>
  <c r="BG29" i="3"/>
  <c r="BE22" i="3"/>
  <c r="BE15" i="3"/>
  <c r="BE29" i="3"/>
  <c r="BE35" i="3"/>
  <c r="BE9" i="3"/>
  <c r="BE27" i="3"/>
  <c r="BE32" i="3"/>
  <c r="BE26" i="3"/>
  <c r="BE37" i="3"/>
  <c r="BE31" i="3"/>
  <c r="BG11" i="3"/>
  <c r="BE20" i="3"/>
  <c r="BG7" i="3"/>
  <c r="BE30" i="3"/>
  <c r="BG33" i="3"/>
  <c r="BE38" i="3"/>
  <c r="BE17" i="3"/>
  <c r="BE11" i="3"/>
  <c r="BE28" i="3"/>
  <c r="BE34" i="3"/>
  <c r="BE25" i="3"/>
  <c r="BE14" i="3"/>
  <c r="BE24" i="3"/>
  <c r="BD17" i="3"/>
  <c r="BD20" i="3"/>
  <c r="BD9" i="3"/>
  <c r="BD32" i="3"/>
  <c r="BD30" i="3"/>
  <c r="BD22" i="3"/>
  <c r="BD31" i="3"/>
  <c r="BG9" i="3"/>
  <c r="BD23" i="3"/>
  <c r="BD28" i="3"/>
  <c r="BG8" i="3"/>
  <c r="BD29" i="3"/>
  <c r="BD27" i="3"/>
  <c r="BD21" i="3"/>
  <c r="BD37" i="3"/>
  <c r="BD24" i="3"/>
  <c r="BD15" i="3"/>
  <c r="BD11" i="3"/>
  <c r="BD33" i="3"/>
  <c r="BD34" i="3"/>
  <c r="BD35" i="3"/>
  <c r="BD26" i="3"/>
  <c r="BG25" i="3"/>
  <c r="BD12" i="3"/>
  <c r="BG22" i="3"/>
  <c r="BF23" i="3"/>
  <c r="BF15" i="3"/>
  <c r="BF7" i="3"/>
  <c r="BF27" i="3"/>
  <c r="BF11" i="3"/>
  <c r="BD7" i="3"/>
  <c r="BD38" i="3"/>
  <c r="BD25" i="3"/>
  <c r="BD14" i="3"/>
  <c r="BE12" i="3"/>
  <c r="BF18" i="3"/>
  <c r="BD6" i="3"/>
  <c r="BD8" i="3"/>
  <c r="BE7" i="3"/>
  <c r="BE18" i="3"/>
  <c r="BX7" i="3" l="1"/>
  <c r="BY7" i="3"/>
  <c r="CA7" i="3"/>
  <c r="H72" i="6"/>
  <c r="L72" i="6" s="1"/>
  <c r="N72" i="6" s="1"/>
  <c r="BY6" i="3"/>
  <c r="BZ7" i="3"/>
  <c r="H71" i="6"/>
  <c r="L71" i="6" s="1"/>
  <c r="N71" i="6" s="1"/>
  <c r="BX6" i="3"/>
  <c r="H73" i="6"/>
  <c r="L73" i="6" s="1"/>
  <c r="N73" i="6" s="1"/>
  <c r="BZ6" i="3"/>
  <c r="H74" i="6"/>
  <c r="L74" i="6" s="1"/>
  <c r="N74" i="6" s="1"/>
  <c r="CA6" i="3"/>
  <c r="H75" i="6"/>
  <c r="L75" i="6" s="1"/>
  <c r="N75" i="6" s="1"/>
  <c r="BG40" i="3"/>
  <c r="BF40" i="3"/>
  <c r="BD40" i="3"/>
  <c r="BE40" i="3"/>
  <c r="J40" i="6" l="1"/>
  <c r="J30" i="6"/>
  <c r="F30" i="6" l="1"/>
  <c r="F32" i="6"/>
  <c r="F37" i="6"/>
  <c r="F35" i="6"/>
  <c r="F33" i="6"/>
  <c r="F31" i="6"/>
  <c r="F34" i="6"/>
  <c r="F36" i="6"/>
  <c r="F40" i="6"/>
  <c r="F46" i="6"/>
  <c r="F44" i="6"/>
  <c r="F47" i="6"/>
  <c r="F42" i="6"/>
  <c r="F49" i="6"/>
  <c r="F43" i="6"/>
  <c r="F45" i="6"/>
  <c r="F41" i="6"/>
  <c r="F48" i="6"/>
  <c r="H19" i="6" l="1"/>
  <c r="L19" i="6" s="1"/>
  <c r="N19" i="6" s="1"/>
  <c r="H23" i="6"/>
  <c r="L23" i="6" s="1"/>
  <c r="N23" i="6" s="1"/>
  <c r="H22" i="6"/>
  <c r="L22" i="6" s="1"/>
  <c r="N22" i="6" s="1"/>
  <c r="H21" i="6"/>
  <c r="L21" i="6" s="1"/>
  <c r="N21" i="6" s="1"/>
  <c r="H20" i="6"/>
  <c r="L20" i="6" s="1"/>
  <c r="N20" i="6" s="1"/>
  <c r="H49" i="6" l="1"/>
  <c r="L49" i="6" s="1"/>
  <c r="N49" i="6" s="1"/>
  <c r="H46" i="6"/>
  <c r="L46" i="6" s="1"/>
  <c r="N46" i="6" s="1"/>
  <c r="H45" i="6"/>
  <c r="L45" i="6" s="1"/>
  <c r="N45" i="6" s="1"/>
  <c r="H48" i="6"/>
  <c r="L48" i="6" s="1"/>
  <c r="N48" i="6" s="1"/>
  <c r="H47" i="6" l="1"/>
  <c r="L47" i="6" s="1"/>
  <c r="N47" i="6" s="1"/>
  <c r="H56" i="6" l="1"/>
  <c r="L56" i="6" s="1"/>
  <c r="N56" i="6" s="1"/>
  <c r="H30" i="6" l="1"/>
  <c r="L30" i="6" s="1"/>
  <c r="N30" i="6" s="1"/>
  <c r="W21" i="3"/>
  <c r="Z39" i="3" l="1"/>
  <c r="Y39" i="3"/>
  <c r="X39" i="3"/>
  <c r="W39" i="3"/>
  <c r="AR15" i="3" s="1"/>
  <c r="AD39" i="3"/>
  <c r="AA39" i="3"/>
  <c r="AC39" i="3"/>
  <c r="AB39" i="3"/>
  <c r="BC21" i="3"/>
  <c r="AE39" i="3"/>
  <c r="AZ15" i="3" l="1"/>
  <c r="H13" i="6" s="1"/>
  <c r="AV21" i="3"/>
  <c r="BA15" i="3"/>
  <c r="H16" i="6" s="1"/>
  <c r="L16" i="6" s="1"/>
  <c r="N16" i="6" s="1"/>
  <c r="BB21" i="3"/>
  <c r="BB13" i="3"/>
  <c r="AS15" i="3"/>
  <c r="H6" i="6" s="1"/>
  <c r="L6" i="6" s="1"/>
  <c r="N6" i="6" s="1"/>
  <c r="AX15" i="3"/>
  <c r="H11" i="6" s="1"/>
  <c r="L11" i="6" s="1"/>
  <c r="N11" i="6" s="1"/>
  <c r="AU15" i="3"/>
  <c r="H8" i="6" s="1"/>
  <c r="L8" i="6" s="1"/>
  <c r="N8" i="6" s="1"/>
  <c r="H4" i="6"/>
  <c r="L4" i="6" s="1"/>
  <c r="N4" i="6" s="1"/>
  <c r="AR18" i="3"/>
  <c r="AU21" i="3"/>
  <c r="AS21" i="3"/>
  <c r="BA21" i="3"/>
  <c r="AR21" i="3"/>
  <c r="AZ21" i="3"/>
  <c r="AT12" i="3"/>
  <c r="AT31" i="3"/>
  <c r="AT37" i="3"/>
  <c r="AT33" i="3"/>
  <c r="AT7" i="3"/>
  <c r="AT30" i="3"/>
  <c r="AT6" i="3"/>
  <c r="AT38" i="3"/>
  <c r="AT18" i="3"/>
  <c r="AT29" i="3"/>
  <c r="AT11" i="3"/>
  <c r="AT26" i="3"/>
  <c r="AT8" i="3"/>
  <c r="AT28" i="3"/>
  <c r="AT20" i="3"/>
  <c r="AT35" i="3"/>
  <c r="AT25" i="3"/>
  <c r="AT27" i="3"/>
  <c r="AT24" i="3"/>
  <c r="AT23" i="3"/>
  <c r="AT34" i="3"/>
  <c r="AT32" i="3"/>
  <c r="AT17" i="3"/>
  <c r="AT22" i="3"/>
  <c r="AT9" i="3"/>
  <c r="AT14" i="3"/>
  <c r="AT15" i="3"/>
  <c r="H7" i="6" s="1"/>
  <c r="L7" i="6" s="1"/>
  <c r="N7" i="6" s="1"/>
  <c r="AT21" i="3"/>
  <c r="AS11" i="3"/>
  <c r="AS29" i="3"/>
  <c r="AS31" i="3"/>
  <c r="AS34" i="3"/>
  <c r="AS8" i="3"/>
  <c r="AS7" i="3"/>
  <c r="AS25" i="3"/>
  <c r="AS30" i="3"/>
  <c r="AS24" i="3"/>
  <c r="AS12" i="3"/>
  <c r="AS6" i="3"/>
  <c r="AS32" i="3"/>
  <c r="AS35" i="3"/>
  <c r="AS14" i="3"/>
  <c r="AS17" i="3"/>
  <c r="AS33" i="3"/>
  <c r="AS22" i="3"/>
  <c r="AS26" i="3"/>
  <c r="AS28" i="3"/>
  <c r="AS18" i="3"/>
  <c r="AS27" i="3"/>
  <c r="AS9" i="3"/>
  <c r="AS37" i="3"/>
  <c r="AS23" i="3"/>
  <c r="AS38" i="3"/>
  <c r="AS20" i="3"/>
  <c r="AU18" i="3"/>
  <c r="AU8" i="3"/>
  <c r="AU6" i="3"/>
  <c r="AU37" i="3"/>
  <c r="AU31" i="3"/>
  <c r="AU7" i="3"/>
  <c r="AU9" i="3"/>
  <c r="AU11" i="3"/>
  <c r="AU34" i="3"/>
  <c r="AU33" i="3"/>
  <c r="AU23" i="3"/>
  <c r="AU26" i="3"/>
  <c r="AU20" i="3"/>
  <c r="AU30" i="3"/>
  <c r="AU17" i="3"/>
  <c r="AU24" i="3"/>
  <c r="AU28" i="3"/>
  <c r="AU35" i="3"/>
  <c r="AU27" i="3"/>
  <c r="AU32" i="3"/>
  <c r="AU38" i="3"/>
  <c r="AU25" i="3"/>
  <c r="AU12" i="3"/>
  <c r="AU22" i="3"/>
  <c r="AU29" i="3"/>
  <c r="AU14" i="3"/>
  <c r="BB15" i="3"/>
  <c r="H17" i="6" s="1"/>
  <c r="L17" i="6" s="1"/>
  <c r="N17" i="6" s="1"/>
  <c r="AV34" i="3"/>
  <c r="AV12" i="3"/>
  <c r="AV22" i="3"/>
  <c r="AV9" i="3"/>
  <c r="AV25" i="3"/>
  <c r="AV32" i="3"/>
  <c r="AV6" i="3"/>
  <c r="AV7" i="3"/>
  <c r="AV24" i="3"/>
  <c r="AV11" i="3"/>
  <c r="AV38" i="3"/>
  <c r="AV27" i="3"/>
  <c r="AV28" i="3"/>
  <c r="AV37" i="3"/>
  <c r="AV30" i="3"/>
  <c r="AV8" i="3"/>
  <c r="AV26" i="3"/>
  <c r="AV18" i="3"/>
  <c r="AV14" i="3"/>
  <c r="AV20" i="3"/>
  <c r="AV35" i="3"/>
  <c r="AV23" i="3"/>
  <c r="AV29" i="3"/>
  <c r="AV33" i="3"/>
  <c r="AV17" i="3"/>
  <c r="AV31" i="3"/>
  <c r="AW12" i="3"/>
  <c r="AW31" i="3"/>
  <c r="AW22" i="3"/>
  <c r="AW17" i="3"/>
  <c r="AW6" i="3"/>
  <c r="AW26" i="3"/>
  <c r="AW14" i="3"/>
  <c r="AW23" i="3"/>
  <c r="AW25" i="3"/>
  <c r="AW20" i="3"/>
  <c r="AW33" i="3"/>
  <c r="AW28" i="3"/>
  <c r="AW30" i="3"/>
  <c r="AW8" i="3"/>
  <c r="AW18" i="3"/>
  <c r="AW29" i="3"/>
  <c r="AW35" i="3"/>
  <c r="AW34" i="3"/>
  <c r="AW27" i="3"/>
  <c r="AW38" i="3"/>
  <c r="AW11" i="3"/>
  <c r="AW7" i="3"/>
  <c r="AW9" i="3"/>
  <c r="AW37" i="3"/>
  <c r="AW32" i="3"/>
  <c r="AW24" i="3"/>
  <c r="AR29" i="3"/>
  <c r="AR7" i="3"/>
  <c r="AR33" i="3"/>
  <c r="AR31" i="3"/>
  <c r="AR6" i="3"/>
  <c r="AR27" i="3"/>
  <c r="AR11" i="3"/>
  <c r="AR28" i="3"/>
  <c r="AR25" i="3"/>
  <c r="AR22" i="3"/>
  <c r="AR34" i="3"/>
  <c r="AR8" i="3"/>
  <c r="AR23" i="3"/>
  <c r="BL6" i="3" s="1"/>
  <c r="AR26" i="3"/>
  <c r="AR35" i="3"/>
  <c r="AR32" i="3"/>
  <c r="AR24" i="3"/>
  <c r="AR38" i="3"/>
  <c r="AR9" i="3"/>
  <c r="AR12" i="3"/>
  <c r="AR20" i="3"/>
  <c r="AR30" i="3"/>
  <c r="AR14" i="3"/>
  <c r="AR17" i="3"/>
  <c r="AR37" i="3"/>
  <c r="AY18" i="3"/>
  <c r="AY26" i="3"/>
  <c r="AY27" i="3"/>
  <c r="AY22" i="3"/>
  <c r="AY14" i="3"/>
  <c r="AY8" i="3"/>
  <c r="AY23" i="3"/>
  <c r="AY12" i="3"/>
  <c r="AY11" i="3"/>
  <c r="AY30" i="3"/>
  <c r="AY20" i="3"/>
  <c r="AY33" i="3"/>
  <c r="AY24" i="3"/>
  <c r="AY29" i="3"/>
  <c r="AY17" i="3"/>
  <c r="AY6" i="3"/>
  <c r="AY35" i="3"/>
  <c r="AY28" i="3"/>
  <c r="AY7" i="3"/>
  <c r="AY25" i="3"/>
  <c r="AY38" i="3"/>
  <c r="AY31" i="3"/>
  <c r="AY34" i="3"/>
  <c r="AY37" i="3"/>
  <c r="AY9" i="3"/>
  <c r="AY32" i="3"/>
  <c r="AW15" i="3"/>
  <c r="H10" i="6" s="1"/>
  <c r="L10" i="6" s="1"/>
  <c r="N10" i="6" s="1"/>
  <c r="AV15" i="3"/>
  <c r="H9" i="6" s="1"/>
  <c r="L9" i="6" s="1"/>
  <c r="N9" i="6" s="1"/>
  <c r="AW21" i="3"/>
  <c r="AX30" i="3"/>
  <c r="AX12" i="3"/>
  <c r="AX26" i="3"/>
  <c r="AX7" i="3"/>
  <c r="AX18" i="3"/>
  <c r="AX35" i="3"/>
  <c r="AX14" i="3"/>
  <c r="AX11" i="3"/>
  <c r="AX9" i="3"/>
  <c r="AX31" i="3"/>
  <c r="AX24" i="3"/>
  <c r="AX20" i="3"/>
  <c r="AX38" i="3"/>
  <c r="AX34" i="3"/>
  <c r="AX29" i="3"/>
  <c r="AX17" i="3"/>
  <c r="AX22" i="3"/>
  <c r="AX23" i="3"/>
  <c r="AX32" i="3"/>
  <c r="AX8" i="3"/>
  <c r="AX6" i="3"/>
  <c r="AX33" i="3"/>
  <c r="AX25" i="3"/>
  <c r="AX28" i="3"/>
  <c r="AX37" i="3"/>
  <c r="AX27" i="3"/>
  <c r="AX21" i="3"/>
  <c r="BC15" i="3"/>
  <c r="H18" i="6" s="1"/>
  <c r="L18" i="6" s="1"/>
  <c r="N18" i="6" s="1"/>
  <c r="AY21" i="3"/>
  <c r="AZ37" i="3"/>
  <c r="AZ31" i="3"/>
  <c r="AZ35" i="3"/>
  <c r="AZ26" i="3"/>
  <c r="AZ20" i="3"/>
  <c r="AZ14" i="3"/>
  <c r="AZ8" i="3"/>
  <c r="AZ12" i="3"/>
  <c r="AZ32" i="3"/>
  <c r="AZ6" i="3"/>
  <c r="AZ27" i="3"/>
  <c r="AZ22" i="3"/>
  <c r="AZ7" i="3"/>
  <c r="AZ23" i="3"/>
  <c r="AZ28" i="3"/>
  <c r="AZ24" i="3"/>
  <c r="AZ11" i="3"/>
  <c r="AZ9" i="3"/>
  <c r="AZ34" i="3"/>
  <c r="AZ25" i="3"/>
  <c r="AZ29" i="3"/>
  <c r="AZ33" i="3"/>
  <c r="AZ18" i="3"/>
  <c r="AZ17" i="3"/>
  <c r="AZ38" i="3"/>
  <c r="AZ30" i="3"/>
  <c r="BC12" i="3"/>
  <c r="BC9" i="3"/>
  <c r="BC17" i="3"/>
  <c r="BC7" i="3"/>
  <c r="BC20" i="3"/>
  <c r="BC34" i="3"/>
  <c r="BC25" i="3"/>
  <c r="BC30" i="3"/>
  <c r="BC14" i="3"/>
  <c r="BC33" i="3"/>
  <c r="BC23" i="3"/>
  <c r="BC18" i="3"/>
  <c r="BC11" i="3"/>
  <c r="BC28" i="3"/>
  <c r="BC6" i="3"/>
  <c r="BC27" i="3"/>
  <c r="BC37" i="3"/>
  <c r="BC22" i="3"/>
  <c r="BC24" i="3"/>
  <c r="BC31" i="3"/>
  <c r="BC35" i="3"/>
  <c r="BC38" i="3"/>
  <c r="BC8" i="3"/>
  <c r="BC26" i="3"/>
  <c r="BC32" i="3"/>
  <c r="BC29" i="3"/>
  <c r="AY15" i="3"/>
  <c r="BA38" i="3"/>
  <c r="BA7" i="3"/>
  <c r="BA23" i="3"/>
  <c r="BA17" i="3"/>
  <c r="BA25" i="3"/>
  <c r="BA37" i="3"/>
  <c r="BA26" i="3"/>
  <c r="BA11" i="3"/>
  <c r="BA18" i="3"/>
  <c r="BA35" i="3"/>
  <c r="BA8" i="3"/>
  <c r="BA34" i="3"/>
  <c r="BA24" i="3"/>
  <c r="BA12" i="3"/>
  <c r="BA22" i="3"/>
  <c r="BA29" i="3"/>
  <c r="BA28" i="3"/>
  <c r="BA27" i="3"/>
  <c r="BA33" i="3"/>
  <c r="BA6" i="3"/>
  <c r="BA30" i="3"/>
  <c r="BA14" i="3"/>
  <c r="BA32" i="3"/>
  <c r="BA20" i="3"/>
  <c r="BA31" i="3"/>
  <c r="BA9" i="3"/>
  <c r="BB32" i="3"/>
  <c r="BB25" i="3"/>
  <c r="BB12" i="3"/>
  <c r="BB23" i="3"/>
  <c r="BB27" i="3"/>
  <c r="BB35" i="3"/>
  <c r="BB24" i="3"/>
  <c r="BB29" i="3"/>
  <c r="BB17" i="3"/>
  <c r="BB6" i="3"/>
  <c r="BB8" i="3"/>
  <c r="BB20" i="3"/>
  <c r="BB14" i="3"/>
  <c r="BB9" i="3"/>
  <c r="BB37" i="3"/>
  <c r="BB30" i="3"/>
  <c r="BB18" i="3"/>
  <c r="BB33" i="3"/>
  <c r="BB26" i="3"/>
  <c r="BB31" i="3"/>
  <c r="BB11" i="3"/>
  <c r="BB7" i="3"/>
  <c r="BB38" i="3"/>
  <c r="BB34" i="3"/>
  <c r="BB28" i="3"/>
  <c r="BB22" i="3"/>
  <c r="H15" i="6" l="1"/>
  <c r="L15" i="6" s="1"/>
  <c r="N15" i="6" s="1"/>
  <c r="H14" i="6"/>
  <c r="L14" i="6" s="1"/>
  <c r="N14" i="6" s="1"/>
  <c r="H12" i="6"/>
  <c r="AT40" i="3"/>
  <c r="AU40" i="3"/>
  <c r="H33" i="6"/>
  <c r="L33" i="6" s="1"/>
  <c r="N33" i="6" s="1"/>
  <c r="BN7" i="3"/>
  <c r="H34" i="6"/>
  <c r="L34" i="6" s="1"/>
  <c r="N34" i="6" s="1"/>
  <c r="BO7" i="3"/>
  <c r="H58" i="6"/>
  <c r="L58" i="6" s="1"/>
  <c r="N58" i="6" s="1"/>
  <c r="BM6" i="3"/>
  <c r="H59" i="6"/>
  <c r="L59" i="6" s="1"/>
  <c r="N59" i="6" s="1"/>
  <c r="BN6" i="3"/>
  <c r="H32" i="6"/>
  <c r="L32" i="6" s="1"/>
  <c r="N32" i="6" s="1"/>
  <c r="BM7" i="3"/>
  <c r="H60" i="6"/>
  <c r="L60" i="6" s="1"/>
  <c r="N60" i="6" s="1"/>
  <c r="BO6" i="3"/>
  <c r="AS40" i="3"/>
  <c r="H57" i="6"/>
  <c r="L57" i="6" s="1"/>
  <c r="N57" i="6" s="1"/>
  <c r="BT7" i="3"/>
  <c r="H41" i="6"/>
  <c r="L41" i="6" s="1"/>
  <c r="N41" i="6" s="1"/>
  <c r="AZ40" i="3"/>
  <c r="BC40" i="3"/>
  <c r="H67" i="6"/>
  <c r="L67" i="6" s="1"/>
  <c r="N67" i="6" s="1"/>
  <c r="BT6" i="3"/>
  <c r="BS7" i="3"/>
  <c r="H40" i="6"/>
  <c r="L40" i="6" s="1"/>
  <c r="N40" i="6" s="1"/>
  <c r="BS6" i="3"/>
  <c r="H66" i="6"/>
  <c r="L66" i="6" s="1"/>
  <c r="N66" i="6" s="1"/>
  <c r="H31" i="6"/>
  <c r="L31" i="6" s="1"/>
  <c r="N31" i="6" s="1"/>
  <c r="BL7" i="3"/>
  <c r="AW40" i="3"/>
  <c r="BB40" i="3"/>
  <c r="H68" i="6"/>
  <c r="L68" i="6" s="1"/>
  <c r="N68" i="6" s="1"/>
  <c r="BU6" i="3"/>
  <c r="AY40" i="3"/>
  <c r="BA40" i="3"/>
  <c r="H61" i="6"/>
  <c r="L61" i="6" s="1"/>
  <c r="N61" i="6" s="1"/>
  <c r="BP6" i="3"/>
  <c r="BW7" i="3"/>
  <c r="H44" i="6"/>
  <c r="L44" i="6" s="1"/>
  <c r="N44" i="6" s="1"/>
  <c r="H69" i="6"/>
  <c r="L69" i="6" s="1"/>
  <c r="N69" i="6" s="1"/>
  <c r="BV6" i="3"/>
  <c r="BR7" i="3"/>
  <c r="H37" i="6"/>
  <c r="L37" i="6" s="1"/>
  <c r="N37" i="6" s="1"/>
  <c r="BU7" i="3"/>
  <c r="H42" i="6"/>
  <c r="L42" i="6" s="1"/>
  <c r="N42" i="6" s="1"/>
  <c r="BP7" i="3"/>
  <c r="H35" i="6"/>
  <c r="L35" i="6" s="1"/>
  <c r="N35" i="6" s="1"/>
  <c r="BV7" i="3"/>
  <c r="H43" i="6"/>
  <c r="L43" i="6" s="1"/>
  <c r="N43" i="6" s="1"/>
  <c r="AX40" i="3"/>
  <c r="AR40" i="3"/>
  <c r="BQ7" i="3"/>
  <c r="H36" i="6"/>
  <c r="L36" i="6" s="1"/>
  <c r="N36" i="6" s="1"/>
  <c r="H70" i="6"/>
  <c r="L70" i="6" s="1"/>
  <c r="N70" i="6" s="1"/>
  <c r="BW6" i="3"/>
  <c r="BR6" i="3"/>
  <c r="H63" i="6"/>
  <c r="L63" i="6" s="1"/>
  <c r="N63" i="6" s="1"/>
  <c r="BQ6" i="3"/>
  <c r="H62" i="6"/>
  <c r="L62" i="6" s="1"/>
  <c r="N62" i="6" s="1"/>
  <c r="AV40" i="3"/>
</calcChain>
</file>

<file path=xl/sharedStrings.xml><?xml version="1.0" encoding="utf-8"?>
<sst xmlns="http://schemas.openxmlformats.org/spreadsheetml/2006/main" count="298" uniqueCount="280">
  <si>
    <t>Sample</t>
  </si>
  <si>
    <t>Time</t>
  </si>
  <si>
    <t>TTR</t>
  </si>
  <si>
    <t>TTR - background</t>
  </si>
  <si>
    <t>%16:0</t>
  </si>
  <si>
    <t>TG concentration (umol/l)</t>
  </si>
  <si>
    <t>16:0 concentration (umol/l)</t>
  </si>
  <si>
    <t>U13C-16:0 concentration (umol/l)</t>
  </si>
  <si>
    <t>TG µmol per litre fraction</t>
  </si>
  <si>
    <t>TG</t>
  </si>
  <si>
    <t>volume (ml)</t>
  </si>
  <si>
    <t>fatty acids expressed as mol %</t>
  </si>
  <si>
    <t>Time Point</t>
  </si>
  <si>
    <t>C14:0, µmol/l</t>
  </si>
  <si>
    <t>C16:0, µmol/l</t>
  </si>
  <si>
    <t>C16:1, µmol/l</t>
  </si>
  <si>
    <t>C18:0, µmol/l</t>
  </si>
  <si>
    <t>C18:1, µmol/l</t>
  </si>
  <si>
    <t>C18:2, µmol/l</t>
  </si>
  <si>
    <t>18:3 g</t>
  </si>
  <si>
    <t>C18:3, µmol/l</t>
  </si>
  <si>
    <t>18:3 a</t>
  </si>
  <si>
    <t>C20:0, µmol/l</t>
  </si>
  <si>
    <t>C20:1, µmol/l</t>
  </si>
  <si>
    <t>C20:2, µmol/l</t>
  </si>
  <si>
    <t>20:3/21:0</t>
  </si>
  <si>
    <t>C20:3, µmol/l</t>
  </si>
  <si>
    <t>C20:4, µmol/l</t>
  </si>
  <si>
    <t>C20:5, µmol/l</t>
  </si>
  <si>
    <t>C22:5, µmol/l</t>
  </si>
  <si>
    <t>C22:6, µmol/l</t>
  </si>
  <si>
    <t>total GC</t>
  </si>
  <si>
    <t>recovery</t>
  </si>
  <si>
    <t>16:1/16:0</t>
  </si>
  <si>
    <t>18.01v</t>
  </si>
  <si>
    <t>%16:01</t>
  </si>
  <si>
    <t>16:01 concentration (umol/l)</t>
  </si>
  <si>
    <t>U13C-16:1 concentration (umol/l)</t>
  </si>
  <si>
    <t>18:2 concentration (umol/l)</t>
  </si>
  <si>
    <t>%18:2</t>
  </si>
  <si>
    <t>U13C-18:2 concentration (umol/l)</t>
  </si>
  <si>
    <t>Background</t>
  </si>
  <si>
    <t>TAG</t>
  </si>
  <si>
    <t>16:sap</t>
  </si>
  <si>
    <t>17:0</t>
  </si>
  <si>
    <t>10:0</t>
  </si>
  <si>
    <t>11:0</t>
  </si>
  <si>
    <t>12:0</t>
  </si>
  <si>
    <t>14:0</t>
  </si>
  <si>
    <t>15:0</t>
  </si>
  <si>
    <t>16:0</t>
  </si>
  <si>
    <t>18:0</t>
  </si>
  <si>
    <t>20:0</t>
  </si>
  <si>
    <t>22:0</t>
  </si>
  <si>
    <t>23:0</t>
  </si>
  <si>
    <t>8:0</t>
  </si>
  <si>
    <t>14:1</t>
  </si>
  <si>
    <t>15:1</t>
  </si>
  <si>
    <t>16:1</t>
  </si>
  <si>
    <t>17:1</t>
  </si>
  <si>
    <t>18:1</t>
  </si>
  <si>
    <t>18:2</t>
  </si>
  <si>
    <t>20:1</t>
  </si>
  <si>
    <t>20:2</t>
  </si>
  <si>
    <t>20:3</t>
  </si>
  <si>
    <t>20:4</t>
  </si>
  <si>
    <t>20:5</t>
  </si>
  <si>
    <t>22:1</t>
  </si>
  <si>
    <t>22:2</t>
  </si>
  <si>
    <t>22:5</t>
  </si>
  <si>
    <t>22:6</t>
  </si>
  <si>
    <t>18.1v</t>
  </si>
  <si>
    <t>18:3g</t>
  </si>
  <si>
    <t>18:3a</t>
  </si>
  <si>
    <t>µg Int std TG =</t>
  </si>
  <si>
    <t>µg ext std =</t>
  </si>
  <si>
    <r>
      <t>##</t>
    </r>
    <r>
      <rPr>
        <sz val="10"/>
        <rFont val="Calibri"/>
        <family val="2"/>
      </rPr>
      <t>µ</t>
    </r>
    <r>
      <rPr>
        <sz val="8.5"/>
        <rFont val="Arial"/>
        <family val="2"/>
      </rPr>
      <t>l</t>
    </r>
  </si>
  <si>
    <t>Sample:</t>
  </si>
  <si>
    <t>Volume Standards =</t>
  </si>
  <si>
    <t>13:0/BHT</t>
  </si>
  <si>
    <t>16:s</t>
  </si>
  <si>
    <t>18:2/16:0</t>
  </si>
  <si>
    <t>LC1</t>
  </si>
  <si>
    <t>LO1</t>
  </si>
  <si>
    <t>LP1</t>
  </si>
  <si>
    <t>HC1</t>
  </si>
  <si>
    <t>HO1</t>
  </si>
  <si>
    <t>HP1</t>
  </si>
  <si>
    <t>HC3</t>
  </si>
  <si>
    <t>LP3</t>
  </si>
  <si>
    <t>LO3</t>
  </si>
  <si>
    <t>LC3</t>
  </si>
  <si>
    <t>HO3</t>
  </si>
  <si>
    <t>HP3</t>
  </si>
  <si>
    <t>LC5</t>
  </si>
  <si>
    <t>LO5</t>
  </si>
  <si>
    <t>LP5</t>
  </si>
  <si>
    <t>HC5</t>
  </si>
  <si>
    <t>HO5</t>
  </si>
  <si>
    <t>HP5</t>
  </si>
  <si>
    <t>1679.6465</t>
  </si>
  <si>
    <t>52.8367</t>
  </si>
  <si>
    <t>1045.0526</t>
  </si>
  <si>
    <t>2703.3147</t>
  </si>
  <si>
    <t>165.3043</t>
  </si>
  <si>
    <t>105.1846</t>
  </si>
  <si>
    <t>129.6978</t>
  </si>
  <si>
    <t>10522.8379</t>
  </si>
  <si>
    <t>1617.4175</t>
  </si>
  <si>
    <t>140.7239</t>
  </si>
  <si>
    <t>1706.5540</t>
  </si>
  <si>
    <t>1825.2169</t>
  </si>
  <si>
    <t>94.3924</t>
  </si>
  <si>
    <t>1110.6770</t>
  </si>
  <si>
    <t>3777.6907</t>
  </si>
  <si>
    <t>255.5090</t>
  </si>
  <si>
    <t>184.3645</t>
  </si>
  <si>
    <t>228.8673</t>
  </si>
  <si>
    <t>14479.0391</t>
  </si>
  <si>
    <t>2237.8943</t>
  </si>
  <si>
    <t>194.8124</t>
  </si>
  <si>
    <t>2019.0502</t>
  </si>
  <si>
    <t>155.1827</t>
  </si>
  <si>
    <t>1194.1854</t>
  </si>
  <si>
    <t>8421.0762</t>
  </si>
  <si>
    <t>184.9692</t>
  </si>
  <si>
    <t>308.1444</t>
  </si>
  <si>
    <t>296.6230</t>
  </si>
  <si>
    <t>17629.3223</t>
  </si>
  <si>
    <t>1359.9341</t>
  </si>
  <si>
    <t>1709.6711</t>
  </si>
  <si>
    <t>1598.9215</t>
  </si>
  <si>
    <t>1081.8901</t>
  </si>
  <si>
    <t>1953.1379</t>
  </si>
  <si>
    <t>168.2741</t>
  </si>
  <si>
    <t>149.0174</t>
  </si>
  <si>
    <t>162.7803</t>
  </si>
  <si>
    <t>9006.6084</t>
  </si>
  <si>
    <t>1183.3192</t>
  </si>
  <si>
    <t>1658.3955</t>
  </si>
  <si>
    <t>1999.7450</t>
  </si>
  <si>
    <t>97.8808</t>
  </si>
  <si>
    <t>1187.2266</t>
  </si>
  <si>
    <t>5044.6392</t>
  </si>
  <si>
    <t>450.0278</t>
  </si>
  <si>
    <t>263.3246</t>
  </si>
  <si>
    <t>190.9338</t>
  </si>
  <si>
    <t>18254.9082</t>
  </si>
  <si>
    <t>3061.6277</t>
  </si>
  <si>
    <t>236.5099</t>
  </si>
  <si>
    <t>1466.3958</t>
  </si>
  <si>
    <t>2174.6399</t>
  </si>
  <si>
    <t>217.1234</t>
  </si>
  <si>
    <t>1282.3212</t>
  </si>
  <si>
    <t>9524.5215</t>
  </si>
  <si>
    <t>260.6978</t>
  </si>
  <si>
    <t>373.0504</t>
  </si>
  <si>
    <t>508.4863</t>
  </si>
  <si>
    <t>20877.5762</t>
  </si>
  <si>
    <t>1665.6383</t>
  </si>
  <si>
    <t>1897.9559</t>
  </si>
  <si>
    <t>372.5282</t>
  </si>
  <si>
    <t>1057.1948</t>
  </si>
  <si>
    <t>2511.8562</t>
  </si>
  <si>
    <t>119.9056</t>
  </si>
  <si>
    <t>99.2598</t>
  </si>
  <si>
    <t>275.5918</t>
  </si>
  <si>
    <t>8869.9473</t>
  </si>
  <si>
    <t>1121.0106</t>
  </si>
  <si>
    <t>491.2654</t>
  </si>
  <si>
    <t>5850.8506</t>
  </si>
  <si>
    <t>1843.8732</t>
  </si>
  <si>
    <t>120.4265</t>
  </si>
  <si>
    <t>1154.8044</t>
  </si>
  <si>
    <t>5891.2568</t>
  </si>
  <si>
    <t>577.3533</t>
  </si>
  <si>
    <t>315.0974</t>
  </si>
  <si>
    <t>400.5240</t>
  </si>
  <si>
    <t>22337.5410</t>
  </si>
  <si>
    <t>3676.0972</t>
  </si>
  <si>
    <t>1799.5984</t>
  </si>
  <si>
    <t>2085.2397</t>
  </si>
  <si>
    <t>174.6616</t>
  </si>
  <si>
    <t>1313.9260</t>
  </si>
  <si>
    <t>9457.9385</t>
  </si>
  <si>
    <t>259.8172</t>
  </si>
  <si>
    <t>375.7841</t>
  </si>
  <si>
    <t>445.7162</t>
  </si>
  <si>
    <t>20616.8652</t>
  </si>
  <si>
    <t>1680.7681</t>
  </si>
  <si>
    <t>1886.5812</t>
  </si>
  <si>
    <t>1658.1368</t>
  </si>
  <si>
    <t>75.1741</t>
  </si>
  <si>
    <t>1120.6708</t>
  </si>
  <si>
    <t>2547.8440</t>
  </si>
  <si>
    <t>123.4298</t>
  </si>
  <si>
    <t>137.7982</t>
  </si>
  <si>
    <t>259.8138</t>
  </si>
  <si>
    <t>10470.5264</t>
  </si>
  <si>
    <t>1412.6500</t>
  </si>
  <si>
    <t>1763.9982</t>
  </si>
  <si>
    <t>1848.3105</t>
  </si>
  <si>
    <t>87.0447</t>
  </si>
  <si>
    <t>1179.5795</t>
  </si>
  <si>
    <t>6321.5615</t>
  </si>
  <si>
    <t>285.0334</t>
  </si>
  <si>
    <t>162.1703</t>
  </si>
  <si>
    <t>423.5359</t>
  </si>
  <si>
    <t>23556.8105</t>
  </si>
  <si>
    <t>3880.5383</t>
  </si>
  <si>
    <t>291.2380</t>
  </si>
  <si>
    <t>1527.7566</t>
  </si>
  <si>
    <t>1935.8732</t>
  </si>
  <si>
    <t>936.3674</t>
  </si>
  <si>
    <t>8177.5112</t>
  </si>
  <si>
    <t>183.1456</t>
  </si>
  <si>
    <t>311.1585</t>
  </si>
  <si>
    <t>463.2917</t>
  </si>
  <si>
    <t>18364.8789</t>
  </si>
  <si>
    <t>1439.0380</t>
  </si>
  <si>
    <t>1849.5028</t>
  </si>
  <si>
    <t>1605.0627</t>
  </si>
  <si>
    <t>85.1655</t>
  </si>
  <si>
    <t>1292.5277</t>
  </si>
  <si>
    <t>3842.3079</t>
  </si>
  <si>
    <t>185.9017</t>
  </si>
  <si>
    <t>175.3752</t>
  </si>
  <si>
    <t>346.6714</t>
  </si>
  <si>
    <t>13842.9688</t>
  </si>
  <si>
    <t>1758.8047</t>
  </si>
  <si>
    <t>1826.5962</t>
  </si>
  <si>
    <t>2002.4213</t>
  </si>
  <si>
    <t>102.9331</t>
  </si>
  <si>
    <t>1207.5917</t>
  </si>
  <si>
    <t>6765.7422</t>
  </si>
  <si>
    <t>374.4214</t>
  </si>
  <si>
    <t>234.2033</t>
  </si>
  <si>
    <t>268.5627</t>
  </si>
  <si>
    <t>25068.6211</t>
  </si>
  <si>
    <t>4120.9712</t>
  </si>
  <si>
    <t>1511.4017</t>
  </si>
  <si>
    <t>1844.4229</t>
  </si>
  <si>
    <t>156.0256</t>
  </si>
  <si>
    <t>1134.7615</t>
  </si>
  <si>
    <t>9307.6982</t>
  </si>
  <si>
    <t>161.8059</t>
  </si>
  <si>
    <t>307.8072</t>
  </si>
  <si>
    <t>19923.8125</t>
  </si>
  <si>
    <t>1584.0961</t>
  </si>
  <si>
    <t>1837.2679</t>
  </si>
  <si>
    <t>1452.2241</t>
  </si>
  <si>
    <t>34.2476</t>
  </si>
  <si>
    <t>1039.8328</t>
  </si>
  <si>
    <t>2580.3550</t>
  </si>
  <si>
    <t>108.5670</t>
  </si>
  <si>
    <t>123.2667</t>
  </si>
  <si>
    <t>304.8490</t>
  </si>
  <si>
    <t>10658.2686</t>
  </si>
  <si>
    <t>1493.8940</t>
  </si>
  <si>
    <t>1772.7869</t>
  </si>
  <si>
    <t>1753.4847</t>
  </si>
  <si>
    <t>1063.7346</t>
  </si>
  <si>
    <t>6417.5879</t>
  </si>
  <si>
    <t>237.0337</t>
  </si>
  <si>
    <t>199.6113</t>
  </si>
  <si>
    <t>96.3095</t>
  </si>
  <si>
    <t>24004.5371</t>
  </si>
  <si>
    <t>3816.6348</t>
  </si>
  <si>
    <t>412.4818</t>
  </si>
  <si>
    <t>1707.9901</t>
  </si>
  <si>
    <t>2003.6687</t>
  </si>
  <si>
    <t>187.5951</t>
  </si>
  <si>
    <t>1195.9216</t>
  </si>
  <si>
    <t>10861.0361</t>
  </si>
  <si>
    <t>183.0173</t>
  </si>
  <si>
    <t>332.6168</t>
  </si>
  <si>
    <t>464.2307</t>
  </si>
  <si>
    <t>23952.4844</t>
  </si>
  <si>
    <t>1814.6569</t>
  </si>
  <si>
    <t>1745.8545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</si>
</sst>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hh:m"/>
    <numFmt numFmtId="167" formatCode="0.000"/>
    <numFmt numFmtId="171" formatCode="0.00000000"/>
  </numFmts>
  <fonts count="37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Calibri"/>
      <family val="2"/>
    </font>
    <font>
      <sz val="8.5"/>
      <name val="Arial"/>
      <family val="2"/>
    </font>
    <font>
      <b/>
      <sz val="10"/>
      <color rgb="FFCC9900"/>
      <name val="Arial"/>
      <family val="2"/>
    </font>
    <font>
      <sz val="8"/>
      <name val="MS Sans Serif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2" fillId="0" borderId="0"/>
    <xf numFmtId="0" fontId="9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4" applyNumberFormat="0" applyAlignment="0" applyProtection="0"/>
    <xf numFmtId="0" fontId="24" fillId="9" borderId="5" applyNumberFormat="0" applyAlignment="0" applyProtection="0"/>
    <xf numFmtId="0" fontId="25" fillId="9" borderId="4" applyNumberFormat="0" applyAlignment="0" applyProtection="0"/>
    <xf numFmtId="0" fontId="26" fillId="0" borderId="6" applyNumberFormat="0" applyFill="0" applyAlignment="0" applyProtection="0"/>
    <xf numFmtId="0" fontId="27" fillId="10" borderId="7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1" fillId="35" borderId="0" applyNumberFormat="0" applyBorder="0" applyAlignment="0" applyProtection="0"/>
    <xf numFmtId="0" fontId="4" fillId="0" borderId="0"/>
    <xf numFmtId="0" fontId="32" fillId="0" borderId="0" applyNumberFormat="0" applyFill="0" applyBorder="0" applyAlignment="0" applyProtection="0"/>
    <xf numFmtId="0" fontId="4" fillId="11" borderId="8" applyNumberFormat="0" applyFont="0" applyAlignment="0" applyProtection="0"/>
    <xf numFmtId="0" fontId="4" fillId="0" borderId="0"/>
  </cellStyleXfs>
  <cellXfs count="86">
    <xf numFmtId="0" fontId="0" fillId="0" borderId="0" xfId="0"/>
    <xf numFmtId="0" fontId="10" fillId="2" borderId="0" xfId="0" applyFont="1" applyFill="1"/>
    <xf numFmtId="20" fontId="0" fillId="3" borderId="0" xfId="0" applyNumberForma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quotePrefix="1" applyNumberFormat="1"/>
    <xf numFmtId="20" fontId="0" fillId="0" borderId="0" xfId="0" applyNumberFormat="1" applyFill="1"/>
    <xf numFmtId="0" fontId="0" fillId="0" borderId="0" xfId="0" applyFill="1" applyAlignment="1">
      <alignment wrapText="1"/>
    </xf>
    <xf numFmtId="0" fontId="10" fillId="0" borderId="0" xfId="0" applyFont="1" applyFill="1"/>
    <xf numFmtId="0" fontId="11" fillId="2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10" fillId="0" borderId="0" xfId="0" quotePrefix="1" applyNumberFormat="1" applyFont="1"/>
    <xf numFmtId="0" fontId="12" fillId="0" borderId="0" xfId="1"/>
    <xf numFmtId="164" fontId="12" fillId="0" borderId="0" xfId="1" quotePrefix="1" applyNumberFormat="1" applyFont="1" applyBorder="1" applyAlignment="1">
      <alignment horizontal="center"/>
    </xf>
    <xf numFmtId="0" fontId="13" fillId="0" borderId="0" xfId="1" applyFont="1"/>
    <xf numFmtId="165" fontId="13" fillId="0" borderId="0" xfId="1" applyNumberFormat="1" applyFont="1" applyAlignment="1">
      <alignment horizontal="right"/>
    </xf>
    <xf numFmtId="165" fontId="12" fillId="0" borderId="0" xfId="1" applyNumberFormat="1" applyAlignment="1">
      <alignment horizontal="right"/>
    </xf>
    <xf numFmtId="0" fontId="12" fillId="0" borderId="0" xfId="1" applyFont="1"/>
    <xf numFmtId="0" fontId="15" fillId="0" borderId="0" xfId="1" applyFont="1"/>
    <xf numFmtId="2" fontId="12" fillId="0" borderId="0" xfId="1" applyNumberFormat="1" applyFont="1"/>
    <xf numFmtId="164" fontId="12" fillId="0" borderId="0" xfId="1" applyNumberFormat="1"/>
    <xf numFmtId="0" fontId="14" fillId="0" borderId="0" xfId="1" applyFont="1" applyFill="1"/>
    <xf numFmtId="1" fontId="14" fillId="0" borderId="0" xfId="1" applyNumberFormat="1" applyFont="1" applyBorder="1"/>
    <xf numFmtId="1" fontId="14" fillId="0" borderId="0" xfId="1" applyNumberFormat="1" applyFont="1" applyBorder="1" applyAlignment="1">
      <alignment horizontal="center"/>
    </xf>
    <xf numFmtId="0" fontId="12" fillId="0" borderId="0" xfId="1" applyFont="1" applyBorder="1"/>
    <xf numFmtId="3" fontId="12" fillId="0" borderId="0" xfId="1" quotePrefix="1" applyNumberFormat="1" applyFont="1" applyBorder="1" applyAlignment="1">
      <alignment horizontal="center"/>
    </xf>
    <xf numFmtId="164" fontId="14" fillId="0" borderId="0" xfId="1" applyNumberFormat="1" applyFont="1" applyBorder="1" applyAlignment="1">
      <alignment horizontal="center"/>
    </xf>
    <xf numFmtId="20" fontId="9" fillId="0" borderId="0" xfId="2" applyNumberFormat="1"/>
    <xf numFmtId="164" fontId="14" fillId="0" borderId="0" xfId="1" quotePrefix="1" applyNumberFormat="1" applyFont="1" applyBorder="1" applyAlignment="1">
      <alignment horizontal="center"/>
    </xf>
    <xf numFmtId="165" fontId="12" fillId="0" borderId="0" xfId="1" applyNumberFormat="1" applyFont="1"/>
    <xf numFmtId="0" fontId="12" fillId="0" borderId="0" xfId="1" applyBorder="1"/>
    <xf numFmtId="0" fontId="9" fillId="0" borderId="0" xfId="2"/>
    <xf numFmtId="0" fontId="16" fillId="0" borderId="0" xfId="1" applyFont="1"/>
    <xf numFmtId="165" fontId="12" fillId="0" borderId="0" xfId="1" applyNumberFormat="1"/>
    <xf numFmtId="166" fontId="14" fillId="0" borderId="0" xfId="1" applyNumberFormat="1" applyFont="1"/>
    <xf numFmtId="165" fontId="12" fillId="0" borderId="0" xfId="1" applyNumberFormat="1" applyFont="1" applyFill="1"/>
    <xf numFmtId="0" fontId="12" fillId="0" borderId="0" xfId="1" applyFill="1"/>
    <xf numFmtId="2" fontId="12" fillId="0" borderId="0" xfId="1" applyNumberFormat="1"/>
    <xf numFmtId="0" fontId="16" fillId="0" borderId="0" xfId="1" applyFont="1" applyFill="1"/>
    <xf numFmtId="0" fontId="12" fillId="0" borderId="0" xfId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2" fontId="12" fillId="0" borderId="0" xfId="1" applyNumberFormat="1" applyAlignment="1">
      <alignment horizontal="center"/>
    </xf>
    <xf numFmtId="3" fontId="12" fillId="0" borderId="0" xfId="1" applyNumberFormat="1" applyAlignment="1">
      <alignment horizontal="center"/>
    </xf>
    <xf numFmtId="1" fontId="12" fillId="0" borderId="0" xfId="1" applyNumberFormat="1" applyAlignment="1">
      <alignment horizontal="center"/>
    </xf>
    <xf numFmtId="1" fontId="12" fillId="0" borderId="0" xfId="1" applyNumberFormat="1" applyFont="1" applyFill="1"/>
    <xf numFmtId="165" fontId="12" fillId="0" borderId="0" xfId="1" applyNumberFormat="1" applyFill="1"/>
    <xf numFmtId="49" fontId="12" fillId="0" borderId="0" xfId="1" applyNumberFormat="1" applyFill="1"/>
    <xf numFmtId="1" fontId="12" fillId="4" borderId="0" xfId="1" applyNumberFormat="1" applyFont="1" applyFill="1"/>
    <xf numFmtId="0" fontId="12" fillId="4" borderId="0" xfId="1" applyFill="1"/>
    <xf numFmtId="167" fontId="12" fillId="4" borderId="0" xfId="1" applyNumberFormat="1" applyFill="1"/>
    <xf numFmtId="165" fontId="12" fillId="4" borderId="0" xfId="1" applyNumberFormat="1" applyFont="1" applyFill="1"/>
    <xf numFmtId="2" fontId="0" fillId="0" borderId="0" xfId="0" applyNumberFormat="1" applyFill="1"/>
    <xf numFmtId="167" fontId="0" fillId="0" borderId="0" xfId="0" applyNumberFormat="1" applyFill="1"/>
    <xf numFmtId="20" fontId="9" fillId="0" borderId="0" xfId="2" applyNumberFormat="1" applyFill="1"/>
    <xf numFmtId="20" fontId="8" fillId="0" borderId="0" xfId="2" applyNumberFormat="1" applyFont="1"/>
    <xf numFmtId="164" fontId="12" fillId="0" borderId="0" xfId="0" quotePrefix="1" applyNumberFormat="1" applyFont="1" applyBorder="1" applyAlignment="1" applyProtection="1">
      <alignment wrapText="1"/>
      <protection locked="0"/>
    </xf>
    <xf numFmtId="0" fontId="11" fillId="0" borderId="0" xfId="0" applyFont="1"/>
    <xf numFmtId="0" fontId="11" fillId="2" borderId="0" xfId="0" applyFont="1" applyFill="1"/>
    <xf numFmtId="0" fontId="14" fillId="0" borderId="0" xfId="1" applyFont="1" applyFill="1" applyAlignment="1">
      <alignment horizontal="center"/>
    </xf>
    <xf numFmtId="0" fontId="12" fillId="0" borderId="0" xfId="1" applyFill="1" applyAlignment="1">
      <alignment horizontal="center"/>
    </xf>
    <xf numFmtId="20" fontId="0" fillId="0" borderId="0" xfId="0" quotePrefix="1" applyNumberFormat="1" applyFill="1"/>
    <xf numFmtId="20" fontId="0" fillId="2" borderId="0" xfId="0" applyNumberFormat="1" applyFill="1"/>
    <xf numFmtId="20" fontId="16" fillId="0" borderId="0" xfId="1" applyNumberFormat="1" applyFont="1"/>
    <xf numFmtId="1" fontId="14" fillId="0" borderId="0" xfId="1" applyNumberFormat="1" applyFont="1" applyFill="1" applyBorder="1"/>
    <xf numFmtId="0" fontId="12" fillId="0" borderId="0" xfId="1" applyFont="1" applyFill="1" applyBorder="1"/>
    <xf numFmtId="0" fontId="14" fillId="36" borderId="0" xfId="1" applyFont="1" applyFill="1" applyAlignment="1">
      <alignment horizontal="center"/>
    </xf>
    <xf numFmtId="0" fontId="12" fillId="36" borderId="0" xfId="1" applyFill="1" applyAlignment="1">
      <alignment horizontal="center"/>
    </xf>
    <xf numFmtId="0" fontId="14" fillId="36" borderId="0" xfId="1" applyFont="1" applyFill="1"/>
    <xf numFmtId="0" fontId="14" fillId="36" borderId="0" xfId="1" applyFont="1" applyFill="1" applyAlignment="1">
      <alignment wrapText="1"/>
    </xf>
    <xf numFmtId="20" fontId="9" fillId="0" borderId="0" xfId="2" applyNumberFormat="1" applyAlignment="1">
      <alignment horizontal="right"/>
    </xf>
    <xf numFmtId="0" fontId="9" fillId="0" borderId="0" xfId="2" applyAlignment="1">
      <alignment horizontal="right"/>
    </xf>
    <xf numFmtId="20" fontId="3" fillId="0" borderId="0" xfId="2" applyNumberFormat="1" applyFont="1" applyAlignment="1">
      <alignment horizontal="right"/>
    </xf>
    <xf numFmtId="20" fontId="9" fillId="0" borderId="0" xfId="2" applyNumberFormat="1" applyFill="1" applyAlignment="1">
      <alignment horizontal="right"/>
    </xf>
    <xf numFmtId="20" fontId="8" fillId="0" borderId="0" xfId="2" applyNumberFormat="1" applyFont="1" applyAlignment="1">
      <alignment horizontal="right"/>
    </xf>
    <xf numFmtId="49" fontId="9" fillId="0" borderId="0" xfId="2" applyNumberFormat="1" applyAlignment="1">
      <alignment horizontal="right"/>
    </xf>
    <xf numFmtId="49" fontId="3" fillId="0" borderId="0" xfId="2" applyNumberFormat="1" applyFont="1" applyAlignment="1">
      <alignment horizontal="right"/>
    </xf>
    <xf numFmtId="49" fontId="2" fillId="0" borderId="0" xfId="2" applyNumberFormat="1" applyFont="1" applyAlignment="1">
      <alignment horizontal="right"/>
    </xf>
    <xf numFmtId="49" fontId="30" fillId="0" borderId="0" xfId="2" applyNumberFormat="1" applyFont="1" applyAlignment="1">
      <alignment horizontal="right"/>
    </xf>
    <xf numFmtId="49" fontId="30" fillId="0" borderId="0" xfId="2" applyNumberFormat="1" applyFont="1" applyFill="1" applyAlignment="1">
      <alignment horizontal="right"/>
    </xf>
    <xf numFmtId="0" fontId="12" fillId="0" borderId="0" xfId="1" quotePrefix="1" applyAlignment="1">
      <alignment horizontal="left"/>
    </xf>
    <xf numFmtId="0" fontId="35" fillId="0" borderId="0" xfId="1" applyFont="1" applyAlignment="1">
      <alignment horizontal="center"/>
    </xf>
    <xf numFmtId="20" fontId="1" fillId="0" borderId="0" xfId="2" applyNumberFormat="1" applyFont="1"/>
    <xf numFmtId="171" fontId="12" fillId="0" borderId="0" xfId="1" applyNumberFormat="1" applyFont="1"/>
  </cellXfs>
  <cellStyles count="50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 xr:uid="{00000000-0005-0000-0000-000025000000}"/>
    <cellStyle name="Normal 3" xfId="2" xr:uid="{00000000-0005-0000-0000-000026000000}"/>
    <cellStyle name="Normal 3 2" xfId="49" xr:uid="{00000000-0005-0000-0000-000027000000}"/>
    <cellStyle name="Normal 4" xfId="3" xr:uid="{00000000-0005-0000-0000-000028000000}"/>
    <cellStyle name="Normal 5" xfId="4" xr:uid="{00000000-0005-0000-0000-000029000000}"/>
    <cellStyle name="Normal 6" xfId="5" xr:uid="{00000000-0005-0000-0000-00002A000000}"/>
    <cellStyle name="Normal 7" xfId="6" xr:uid="{00000000-0005-0000-0000-00002B000000}"/>
    <cellStyle name="Normal 8" xfId="46" xr:uid="{00000000-0005-0000-0000-00002C000000}"/>
    <cellStyle name="Note 2" xfId="48" xr:uid="{00000000-0005-0000-0000-00002D000000}"/>
    <cellStyle name="Output" xfId="15" builtinId="21" customBuiltin="1"/>
    <cellStyle name="Title 2" xfId="47" xr:uid="{00000000-0005-0000-0000-00002F000000}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  <colors>
    <mruColors>
      <color rgb="FFCC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Fatty acid composition of</a:t>
            </a:r>
            <a:r>
              <a:rPr lang="en-GB" baseline="0"/>
              <a:t> </a:t>
            </a:r>
            <a:r>
              <a:rPr lang="en-GB"/>
              <a:t>TG</a:t>
            </a:r>
          </a:p>
        </c:rich>
      </c:tx>
      <c:layout>
        <c:manualLayout>
          <c:xMode val="edge"/>
          <c:yMode val="edge"/>
          <c:x val="0.20382165605095537"/>
          <c:y val="2.8735632183908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94309376666568E-2"/>
          <c:y val="0.1236692416602499"/>
          <c:w val="0.92429264569020508"/>
          <c:h val="0.7441484719772804"/>
        </c:manualLayout>
      </c:layout>
      <c:barChart>
        <c:barDir val="col"/>
        <c:grouping val="clustered"/>
        <c:varyColors val="0"/>
        <c:ser>
          <c:idx val="0"/>
          <c:order val="0"/>
          <c:tx>
            <c:v>16:00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data'!$AR$15:$BG$15</c:f>
              <c:numCache>
                <c:formatCode>0.0</c:formatCode>
                <c:ptCount val="16"/>
                <c:pt idx="0">
                  <c:v>19.107164182309425</c:v>
                </c:pt>
                <c:pt idx="1">
                  <c:v>19.227283742460404</c:v>
                </c:pt>
                <c:pt idx="2">
                  <c:v>31.870213689900861</c:v>
                </c:pt>
                <c:pt idx="3">
                  <c:v>16.96978113625309</c:v>
                </c:pt>
                <c:pt idx="4">
                  <c:v>20.031396145870961</c:v>
                </c:pt>
                <c:pt idx="5">
                  <c:v>30.644032139415089</c:v>
                </c:pt>
                <c:pt idx="6">
                  <c:v>20.348151201373756</c:v>
                </c:pt>
                <c:pt idx="7">
                  <c:v>19.412637848868819</c:v>
                </c:pt>
                <c:pt idx="8">
                  <c:v>30.817450335710078</c:v>
                </c:pt>
                <c:pt idx="9">
                  <c:v>18.457803502646094</c:v>
                </c:pt>
                <c:pt idx="10">
                  <c:v>19.650998959010501</c:v>
                </c:pt>
                <c:pt idx="11">
                  <c:v>30.401111407936835</c:v>
                </c:pt>
                <c:pt idx="12">
                  <c:v>20.65318542241851</c:v>
                </c:pt>
                <c:pt idx="13">
                  <c:v>19.964824404157021</c:v>
                </c:pt>
                <c:pt idx="14">
                  <c:v>31.733253367894509</c:v>
                </c:pt>
                <c:pt idx="15">
                  <c:v>18.351299374033808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A-42B9-A469-D57064A43134}"/>
            </c:ext>
          </c:extLst>
        </c:ser>
        <c:ser>
          <c:idx val="1"/>
          <c:order val="1"/>
          <c:tx>
            <c:v>18:2n-6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data'!$AR$23:$BG$23</c:f>
              <c:numCache>
                <c:formatCode>0.0</c:formatCode>
                <c:ptCount val="16"/>
                <c:pt idx="0">
                  <c:v>10.453501326236932</c:v>
                </c:pt>
                <c:pt idx="1">
                  <c:v>10.41528408180627</c:v>
                </c:pt>
                <c:pt idx="2">
                  <c:v>4.7062528174141356</c:v>
                </c:pt>
                <c:pt idx="3">
                  <c:v>9.4012425274949223</c:v>
                </c:pt>
                <c:pt idx="4">
                  <c:v>11.116638918729</c:v>
                </c:pt>
                <c:pt idx="5">
                  <c:v>4.9003088470481977</c:v>
                </c:pt>
                <c:pt idx="6">
                  <c:v>8.3038579971056183</c:v>
                </c:pt>
                <c:pt idx="7">
                  <c:v>11.076526637359125</c:v>
                </c:pt>
                <c:pt idx="8">
                  <c:v>5.007812125957475</c:v>
                </c:pt>
                <c:pt idx="9">
                  <c:v>9.3579726215858638</c:v>
                </c:pt>
                <c:pt idx="10">
                  <c:v>11.030425125920752</c:v>
                </c:pt>
                <c:pt idx="11">
                  <c:v>4.8919339781077307</c:v>
                </c:pt>
                <c:pt idx="12">
                  <c:v>8.6447514158730758</c:v>
                </c:pt>
                <c:pt idx="13">
                  <c:v>11.119612171600547</c:v>
                </c:pt>
                <c:pt idx="14">
                  <c:v>4.9384861785296392</c:v>
                </c:pt>
                <c:pt idx="15">
                  <c:v>9.7150973154691851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A-42B9-A469-D57064A43134}"/>
            </c:ext>
          </c:extLst>
        </c:ser>
        <c:ser>
          <c:idx val="2"/>
          <c:order val="2"/>
          <c:tx>
            <c:v>18:1n-9</c:v>
          </c:tx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data'!$AR$21:$BG$21</c:f>
              <c:numCache>
                <c:formatCode>0.0</c:formatCode>
                <c:ptCount val="16"/>
                <c:pt idx="0">
                  <c:v>67.528303345026856</c:v>
                </c:pt>
                <c:pt idx="1">
                  <c:v>66.90901057291471</c:v>
                </c:pt>
                <c:pt idx="2">
                  <c:v>60.576799520919153</c:v>
                </c:pt>
                <c:pt idx="3">
                  <c:v>71.048995558317728</c:v>
                </c:pt>
                <c:pt idx="4">
                  <c:v>65.813364187087842</c:v>
                </c:pt>
                <c:pt idx="5">
                  <c:v>60.986842443002217</c:v>
                </c:pt>
                <c:pt idx="6">
                  <c:v>65.238587736608451</c:v>
                </c:pt>
                <c:pt idx="7">
                  <c:v>66.829050341982963</c:v>
                </c:pt>
                <c:pt idx="8">
                  <c:v>60.992464052158809</c:v>
                </c:pt>
                <c:pt idx="9">
                  <c:v>68.869832939838886</c:v>
                </c:pt>
                <c:pt idx="10">
                  <c:v>66.48598113864908</c:v>
                </c:pt>
                <c:pt idx="11">
                  <c:v>61.988297782496161</c:v>
                </c:pt>
                <c:pt idx="12">
                  <c:v>67.558103408788028</c:v>
                </c:pt>
                <c:pt idx="13">
                  <c:v>67.163577964886713</c:v>
                </c:pt>
                <c:pt idx="14">
                  <c:v>61.673426902466076</c:v>
                </c:pt>
                <c:pt idx="15">
                  <c:v>68.822009610643974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A-42B9-A469-D57064A43134}"/>
            </c:ext>
          </c:extLst>
        </c:ser>
        <c:ser>
          <c:idx val="3"/>
          <c:order val="3"/>
          <c:tx>
            <c:strRef>
              <c:f>'GC data'!$AQ$32</c:f>
              <c:strCache>
                <c:ptCount val="1"/>
                <c:pt idx="0">
                  <c:v>20:05</c:v>
                </c:pt>
              </c:strCache>
            </c:strRef>
          </c:tx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data'!$AR$32:$BG$32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A-42B9-A469-D57064A43134}"/>
            </c:ext>
          </c:extLst>
        </c:ser>
        <c:ser>
          <c:idx val="4"/>
          <c:order val="4"/>
          <c:tx>
            <c:strRef>
              <c:f>'GC data'!$AQ$37</c:f>
              <c:strCache>
                <c:ptCount val="1"/>
                <c:pt idx="0">
                  <c:v>22:05</c:v>
                </c:pt>
              </c:strCache>
            </c:strRef>
          </c:tx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data'!$AR$37:$BG$37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A-42B9-A469-D57064A43134}"/>
            </c:ext>
          </c:extLst>
        </c:ser>
        <c:ser>
          <c:idx val="5"/>
          <c:order val="5"/>
          <c:tx>
            <c:strRef>
              <c:f>'GC data'!$AQ$38</c:f>
              <c:strCache>
                <c:ptCount val="1"/>
                <c:pt idx="0">
                  <c:v>22:06</c:v>
                </c:pt>
              </c:strCache>
            </c:strRef>
          </c:tx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data'!$AR$38:$BG$38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A-42B9-A469-D57064A4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876032"/>
        <c:axId val="461880344"/>
      </c:barChart>
      <c:catAx>
        <c:axId val="4618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 (min)</a:t>
                </a:r>
              </a:p>
            </c:rich>
          </c:tx>
          <c:layout>
            <c:manualLayout>
              <c:xMode val="edge"/>
              <c:yMode val="edge"/>
              <c:x val="0.44331210191082993"/>
              <c:y val="0.92720487525266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88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188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mol%</a:t>
                </a:r>
              </a:p>
            </c:rich>
          </c:tx>
          <c:layout>
            <c:manualLayout>
              <c:xMode val="edge"/>
              <c:yMode val="edge"/>
              <c:x val="2.0382165605095551E-2"/>
              <c:y val="0.484675335123339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876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924867459296669"/>
          <c:y val="1.1863682654810088E-2"/>
          <c:w val="0.15320126318871496"/>
          <c:h val="8.74451261415666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13C16:0</a:t>
            </a:r>
            <a:endParaRPr lang="en-US"/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83233759204223"/>
          <c:y val="6.5799509867896358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v>Chylos</c:v>
          </c:tx>
          <c:xVal>
            <c:strRef>
              <c:f>'TTRs '!$B$4:$B$11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'!$F$4:$F$11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E-4452-80A8-4D7BC5EC8C76}"/>
            </c:ext>
          </c:extLst>
        </c:ser>
        <c:ser>
          <c:idx val="1"/>
          <c:order val="1"/>
          <c:tx>
            <c:strRef>
              <c:f>'TTRs '!$A$13</c:f>
              <c:strCache>
                <c:ptCount val="1"/>
              </c:strCache>
            </c:strRef>
          </c:tx>
          <c:xVal>
            <c:numRef>
              <c:f>'TTRs '!$B$14:$B$23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'!$F$14:$F$23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E-4452-80A8-4D7BC5EC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79560"/>
        <c:axId val="461880736"/>
      </c:scatterChart>
      <c:valAx>
        <c:axId val="46187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1880736"/>
        <c:crosses val="autoZero"/>
        <c:crossBetween val="midCat"/>
      </c:valAx>
      <c:valAx>
        <c:axId val="461880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TTR</a:t>
                </a:r>
              </a:p>
            </c:rich>
          </c:tx>
          <c:layout>
            <c:manualLayout>
              <c:xMode val="edge"/>
              <c:yMode val="edge"/>
              <c:x val="7.2502221269033999E-3"/>
              <c:y val="0.431193150036573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1879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949751346871114"/>
          <c:y val="5.2756652046484368E-3"/>
          <c:w val="0.17630421683670866"/>
          <c:h val="0.1824991212098702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conc 13C-16:0</a:t>
            </a:r>
            <a:endParaRPr lang="en-US"/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83233759204223"/>
          <c:y val="6.5799509867896358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v>Chylos</c:v>
          </c:tx>
          <c:xVal>
            <c:strRef>
              <c:f>'TTRs '!$B$4:$B$11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'!$N$4:$N$11</c:f>
              <c:numCache>
                <c:formatCode>0.000</c:formatCode>
                <c:ptCount val="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D8C-9671-F09533312339}"/>
            </c:ext>
          </c:extLst>
        </c:ser>
        <c:ser>
          <c:idx val="1"/>
          <c:order val="1"/>
          <c:tx>
            <c:strRef>
              <c:f>'TTRs '!$A$13</c:f>
              <c:strCache>
                <c:ptCount val="1"/>
              </c:strCache>
            </c:strRef>
          </c:tx>
          <c:xVal>
            <c:numRef>
              <c:f>'TTRs '!$B$14:$B$23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'!$N$14:$N$23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D8C-9671-F09533312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00896"/>
        <c:axId val="464601288"/>
      </c:scatterChart>
      <c:valAx>
        <c:axId val="4646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4601288"/>
        <c:crosses val="autoZero"/>
        <c:crossBetween val="midCat"/>
      </c:valAx>
      <c:valAx>
        <c:axId val="464601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13C</a:t>
                </a:r>
                <a:r>
                  <a:rPr lang="en-US" baseline="0"/>
                  <a:t> 16:0 umol/l)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00450433092274E-2"/>
              <c:y val="0.3445263371460202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64600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7256145510997"/>
          <c:y val="3.127390844100289E-2"/>
          <c:w val="0.17630421683670866"/>
          <c:h val="0.1996283004541687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13C16:1</a:t>
            </a:r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83233759204223"/>
          <c:y val="6.5799509867896358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'TTRs '!$A$29</c:f>
              <c:strCache>
                <c:ptCount val="1"/>
              </c:strCache>
            </c:strRef>
          </c:tx>
          <c:xVal>
            <c:strRef>
              <c:f>'TTRs '!$B$30:$B$37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'!$F$30:$F$37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1-4665-B440-8A1DAC053677}"/>
            </c:ext>
          </c:extLst>
        </c:ser>
        <c:ser>
          <c:idx val="1"/>
          <c:order val="1"/>
          <c:tx>
            <c:strRef>
              <c:f>'TTRs '!$A$43</c:f>
              <c:strCache>
                <c:ptCount val="1"/>
              </c:strCache>
            </c:strRef>
          </c:tx>
          <c:xVal>
            <c:numRef>
              <c:f>'TTRs '!$B$40:$B$49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'!$F$40:$F$49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1-4665-B440-8A1DAC05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02072"/>
        <c:axId val="464602464"/>
      </c:scatterChart>
      <c:valAx>
        <c:axId val="46460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4602464"/>
        <c:crosses val="autoZero"/>
        <c:crossBetween val="midCat"/>
      </c:valAx>
      <c:valAx>
        <c:axId val="464602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TTR</a:t>
                </a:r>
              </a:p>
            </c:rich>
          </c:tx>
          <c:layout>
            <c:manualLayout>
              <c:xMode val="edge"/>
              <c:yMode val="edge"/>
              <c:x val="7.2502221269033999E-3"/>
              <c:y val="0.431193150036573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4602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09997214035405"/>
          <c:y val="3.127390844100289E-2"/>
          <c:w val="0.24892989633279089"/>
          <c:h val="0.133313125682298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conc 13C16:1</a:t>
            </a:r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3834806961979"/>
          <c:y val="6.5799595846979322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'TTRs '!$A$29</c:f>
              <c:strCache>
                <c:ptCount val="1"/>
              </c:strCache>
            </c:strRef>
          </c:tx>
          <c:xVal>
            <c:strRef>
              <c:f>'TTRs '!$B$30:$B$37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'!$N$30:$N$37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5-4C71-8169-0014EFAEFDBE}"/>
            </c:ext>
          </c:extLst>
        </c:ser>
        <c:ser>
          <c:idx val="1"/>
          <c:order val="1"/>
          <c:tx>
            <c:strRef>
              <c:f>'TTRs '!$A$43</c:f>
              <c:strCache>
                <c:ptCount val="1"/>
              </c:strCache>
            </c:strRef>
          </c:tx>
          <c:xVal>
            <c:numRef>
              <c:f>'TTRs '!$B$40:$B$49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'!$N$40:$N$49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5-4C71-8169-0014EFAE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03248"/>
        <c:axId val="464603640"/>
      </c:scatterChart>
      <c:valAx>
        <c:axId val="46460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4603640"/>
        <c:crosses val="autoZero"/>
        <c:crossBetween val="midCat"/>
      </c:valAx>
      <c:valAx>
        <c:axId val="464603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13C 16:0 umol/l)</a:t>
                </a:r>
                <a:endParaRPr lang="en-GB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7.2502221269033999E-3"/>
              <c:y val="0.43119315003657321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64603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67911552955347"/>
          <c:y val="3.127390844100289E-2"/>
          <c:w val="0.35135075294359158"/>
          <c:h val="0.130363273174923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13C18:2</a:t>
            </a:r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83233759204223"/>
          <c:y val="6.5799509867896358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'TTRs '!$A$29</c:f>
              <c:strCache>
                <c:ptCount val="1"/>
              </c:strCache>
            </c:strRef>
          </c:tx>
          <c:xVal>
            <c:strRef>
              <c:f>'TTRs '!$B$30:$B$37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'!$F$56:$F$63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D-4A3B-B07D-1A039F4BD966}"/>
            </c:ext>
          </c:extLst>
        </c:ser>
        <c:ser>
          <c:idx val="1"/>
          <c:order val="1"/>
          <c:tx>
            <c:strRef>
              <c:f>'TTRs '!$A$65</c:f>
              <c:strCache>
                <c:ptCount val="1"/>
              </c:strCache>
            </c:strRef>
          </c:tx>
          <c:xVal>
            <c:numRef>
              <c:f>'TTRs '!$B$66:$B$75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'!$F$66:$F$75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D-4A3B-B07D-1A039F4BD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04424"/>
        <c:axId val="466622152"/>
      </c:scatterChart>
      <c:valAx>
        <c:axId val="46460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622152"/>
        <c:crosses val="autoZero"/>
        <c:crossBetween val="midCat"/>
      </c:valAx>
      <c:valAx>
        <c:axId val="466622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TTR</a:t>
                </a:r>
              </a:p>
            </c:rich>
          </c:tx>
          <c:layout>
            <c:manualLayout>
              <c:xMode val="edge"/>
              <c:yMode val="edge"/>
              <c:x val="7.2502221269033999E-3"/>
              <c:y val="0.431193150036573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4604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09997214035405"/>
          <c:y val="3.127390844100289E-2"/>
          <c:w val="0.11938851789095983"/>
          <c:h val="0.1043746804376725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conc 13C18:2</a:t>
            </a:r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3834806961979"/>
          <c:y val="6.5799595846979322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'TTRs '!$A$29</c:f>
              <c:strCache>
                <c:ptCount val="1"/>
              </c:strCache>
            </c:strRef>
          </c:tx>
          <c:xVal>
            <c:strRef>
              <c:f>'TTRs '!$B$30:$B$37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'!$N$56:$N$63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F-4E7A-ADF7-98B85F996CE4}"/>
            </c:ext>
          </c:extLst>
        </c:ser>
        <c:ser>
          <c:idx val="1"/>
          <c:order val="1"/>
          <c:tx>
            <c:strRef>
              <c:f>'TTRs '!$A$43</c:f>
              <c:strCache>
                <c:ptCount val="1"/>
              </c:strCache>
            </c:strRef>
          </c:tx>
          <c:xVal>
            <c:numRef>
              <c:f>'TTRs '!$B$40:$B$49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'!$N$66:$N$75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F-4E7A-ADF7-98B85F99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22936"/>
        <c:axId val="466623328"/>
      </c:scatterChart>
      <c:valAx>
        <c:axId val="46662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623328"/>
        <c:crosses val="autoZero"/>
        <c:crossBetween val="midCat"/>
      </c:valAx>
      <c:valAx>
        <c:axId val="466623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13C 16:0 umol/l)</a:t>
                </a:r>
                <a:endParaRPr lang="en-GB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7.2502221269033999E-3"/>
              <c:y val="0.43119315003657321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66622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67911552955347"/>
          <c:y val="3.127390844100289E-2"/>
          <c:w val="0.35135075294359158"/>
          <c:h val="0.130363273174923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509587</xdr:colOff>
      <xdr:row>7</xdr:row>
      <xdr:rowOff>157162</xdr:rowOff>
    </xdr:from>
    <xdr:to>
      <xdr:col>82</xdr:col>
      <xdr:colOff>316705</xdr:colOff>
      <xdr:row>40</xdr:row>
      <xdr:rowOff>85725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247649</xdr:colOff>
      <xdr:row>0</xdr:row>
      <xdr:rowOff>142876</xdr:rowOff>
    </xdr:from>
    <xdr:to>
      <xdr:col>25</xdr:col>
      <xdr:colOff>85724</xdr:colOff>
      <xdr:row>22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152400</xdr:rowOff>
    </xdr:from>
    <xdr:to>
      <xdr:col>35</xdr:col>
      <xdr:colOff>352425</xdr:colOff>
      <xdr:row>22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24</xdr:row>
      <xdr:rowOff>152400</xdr:rowOff>
    </xdr:from>
    <xdr:to>
      <xdr:col>25</xdr:col>
      <xdr:colOff>85725</xdr:colOff>
      <xdr:row>50</xdr:row>
      <xdr:rowOff>28575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581025</xdr:colOff>
      <xdr:row>25</xdr:row>
      <xdr:rowOff>0</xdr:rowOff>
    </xdr:from>
    <xdr:to>
      <xdr:col>35</xdr:col>
      <xdr:colOff>381000</xdr:colOff>
      <xdr:row>50</xdr:row>
      <xdr:rowOff>123825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24</xdr:col>
      <xdr:colOff>533400</xdr:colOff>
      <xdr:row>78</xdr:row>
      <xdr:rowOff>28575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53</xdr:row>
      <xdr:rowOff>0</xdr:rowOff>
    </xdr:from>
    <xdr:to>
      <xdr:col>35</xdr:col>
      <xdr:colOff>409575</xdr:colOff>
      <xdr:row>78</xdr:row>
      <xdr:rowOff>114300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9"/>
  <sheetViews>
    <sheetView tabSelected="1" topLeftCell="A4" zoomScale="80" zoomScaleNormal="80" workbookViewId="0">
      <pane xSplit="1" topLeftCell="BA1" activePane="topRight" state="frozen"/>
      <selection activeCell="AX60" sqref="AX60:BC60"/>
      <selection pane="topRight" activeCell="AR46" sqref="AR46:BI46"/>
    </sheetView>
  </sheetViews>
  <sheetFormatPr defaultColWidth="9.140625" defaultRowHeight="12.75" x14ac:dyDescent="0.2"/>
  <cols>
    <col min="1" max="1" width="11.28515625" style="13" customWidth="1"/>
    <col min="2" max="2" width="24.42578125" style="13" customWidth="1"/>
    <col min="3" max="20" width="24.42578125" style="40" customWidth="1"/>
    <col min="21" max="21" width="12.7109375" style="13" customWidth="1"/>
    <col min="22" max="22" width="13.28515625" style="13" customWidth="1"/>
    <col min="23" max="23" width="8.42578125" style="13" customWidth="1"/>
    <col min="24" max="24" width="9.85546875" style="13" customWidth="1"/>
    <col min="25" max="25" width="7.5703125" style="13" customWidth="1"/>
    <col min="26" max="29" width="7.7109375" style="13" customWidth="1"/>
    <col min="30" max="30" width="9.140625" style="13" customWidth="1"/>
    <col min="31" max="31" width="11.140625" style="13" customWidth="1"/>
    <col min="32" max="43" width="9.140625" style="13" customWidth="1"/>
    <col min="44" max="44" width="19.5703125" style="13" bestFit="1" customWidth="1"/>
    <col min="45" max="45" width="20.5703125" style="13" bestFit="1" customWidth="1"/>
    <col min="46" max="50" width="21.7109375" style="13" bestFit="1" customWidth="1"/>
    <col min="51" max="51" width="23.28515625" style="13" bestFit="1" customWidth="1"/>
    <col min="52" max="52" width="19.5703125" style="13" bestFit="1" customWidth="1"/>
    <col min="53" max="53" width="20.5703125" style="13" bestFit="1" customWidth="1"/>
    <col min="54" max="57" width="21.7109375" style="13" bestFit="1" customWidth="1"/>
    <col min="58" max="58" width="21.7109375" style="37" bestFit="1" customWidth="1"/>
    <col min="59" max="59" width="23.28515625" style="13" bestFit="1" customWidth="1"/>
    <col min="60" max="62" width="23.28515625" style="13" customWidth="1"/>
    <col min="63" max="63" width="13.7109375" style="13" customWidth="1"/>
    <col min="64" max="16384" width="9.140625" style="13"/>
  </cols>
  <sheetData>
    <row r="1" spans="1:79" x14ac:dyDescent="0.2"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/>
      <c r="W1" s="16"/>
      <c r="X1" s="17"/>
      <c r="Y1" s="17"/>
      <c r="Z1" s="17"/>
      <c r="AA1" s="17"/>
      <c r="AB1" s="17"/>
      <c r="AC1" s="17"/>
      <c r="AE1" s="17"/>
    </row>
    <row r="2" spans="1:79" ht="18" x14ac:dyDescent="0.25">
      <c r="C2" s="42" t="s">
        <v>78</v>
      </c>
      <c r="D2" s="82" t="s">
        <v>76</v>
      </c>
      <c r="E2" s="83" t="s">
        <v>42</v>
      </c>
      <c r="F2" s="41"/>
      <c r="V2" s="70"/>
      <c r="W2" s="17"/>
      <c r="X2" s="17"/>
      <c r="Y2" s="17"/>
      <c r="Z2" s="17"/>
      <c r="AA2" s="17"/>
      <c r="AB2" s="17"/>
      <c r="AC2" s="17"/>
      <c r="AE2" s="17"/>
      <c r="AQ2" s="70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9"/>
      <c r="BC2" s="19"/>
    </row>
    <row r="3" spans="1:79" ht="26.25" x14ac:dyDescent="0.25">
      <c r="A3" s="70"/>
      <c r="C3" s="42"/>
      <c r="D3" s="42" t="s">
        <v>74</v>
      </c>
      <c r="E3" s="68">
        <v>25.06</v>
      </c>
      <c r="F3" s="61"/>
      <c r="V3" s="71" t="s">
        <v>8</v>
      </c>
      <c r="W3" s="17"/>
      <c r="X3" s="17"/>
      <c r="Y3" s="17"/>
      <c r="Z3" s="17"/>
      <c r="AA3" s="17"/>
      <c r="AB3" s="17"/>
      <c r="AC3" s="17"/>
      <c r="AE3" s="17"/>
      <c r="AQ3" s="70" t="s">
        <v>9</v>
      </c>
      <c r="AR3" s="20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19"/>
    </row>
    <row r="4" spans="1:79" ht="18" x14ac:dyDescent="0.25">
      <c r="A4" s="68" t="s">
        <v>42</v>
      </c>
      <c r="C4" s="43"/>
      <c r="D4" s="43" t="s">
        <v>75</v>
      </c>
      <c r="E4" s="69">
        <v>25.1</v>
      </c>
      <c r="F4" s="62"/>
      <c r="V4" s="13" t="s">
        <v>10</v>
      </c>
      <c r="W4" s="21">
        <v>0.17499999999999999</v>
      </c>
      <c r="X4" s="21">
        <v>0.17499999999999999</v>
      </c>
      <c r="Y4" s="21">
        <v>0.17499999999999999</v>
      </c>
      <c r="Z4" s="21">
        <v>0.17499999999999999</v>
      </c>
      <c r="AA4" s="21">
        <v>0.17499999999999999</v>
      </c>
      <c r="AB4" s="21">
        <v>0.17499999999999999</v>
      </c>
      <c r="AC4" s="21">
        <v>0.17499999999999999</v>
      </c>
      <c r="AD4" s="21">
        <v>0.17499999999999999</v>
      </c>
      <c r="AE4" s="21">
        <v>0.17499999999999999</v>
      </c>
      <c r="AF4" s="21">
        <v>0.17499999999999999</v>
      </c>
      <c r="AG4" s="21">
        <v>0.17499999999999999</v>
      </c>
      <c r="AH4" s="21">
        <v>0.17499999999999999</v>
      </c>
      <c r="AI4" s="21">
        <v>0.17499999999999999</v>
      </c>
      <c r="AJ4" s="21">
        <v>0.17499999999999999</v>
      </c>
      <c r="AK4" s="21">
        <v>0.17499999999999999</v>
      </c>
      <c r="AL4" s="21">
        <v>0.17499999999999999</v>
      </c>
      <c r="AM4" s="21">
        <v>0.17499999999999999</v>
      </c>
      <c r="AN4" s="21">
        <v>0.17499999999999999</v>
      </c>
      <c r="AO4" s="21"/>
      <c r="AP4" s="21"/>
      <c r="AQ4" s="22" t="s">
        <v>11</v>
      </c>
      <c r="AR4" s="20"/>
      <c r="AS4" s="20"/>
      <c r="AT4" s="20"/>
      <c r="AU4" s="20"/>
      <c r="AV4" s="20"/>
      <c r="AW4" s="20"/>
      <c r="AX4" s="20"/>
      <c r="AY4" s="20"/>
      <c r="AZ4" s="20"/>
      <c r="BA4" s="18"/>
      <c r="BB4" s="19"/>
      <c r="BC4" s="19"/>
    </row>
    <row r="5" spans="1:79" x14ac:dyDescent="0.2">
      <c r="A5" s="61" t="s">
        <v>77</v>
      </c>
      <c r="B5" s="23" t="s">
        <v>82</v>
      </c>
      <c r="C5" s="23" t="s">
        <v>83</v>
      </c>
      <c r="D5" s="23" t="s">
        <v>84</v>
      </c>
      <c r="E5" s="23" t="s">
        <v>85</v>
      </c>
      <c r="F5" s="23" t="s">
        <v>86</v>
      </c>
      <c r="G5" s="23" t="s">
        <v>87</v>
      </c>
      <c r="H5" s="23" t="s">
        <v>91</v>
      </c>
      <c r="I5" s="23" t="s">
        <v>90</v>
      </c>
      <c r="J5" s="23" t="s">
        <v>89</v>
      </c>
      <c r="K5" s="23" t="s">
        <v>88</v>
      </c>
      <c r="L5" s="23" t="s">
        <v>92</v>
      </c>
      <c r="M5" s="23" t="s">
        <v>93</v>
      </c>
      <c r="N5" s="23" t="s">
        <v>94</v>
      </c>
      <c r="O5" s="23" t="s">
        <v>95</v>
      </c>
      <c r="P5" s="23" t="s">
        <v>96</v>
      </c>
      <c r="Q5" s="23" t="s">
        <v>97</v>
      </c>
      <c r="R5" s="23" t="s">
        <v>98</v>
      </c>
      <c r="S5" s="23" t="s">
        <v>99</v>
      </c>
      <c r="T5" s="23"/>
      <c r="V5" s="13" t="s">
        <v>12</v>
      </c>
      <c r="W5" s="23" t="str">
        <f t="shared" ref="W5:AN5" si="0">B5</f>
        <v>LC1</v>
      </c>
      <c r="X5" s="23" t="str">
        <f t="shared" si="0"/>
        <v>LO1</v>
      </c>
      <c r="Y5" s="23" t="str">
        <f t="shared" si="0"/>
        <v>LP1</v>
      </c>
      <c r="Z5" s="23" t="str">
        <f t="shared" si="0"/>
        <v>HC1</v>
      </c>
      <c r="AA5" s="23" t="str">
        <f t="shared" si="0"/>
        <v>HO1</v>
      </c>
      <c r="AB5" s="23" t="str">
        <f t="shared" si="0"/>
        <v>HP1</v>
      </c>
      <c r="AC5" s="23" t="str">
        <f t="shared" si="0"/>
        <v>LC3</v>
      </c>
      <c r="AD5" s="23" t="str">
        <f t="shared" si="0"/>
        <v>LO3</v>
      </c>
      <c r="AE5" s="23" t="str">
        <f t="shared" si="0"/>
        <v>LP3</v>
      </c>
      <c r="AF5" s="23" t="str">
        <f t="shared" si="0"/>
        <v>HC3</v>
      </c>
      <c r="AG5" s="23" t="str">
        <f t="shared" si="0"/>
        <v>HO3</v>
      </c>
      <c r="AH5" s="23" t="str">
        <f t="shared" si="0"/>
        <v>HP3</v>
      </c>
      <c r="AI5" s="23" t="str">
        <f t="shared" si="0"/>
        <v>LC5</v>
      </c>
      <c r="AJ5" s="23" t="str">
        <f t="shared" si="0"/>
        <v>LO5</v>
      </c>
      <c r="AK5" s="23" t="str">
        <f t="shared" si="0"/>
        <v>LP5</v>
      </c>
      <c r="AL5" s="23" t="str">
        <f t="shared" si="0"/>
        <v>HC5</v>
      </c>
      <c r="AM5" s="23" t="str">
        <f t="shared" si="0"/>
        <v>HO5</v>
      </c>
      <c r="AN5" s="23" t="str">
        <f t="shared" si="0"/>
        <v>HP5</v>
      </c>
      <c r="AO5" s="23"/>
      <c r="AP5" s="24"/>
      <c r="AQ5" s="24"/>
      <c r="AR5" s="23" t="str">
        <f t="shared" ref="AR5:BG5" si="1">W5</f>
        <v>LC1</v>
      </c>
      <c r="AS5" s="23" t="str">
        <f t="shared" si="1"/>
        <v>LO1</v>
      </c>
      <c r="AT5" s="23" t="str">
        <f t="shared" si="1"/>
        <v>LP1</v>
      </c>
      <c r="AU5" s="23" t="str">
        <f t="shared" si="1"/>
        <v>HC1</v>
      </c>
      <c r="AV5" s="23" t="str">
        <f t="shared" si="1"/>
        <v>HO1</v>
      </c>
      <c r="AW5" s="23" t="str">
        <f t="shared" si="1"/>
        <v>HP1</v>
      </c>
      <c r="AX5" s="23" t="str">
        <f t="shared" si="1"/>
        <v>LC3</v>
      </c>
      <c r="AY5" s="23" t="str">
        <f t="shared" si="1"/>
        <v>LO3</v>
      </c>
      <c r="AZ5" s="23" t="str">
        <f t="shared" si="1"/>
        <v>LP3</v>
      </c>
      <c r="BA5" s="23" t="str">
        <f t="shared" si="1"/>
        <v>HC3</v>
      </c>
      <c r="BB5" s="23" t="str">
        <f t="shared" si="1"/>
        <v>HO3</v>
      </c>
      <c r="BC5" s="23" t="str">
        <f t="shared" si="1"/>
        <v>HP3</v>
      </c>
      <c r="BD5" s="23" t="str">
        <f t="shared" si="1"/>
        <v>LC5</v>
      </c>
      <c r="BE5" s="23" t="str">
        <f t="shared" si="1"/>
        <v>LO5</v>
      </c>
      <c r="BF5" s="23" t="str">
        <f t="shared" si="1"/>
        <v>LP5</v>
      </c>
      <c r="BG5" s="23" t="str">
        <f t="shared" si="1"/>
        <v>HC5</v>
      </c>
      <c r="BH5" s="23" t="str">
        <f t="shared" ref="BH5" si="2">AM5</f>
        <v>HO5</v>
      </c>
      <c r="BI5" s="23" t="str">
        <f t="shared" ref="BI5" si="3">AN5</f>
        <v>HP5</v>
      </c>
      <c r="BJ5" s="23"/>
      <c r="BK5" s="50"/>
      <c r="BL5" s="23" t="str">
        <f t="shared" ref="BL5:CA5" si="4">AR5</f>
        <v>LC1</v>
      </c>
      <c r="BM5" s="23" t="str">
        <f t="shared" si="4"/>
        <v>LO1</v>
      </c>
      <c r="BN5" s="23" t="str">
        <f t="shared" si="4"/>
        <v>LP1</v>
      </c>
      <c r="BO5" s="23" t="str">
        <f t="shared" si="4"/>
        <v>HC1</v>
      </c>
      <c r="BP5" s="23" t="str">
        <f t="shared" si="4"/>
        <v>HO1</v>
      </c>
      <c r="BQ5" s="23" t="str">
        <f t="shared" si="4"/>
        <v>HP1</v>
      </c>
      <c r="BR5" s="23" t="str">
        <f t="shared" si="4"/>
        <v>LC3</v>
      </c>
      <c r="BS5" s="23" t="str">
        <f t="shared" si="4"/>
        <v>LO3</v>
      </c>
      <c r="BT5" s="23" t="str">
        <f t="shared" si="4"/>
        <v>LP3</v>
      </c>
      <c r="BU5" s="23" t="str">
        <f t="shared" si="4"/>
        <v>HC3</v>
      </c>
      <c r="BV5" s="23" t="str">
        <f t="shared" si="4"/>
        <v>HO3</v>
      </c>
      <c r="BW5" s="23" t="str">
        <f t="shared" si="4"/>
        <v>HP3</v>
      </c>
      <c r="BX5" s="23" t="str">
        <f t="shared" si="4"/>
        <v>LC5</v>
      </c>
      <c r="BY5" s="23" t="str">
        <f t="shared" si="4"/>
        <v>LO5</v>
      </c>
      <c r="BZ5" s="23" t="str">
        <f t="shared" si="4"/>
        <v>LP5</v>
      </c>
      <c r="CA5" s="23" t="str">
        <f t="shared" si="4"/>
        <v>HC5</v>
      </c>
    </row>
    <row r="6" spans="1:79" ht="15" x14ac:dyDescent="0.25">
      <c r="A6" s="80" t="s">
        <v>55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5"/>
      <c r="V6" s="28">
        <v>0.33333333333333331</v>
      </c>
      <c r="W6" s="13">
        <f t="shared" ref="W6:AN6" si="5">((B$6/B$13)*$E$3)/144.4*(1/W$4*1000)/3</f>
        <v>0</v>
      </c>
      <c r="X6" s="13">
        <f t="shared" si="5"/>
        <v>0</v>
      </c>
      <c r="Y6" s="13">
        <f t="shared" si="5"/>
        <v>0</v>
      </c>
      <c r="Z6" s="13">
        <f t="shared" si="5"/>
        <v>0</v>
      </c>
      <c r="AA6" s="13">
        <f t="shared" si="5"/>
        <v>0</v>
      </c>
      <c r="AB6" s="13">
        <f t="shared" si="5"/>
        <v>0</v>
      </c>
      <c r="AC6" s="13">
        <f t="shared" si="5"/>
        <v>0</v>
      </c>
      <c r="AD6" s="13">
        <f t="shared" si="5"/>
        <v>0</v>
      </c>
      <c r="AE6" s="13">
        <f t="shared" si="5"/>
        <v>0</v>
      </c>
      <c r="AF6" s="13">
        <f t="shared" si="5"/>
        <v>0</v>
      </c>
      <c r="AG6" s="13">
        <f t="shared" si="5"/>
        <v>0</v>
      </c>
      <c r="AH6" s="13">
        <f t="shared" si="5"/>
        <v>0</v>
      </c>
      <c r="AI6" s="13">
        <f t="shared" si="5"/>
        <v>0</v>
      </c>
      <c r="AJ6" s="13">
        <f t="shared" si="5"/>
        <v>0</v>
      </c>
      <c r="AK6" s="13">
        <f t="shared" si="5"/>
        <v>0</v>
      </c>
      <c r="AL6" s="13">
        <f t="shared" si="5"/>
        <v>0</v>
      </c>
      <c r="AM6" s="13">
        <f t="shared" si="5"/>
        <v>0</v>
      </c>
      <c r="AN6" s="13">
        <f t="shared" si="5"/>
        <v>0</v>
      </c>
      <c r="AQ6" s="28">
        <v>0.33333333333333331</v>
      </c>
      <c r="AR6" s="30">
        <f t="shared" ref="AR6:BG9" si="6">W6*100/W$39</f>
        <v>0</v>
      </c>
      <c r="AS6" s="30">
        <f t="shared" si="6"/>
        <v>0</v>
      </c>
      <c r="AT6" s="30">
        <f t="shared" si="6"/>
        <v>0</v>
      </c>
      <c r="AU6" s="30">
        <f t="shared" si="6"/>
        <v>0</v>
      </c>
      <c r="AV6" s="30">
        <f t="shared" si="6"/>
        <v>0</v>
      </c>
      <c r="AW6" s="30">
        <f t="shared" si="6"/>
        <v>0</v>
      </c>
      <c r="AX6" s="30">
        <f t="shared" si="6"/>
        <v>0</v>
      </c>
      <c r="AY6" s="30">
        <f t="shared" si="6"/>
        <v>0</v>
      </c>
      <c r="AZ6" s="30">
        <f t="shared" si="6"/>
        <v>0</v>
      </c>
      <c r="BA6" s="30">
        <f t="shared" si="6"/>
        <v>0</v>
      </c>
      <c r="BB6" s="30">
        <f t="shared" si="6"/>
        <v>0</v>
      </c>
      <c r="BC6" s="30">
        <f t="shared" si="6"/>
        <v>0</v>
      </c>
      <c r="BD6" s="30">
        <f t="shared" si="6"/>
        <v>0</v>
      </c>
      <c r="BE6" s="30">
        <f t="shared" si="6"/>
        <v>0</v>
      </c>
      <c r="BF6" s="30">
        <f t="shared" si="6"/>
        <v>0</v>
      </c>
      <c r="BG6" s="30">
        <f t="shared" si="6"/>
        <v>0</v>
      </c>
      <c r="BH6" s="30">
        <f t="shared" ref="BH6:BH9" si="7">AM6*100/AM$39</f>
        <v>0</v>
      </c>
      <c r="BI6" s="30">
        <f t="shared" ref="BI6:BI9" si="8">AN6*100/AN$39</f>
        <v>0</v>
      </c>
      <c r="BJ6" s="30"/>
      <c r="BK6" s="53" t="s">
        <v>81</v>
      </c>
      <c r="BL6" s="53">
        <f>AR23/AR15</f>
        <v>0.54709852422346483</v>
      </c>
      <c r="BM6" s="53">
        <f t="shared" ref="BM6:CA6" si="9">AS23/AS15</f>
        <v>0.54169295160531528</v>
      </c>
      <c r="BN6" s="53">
        <f t="shared" si="9"/>
        <v>0.14766932105339062</v>
      </c>
      <c r="BO6" s="53">
        <f t="shared" si="9"/>
        <v>0.55399904406608669</v>
      </c>
      <c r="BP6" s="53">
        <f t="shared" si="9"/>
        <v>0.55496076448073517</v>
      </c>
      <c r="BQ6" s="53">
        <f t="shared" si="9"/>
        <v>0.15991070707517316</v>
      </c>
      <c r="BR6" s="53">
        <f t="shared" si="9"/>
        <v>0.40808906494389541</v>
      </c>
      <c r="BS6" s="53">
        <f t="shared" si="9"/>
        <v>0.5705832830958909</v>
      </c>
      <c r="BT6" s="53">
        <f t="shared" si="9"/>
        <v>0.16249923570590183</v>
      </c>
      <c r="BU6" s="53">
        <f t="shared" si="9"/>
        <v>0.50699275351177697</v>
      </c>
      <c r="BV6" s="53">
        <f t="shared" si="9"/>
        <v>0.56131625414712116</v>
      </c>
      <c r="BW6" s="53">
        <f t="shared" si="9"/>
        <v>0.16091299796462674</v>
      </c>
      <c r="BX6" s="53">
        <f t="shared" si="9"/>
        <v>0.41856746255177746</v>
      </c>
      <c r="BY6" s="53">
        <f t="shared" si="9"/>
        <v>0.55696017888768667</v>
      </c>
      <c r="BZ6" s="53">
        <f t="shared" si="9"/>
        <v>0.15562495661179371</v>
      </c>
      <c r="CA6" s="53">
        <f t="shared" si="9"/>
        <v>0.52939560940385366</v>
      </c>
    </row>
    <row r="7" spans="1:79" ht="15" x14ac:dyDescent="0.25">
      <c r="A7" s="80" t="s">
        <v>45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5"/>
      <c r="V7" s="28">
        <v>0.41666666666666669</v>
      </c>
      <c r="W7" s="13">
        <f t="shared" ref="W7:AN7" si="10">((B$7/B$13)*$E$3)/172.4*(1/W$4*1000)/3</f>
        <v>0</v>
      </c>
      <c r="X7" s="13">
        <f t="shared" si="10"/>
        <v>0</v>
      </c>
      <c r="Y7" s="13">
        <f t="shared" si="10"/>
        <v>0</v>
      </c>
      <c r="Z7" s="13">
        <f t="shared" si="10"/>
        <v>0</v>
      </c>
      <c r="AA7" s="13">
        <f t="shared" si="10"/>
        <v>0</v>
      </c>
      <c r="AB7" s="13">
        <f t="shared" si="10"/>
        <v>0</v>
      </c>
      <c r="AC7" s="13">
        <f t="shared" si="10"/>
        <v>0</v>
      </c>
      <c r="AD7" s="13">
        <f t="shared" si="10"/>
        <v>0</v>
      </c>
      <c r="AE7" s="13">
        <f t="shared" si="10"/>
        <v>0</v>
      </c>
      <c r="AF7" s="13">
        <f t="shared" si="10"/>
        <v>0</v>
      </c>
      <c r="AG7" s="13">
        <f t="shared" si="10"/>
        <v>0</v>
      </c>
      <c r="AH7" s="13">
        <f t="shared" si="10"/>
        <v>0</v>
      </c>
      <c r="AI7" s="13">
        <f t="shared" si="10"/>
        <v>0</v>
      </c>
      <c r="AJ7" s="13">
        <f t="shared" si="10"/>
        <v>0</v>
      </c>
      <c r="AK7" s="13">
        <f t="shared" si="10"/>
        <v>0</v>
      </c>
      <c r="AL7" s="13">
        <f t="shared" si="10"/>
        <v>0</v>
      </c>
      <c r="AM7" s="13">
        <f t="shared" si="10"/>
        <v>0</v>
      </c>
      <c r="AN7" s="13">
        <f t="shared" si="10"/>
        <v>0</v>
      </c>
      <c r="AQ7" s="28">
        <v>0.41666666666666669</v>
      </c>
      <c r="AR7" s="30">
        <f t="shared" si="6"/>
        <v>0</v>
      </c>
      <c r="AS7" s="30">
        <f t="shared" si="6"/>
        <v>0</v>
      </c>
      <c r="AT7" s="30">
        <f t="shared" si="6"/>
        <v>0</v>
      </c>
      <c r="AU7" s="30">
        <f t="shared" si="6"/>
        <v>0</v>
      </c>
      <c r="AV7" s="30">
        <f t="shared" si="6"/>
        <v>0</v>
      </c>
      <c r="AW7" s="30">
        <f t="shared" si="6"/>
        <v>0</v>
      </c>
      <c r="AX7" s="30">
        <f t="shared" si="6"/>
        <v>0</v>
      </c>
      <c r="AY7" s="30">
        <f t="shared" si="6"/>
        <v>0</v>
      </c>
      <c r="AZ7" s="30">
        <f t="shared" si="6"/>
        <v>0</v>
      </c>
      <c r="BA7" s="30">
        <f t="shared" si="6"/>
        <v>0</v>
      </c>
      <c r="BB7" s="30">
        <f t="shared" si="6"/>
        <v>0</v>
      </c>
      <c r="BC7" s="30">
        <f t="shared" si="6"/>
        <v>0</v>
      </c>
      <c r="BD7" s="30">
        <f t="shared" si="6"/>
        <v>0</v>
      </c>
      <c r="BE7" s="30">
        <f t="shared" si="6"/>
        <v>0</v>
      </c>
      <c r="BF7" s="30">
        <f t="shared" si="6"/>
        <v>0</v>
      </c>
      <c r="BG7" s="30">
        <f t="shared" si="6"/>
        <v>0</v>
      </c>
      <c r="BH7" s="30">
        <f t="shared" si="7"/>
        <v>0</v>
      </c>
      <c r="BI7" s="30">
        <f t="shared" si="8"/>
        <v>0</v>
      </c>
      <c r="BJ7" s="30"/>
      <c r="BK7" s="51" t="s">
        <v>33</v>
      </c>
      <c r="BL7" s="52">
        <f t="shared" ref="BL7:CA7" si="11">AR17/AR15</f>
        <v>3.9215383601463379E-2</v>
      </c>
      <c r="BM7" s="52">
        <f t="shared" si="11"/>
        <v>4.9187167823596792E-2</v>
      </c>
      <c r="BN7" s="52">
        <f t="shared" si="11"/>
        <v>3.6879718398454171E-2</v>
      </c>
      <c r="BO7" s="52">
        <f t="shared" si="11"/>
        <v>7.6896219381259054E-2</v>
      </c>
      <c r="BP7" s="52">
        <f t="shared" si="11"/>
        <v>5.2609265286937761E-2</v>
      </c>
      <c r="BQ7" s="52">
        <f t="shared" si="11"/>
        <v>3.9475283473665523E-2</v>
      </c>
      <c r="BR7" s="52">
        <f t="shared" si="11"/>
        <v>3.9827178140063355E-2</v>
      </c>
      <c r="BS7" s="52">
        <f t="shared" si="11"/>
        <v>5.3906083472309345E-2</v>
      </c>
      <c r="BT7" s="52">
        <f t="shared" si="11"/>
        <v>4.0044495691711597E-2</v>
      </c>
      <c r="BU7" s="52">
        <f t="shared" si="11"/>
        <v>5.4509428042843262E-2</v>
      </c>
      <c r="BV7" s="52">
        <f t="shared" si="11"/>
        <v>2.5855197919396708E-2</v>
      </c>
      <c r="BW7" s="52">
        <f t="shared" si="11"/>
        <v>3.8349652718621959E-2</v>
      </c>
      <c r="BX7" s="52">
        <f t="shared" si="11"/>
        <v>4.6002022859504985E-2</v>
      </c>
      <c r="BY7" s="52">
        <f t="shared" si="11"/>
        <v>3.4888193184769829E-2</v>
      </c>
      <c r="BZ7" s="52">
        <f t="shared" si="11"/>
        <v>3.3330159751476289E-2</v>
      </c>
      <c r="CA7" s="52">
        <f t="shared" si="11"/>
        <v>4.814677741248341E-2</v>
      </c>
    </row>
    <row r="8" spans="1:79" ht="15" x14ac:dyDescent="0.25">
      <c r="A8" s="80" t="s">
        <v>46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5"/>
      <c r="V8" s="28">
        <v>0.45833333333333331</v>
      </c>
      <c r="W8" s="13">
        <f t="shared" ref="W8:AN8" si="12">((B$8/B$13)*$E$3)/172.4*(1/W$4*1000)/3</f>
        <v>0</v>
      </c>
      <c r="X8" s="13">
        <f t="shared" si="12"/>
        <v>0</v>
      </c>
      <c r="Y8" s="13">
        <f t="shared" si="12"/>
        <v>0</v>
      </c>
      <c r="Z8" s="13">
        <f t="shared" si="12"/>
        <v>0</v>
      </c>
      <c r="AA8" s="13">
        <f t="shared" si="12"/>
        <v>0</v>
      </c>
      <c r="AB8" s="13">
        <f t="shared" si="12"/>
        <v>0</v>
      </c>
      <c r="AC8" s="13">
        <f t="shared" si="12"/>
        <v>0</v>
      </c>
      <c r="AD8" s="13">
        <f t="shared" si="12"/>
        <v>0</v>
      </c>
      <c r="AE8" s="13">
        <f t="shared" si="12"/>
        <v>0</v>
      </c>
      <c r="AF8" s="13">
        <f t="shared" si="12"/>
        <v>0</v>
      </c>
      <c r="AG8" s="13">
        <f t="shared" si="12"/>
        <v>0</v>
      </c>
      <c r="AH8" s="13">
        <f t="shared" si="12"/>
        <v>0</v>
      </c>
      <c r="AI8" s="13">
        <f t="shared" si="12"/>
        <v>0</v>
      </c>
      <c r="AJ8" s="13">
        <f t="shared" si="12"/>
        <v>0</v>
      </c>
      <c r="AK8" s="13">
        <f t="shared" si="12"/>
        <v>0</v>
      </c>
      <c r="AL8" s="13">
        <f t="shared" si="12"/>
        <v>0</v>
      </c>
      <c r="AM8" s="13">
        <f t="shared" si="12"/>
        <v>0</v>
      </c>
      <c r="AN8" s="13">
        <f t="shared" si="12"/>
        <v>0</v>
      </c>
      <c r="AQ8" s="28">
        <v>0.45833333333333331</v>
      </c>
      <c r="AR8" s="30">
        <f t="shared" si="6"/>
        <v>0</v>
      </c>
      <c r="AS8" s="30">
        <f t="shared" si="6"/>
        <v>0</v>
      </c>
      <c r="AT8" s="30">
        <f t="shared" si="6"/>
        <v>0</v>
      </c>
      <c r="AU8" s="30">
        <f t="shared" si="6"/>
        <v>0</v>
      </c>
      <c r="AV8" s="30">
        <f t="shared" si="6"/>
        <v>0</v>
      </c>
      <c r="AW8" s="30">
        <f t="shared" si="6"/>
        <v>0</v>
      </c>
      <c r="AX8" s="30">
        <f t="shared" si="6"/>
        <v>0</v>
      </c>
      <c r="AY8" s="30">
        <f t="shared" si="6"/>
        <v>0</v>
      </c>
      <c r="AZ8" s="30">
        <f t="shared" si="6"/>
        <v>0</v>
      </c>
      <c r="BA8" s="30">
        <f t="shared" si="6"/>
        <v>0</v>
      </c>
      <c r="BB8" s="30">
        <f t="shared" si="6"/>
        <v>0</v>
      </c>
      <c r="BC8" s="30">
        <f t="shared" si="6"/>
        <v>0</v>
      </c>
      <c r="BD8" s="30">
        <f t="shared" si="6"/>
        <v>0</v>
      </c>
      <c r="BE8" s="30">
        <f t="shared" si="6"/>
        <v>0</v>
      </c>
      <c r="BF8" s="30">
        <f t="shared" si="6"/>
        <v>0</v>
      </c>
      <c r="BG8" s="30">
        <f t="shared" si="6"/>
        <v>0</v>
      </c>
      <c r="BH8" s="30">
        <f t="shared" si="7"/>
        <v>0</v>
      </c>
      <c r="BI8" s="30">
        <f t="shared" si="8"/>
        <v>0</v>
      </c>
      <c r="BJ8" s="30"/>
    </row>
    <row r="9" spans="1:79" ht="15" x14ac:dyDescent="0.25">
      <c r="A9" s="80" t="s">
        <v>47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5"/>
      <c r="V9" s="28">
        <v>0.5</v>
      </c>
      <c r="W9" s="13">
        <f t="shared" ref="W9:AN9" si="13">((B$9/B$13)*$E$3)/200.4*(1/W$4*1000)/3</f>
        <v>0</v>
      </c>
      <c r="X9" s="13">
        <f t="shared" si="13"/>
        <v>0</v>
      </c>
      <c r="Y9" s="13">
        <f t="shared" si="13"/>
        <v>0</v>
      </c>
      <c r="Z9" s="13">
        <f t="shared" si="13"/>
        <v>0</v>
      </c>
      <c r="AA9" s="13">
        <f t="shared" si="13"/>
        <v>0</v>
      </c>
      <c r="AB9" s="13">
        <f t="shared" si="13"/>
        <v>0</v>
      </c>
      <c r="AC9" s="13">
        <f t="shared" si="13"/>
        <v>0</v>
      </c>
      <c r="AD9" s="13">
        <f t="shared" si="13"/>
        <v>0</v>
      </c>
      <c r="AE9" s="13">
        <f t="shared" si="13"/>
        <v>0</v>
      </c>
      <c r="AF9" s="13">
        <f t="shared" si="13"/>
        <v>0</v>
      </c>
      <c r="AG9" s="13">
        <f t="shared" si="13"/>
        <v>0</v>
      </c>
      <c r="AH9" s="13">
        <f t="shared" si="13"/>
        <v>0</v>
      </c>
      <c r="AI9" s="13">
        <f t="shared" si="13"/>
        <v>0</v>
      </c>
      <c r="AJ9" s="13">
        <f t="shared" si="13"/>
        <v>0</v>
      </c>
      <c r="AK9" s="13">
        <f t="shared" si="13"/>
        <v>0</v>
      </c>
      <c r="AL9" s="13">
        <f t="shared" si="13"/>
        <v>0</v>
      </c>
      <c r="AM9" s="13">
        <f t="shared" si="13"/>
        <v>0</v>
      </c>
      <c r="AN9" s="13">
        <f t="shared" si="13"/>
        <v>0</v>
      </c>
      <c r="AQ9" s="28">
        <v>0.5</v>
      </c>
      <c r="AR9" s="30">
        <f t="shared" si="6"/>
        <v>0</v>
      </c>
      <c r="AS9" s="30">
        <f t="shared" si="6"/>
        <v>0</v>
      </c>
      <c r="AT9" s="30">
        <f t="shared" si="6"/>
        <v>0</v>
      </c>
      <c r="AU9" s="30">
        <f t="shared" si="6"/>
        <v>0</v>
      </c>
      <c r="AV9" s="30">
        <f t="shared" si="6"/>
        <v>0</v>
      </c>
      <c r="AW9" s="30">
        <f t="shared" si="6"/>
        <v>0</v>
      </c>
      <c r="AX9" s="30">
        <f t="shared" si="6"/>
        <v>0</v>
      </c>
      <c r="AY9" s="30">
        <f t="shared" si="6"/>
        <v>0</v>
      </c>
      <c r="AZ9" s="30">
        <f t="shared" si="6"/>
        <v>0</v>
      </c>
      <c r="BA9" s="30">
        <f t="shared" si="6"/>
        <v>0</v>
      </c>
      <c r="BB9" s="30">
        <f t="shared" si="6"/>
        <v>0</v>
      </c>
      <c r="BC9" s="30">
        <f t="shared" si="6"/>
        <v>0</v>
      </c>
      <c r="BD9" s="30">
        <f t="shared" si="6"/>
        <v>0</v>
      </c>
      <c r="BE9" s="30">
        <f t="shared" si="6"/>
        <v>0</v>
      </c>
      <c r="BF9" s="30">
        <f t="shared" si="6"/>
        <v>0</v>
      </c>
      <c r="BG9" s="30">
        <f t="shared" si="6"/>
        <v>0</v>
      </c>
      <c r="BH9" s="30">
        <f t="shared" si="7"/>
        <v>0</v>
      </c>
      <c r="BI9" s="30">
        <f t="shared" si="8"/>
        <v>0</v>
      </c>
      <c r="BJ9" s="30"/>
    </row>
    <row r="10" spans="1:79" ht="15" x14ac:dyDescent="0.25">
      <c r="A10" s="80" t="s">
        <v>79</v>
      </c>
      <c r="B10" s="23" t="s">
        <v>100</v>
      </c>
      <c r="C10" s="23" t="s">
        <v>111</v>
      </c>
      <c r="D10" s="23" t="s">
        <v>121</v>
      </c>
      <c r="E10" s="23" t="s">
        <v>131</v>
      </c>
      <c r="F10" s="23" t="s">
        <v>140</v>
      </c>
      <c r="G10" s="23" t="s">
        <v>151</v>
      </c>
      <c r="H10" s="23" t="s">
        <v>161</v>
      </c>
      <c r="I10" s="23" t="s">
        <v>171</v>
      </c>
      <c r="J10" s="23" t="s">
        <v>181</v>
      </c>
      <c r="K10" s="23" t="s">
        <v>191</v>
      </c>
      <c r="L10" s="23" t="s">
        <v>201</v>
      </c>
      <c r="M10" s="23" t="s">
        <v>212</v>
      </c>
      <c r="N10" s="23" t="s">
        <v>221</v>
      </c>
      <c r="O10" s="23" t="s">
        <v>231</v>
      </c>
      <c r="P10" s="23" t="s">
        <v>241</v>
      </c>
      <c r="Q10" s="23" t="s">
        <v>250</v>
      </c>
      <c r="R10" s="23" t="s">
        <v>260</v>
      </c>
      <c r="S10" s="23" t="s">
        <v>270</v>
      </c>
      <c r="T10" s="23"/>
      <c r="U10" s="25"/>
      <c r="V10" s="31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9"/>
      <c r="AQ10" s="28">
        <v>0.54166666666666663</v>
      </c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47"/>
      <c r="BL10" s="47"/>
      <c r="BM10" s="47"/>
      <c r="BN10" s="48"/>
      <c r="BO10" s="37"/>
      <c r="BP10" s="37"/>
    </row>
    <row r="11" spans="1:79" ht="15" x14ac:dyDescent="0.25">
      <c r="A11" s="80" t="s">
        <v>48</v>
      </c>
      <c r="B11" s="66" t="s">
        <v>101</v>
      </c>
      <c r="C11" s="66" t="s">
        <v>112</v>
      </c>
      <c r="D11" s="66" t="s">
        <v>122</v>
      </c>
      <c r="E11" s="66"/>
      <c r="F11" s="66" t="s">
        <v>141</v>
      </c>
      <c r="G11" s="66" t="s">
        <v>152</v>
      </c>
      <c r="H11" s="66"/>
      <c r="I11" s="66" t="s">
        <v>172</v>
      </c>
      <c r="J11" s="66" t="s">
        <v>182</v>
      </c>
      <c r="K11" s="66" t="s">
        <v>192</v>
      </c>
      <c r="L11" s="66" t="s">
        <v>202</v>
      </c>
      <c r="M11" s="66"/>
      <c r="N11" s="66" t="s">
        <v>222</v>
      </c>
      <c r="O11" s="66" t="s">
        <v>232</v>
      </c>
      <c r="P11" s="66" t="s">
        <v>242</v>
      </c>
      <c r="Q11" s="66" t="s">
        <v>251</v>
      </c>
      <c r="R11" s="66"/>
      <c r="S11" s="66" t="s">
        <v>271</v>
      </c>
      <c r="T11" s="66"/>
      <c r="U11" s="67"/>
      <c r="V11" s="33" t="s">
        <v>13</v>
      </c>
      <c r="W11" s="13">
        <f t="shared" ref="W11:AN11" si="14">((B$11/B$13)*$E$3)/228.4*(1/W$4*1000)/3</f>
        <v>10.566306368493249</v>
      </c>
      <c r="X11" s="13">
        <f t="shared" si="14"/>
        <v>17.761306698043558</v>
      </c>
      <c r="Y11" s="13">
        <f t="shared" si="14"/>
        <v>27.15796412337151</v>
      </c>
      <c r="Z11" s="13">
        <f t="shared" si="14"/>
        <v>0</v>
      </c>
      <c r="AA11" s="13">
        <f t="shared" si="14"/>
        <v>17.230169725137962</v>
      </c>
      <c r="AB11" s="13">
        <f t="shared" si="14"/>
        <v>35.386325862466691</v>
      </c>
      <c r="AC11" s="13">
        <f t="shared" si="14"/>
        <v>0</v>
      </c>
      <c r="AD11" s="13">
        <f t="shared" si="14"/>
        <v>21.794118011844532</v>
      </c>
      <c r="AE11" s="13">
        <f t="shared" si="14"/>
        <v>27.781276144252164</v>
      </c>
      <c r="AF11" s="13">
        <f t="shared" si="14"/>
        <v>14.018961557650398</v>
      </c>
      <c r="AG11" s="13">
        <f t="shared" si="14"/>
        <v>15.422002890728544</v>
      </c>
      <c r="AH11" s="13">
        <f t="shared" si="14"/>
        <v>0</v>
      </c>
      <c r="AI11" s="13">
        <f t="shared" si="14"/>
        <v>13.770493513006466</v>
      </c>
      <c r="AJ11" s="13">
        <f t="shared" si="14"/>
        <v>17.813965084903113</v>
      </c>
      <c r="AK11" s="13">
        <f t="shared" si="14"/>
        <v>28.735379183045907</v>
      </c>
      <c r="AL11" s="13">
        <f t="shared" si="14"/>
        <v>6.8832301914874785</v>
      </c>
      <c r="AM11" s="13">
        <f t="shared" si="14"/>
        <v>0</v>
      </c>
      <c r="AN11" s="13">
        <f t="shared" si="14"/>
        <v>32.782679220476687</v>
      </c>
      <c r="AQ11" s="28">
        <v>0.58333333333333337</v>
      </c>
      <c r="AR11" s="30">
        <f t="shared" ref="AR11:BG12" si="15">W11*100/W$39</f>
        <v>0.41923471344730034</v>
      </c>
      <c r="AS11" s="30">
        <f t="shared" si="15"/>
        <v>0.53932492050960734</v>
      </c>
      <c r="AT11" s="30">
        <f t="shared" si="15"/>
        <v>0.65929928284759232</v>
      </c>
      <c r="AU11" s="30">
        <f t="shared" si="15"/>
        <v>0</v>
      </c>
      <c r="AV11" s="30">
        <f t="shared" si="15"/>
        <v>0.43631539906238953</v>
      </c>
      <c r="AW11" s="30">
        <f t="shared" si="15"/>
        <v>0.78420804815784328</v>
      </c>
      <c r="AX11" s="30">
        <f t="shared" si="15"/>
        <v>0</v>
      </c>
      <c r="AY11" s="30">
        <f t="shared" si="15"/>
        <v>0.44547217701246367</v>
      </c>
      <c r="AZ11" s="30">
        <f t="shared" si="15"/>
        <v>0.63888041441640409</v>
      </c>
      <c r="BA11" s="30">
        <f t="shared" si="15"/>
        <v>0.611360454911693</v>
      </c>
      <c r="BB11" s="30">
        <f t="shared" si="15"/>
        <v>0.30375575813005512</v>
      </c>
      <c r="BC11" s="30">
        <f t="shared" si="15"/>
        <v>0</v>
      </c>
      <c r="BD11" s="30">
        <f t="shared" si="15"/>
        <v>0.51390222986106093</v>
      </c>
      <c r="BE11" s="30">
        <f t="shared" si="15"/>
        <v>0.34097852127674216</v>
      </c>
      <c r="BF11" s="30">
        <f t="shared" si="15"/>
        <v>0.59715914692377747</v>
      </c>
      <c r="BG11" s="30">
        <f t="shared" si="15"/>
        <v>0.27342575779958311</v>
      </c>
      <c r="BH11" s="30">
        <f t="shared" ref="BH11:BH15" si="16">AM11*100/AM$39</f>
        <v>0</v>
      </c>
      <c r="BI11" s="30">
        <f t="shared" ref="BI11:BI15" si="17">AN11*100/AN$39</f>
        <v>0.59773229958031715</v>
      </c>
      <c r="BJ11" s="30"/>
      <c r="BK11" s="36"/>
      <c r="BL11" s="36"/>
      <c r="BM11" s="36"/>
      <c r="BN11" s="37"/>
      <c r="BO11" s="37"/>
      <c r="BP11" s="37"/>
    </row>
    <row r="12" spans="1:79" ht="15" x14ac:dyDescent="0.25">
      <c r="A12" s="80" t="s">
        <v>56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7"/>
      <c r="V12" s="28">
        <v>0.58402777777777781</v>
      </c>
      <c r="W12" s="13">
        <f t="shared" ref="W12:AN12" si="18">((B$12/B$13)*$E$3)/226.4*(1/W$4*1000)/3</f>
        <v>0</v>
      </c>
      <c r="X12" s="13">
        <f t="shared" si="18"/>
        <v>0</v>
      </c>
      <c r="Y12" s="13">
        <f t="shared" si="18"/>
        <v>0</v>
      </c>
      <c r="Z12" s="13">
        <f t="shared" si="18"/>
        <v>0</v>
      </c>
      <c r="AA12" s="13">
        <f t="shared" si="18"/>
        <v>0</v>
      </c>
      <c r="AB12" s="13">
        <f t="shared" si="18"/>
        <v>0</v>
      </c>
      <c r="AC12" s="13">
        <f t="shared" si="18"/>
        <v>0</v>
      </c>
      <c r="AD12" s="13">
        <f t="shared" si="18"/>
        <v>0</v>
      </c>
      <c r="AE12" s="13">
        <f t="shared" si="18"/>
        <v>0</v>
      </c>
      <c r="AF12" s="13">
        <f t="shared" si="18"/>
        <v>0</v>
      </c>
      <c r="AG12" s="13">
        <f t="shared" si="18"/>
        <v>0</v>
      </c>
      <c r="AH12" s="13">
        <f t="shared" si="18"/>
        <v>0</v>
      </c>
      <c r="AI12" s="13">
        <f t="shared" si="18"/>
        <v>0</v>
      </c>
      <c r="AJ12" s="13">
        <f t="shared" si="18"/>
        <v>0</v>
      </c>
      <c r="AK12" s="13">
        <f t="shared" si="18"/>
        <v>0</v>
      </c>
      <c r="AL12" s="13">
        <f t="shared" si="18"/>
        <v>0</v>
      </c>
      <c r="AM12" s="13">
        <f t="shared" si="18"/>
        <v>0</v>
      </c>
      <c r="AN12" s="13">
        <f t="shared" si="18"/>
        <v>0</v>
      </c>
      <c r="AQ12" s="28">
        <v>0.58402777777777781</v>
      </c>
      <c r="AR12" s="30">
        <f t="shared" si="15"/>
        <v>0</v>
      </c>
      <c r="AS12" s="30">
        <f t="shared" si="15"/>
        <v>0</v>
      </c>
      <c r="AT12" s="30">
        <f t="shared" si="15"/>
        <v>0</v>
      </c>
      <c r="AU12" s="30">
        <f t="shared" si="15"/>
        <v>0</v>
      </c>
      <c r="AV12" s="30">
        <f t="shared" si="15"/>
        <v>0</v>
      </c>
      <c r="AW12" s="30">
        <f t="shared" si="15"/>
        <v>0</v>
      </c>
      <c r="AX12" s="30">
        <f t="shared" si="15"/>
        <v>0</v>
      </c>
      <c r="AY12" s="30">
        <f t="shared" si="15"/>
        <v>0</v>
      </c>
      <c r="AZ12" s="30">
        <f t="shared" si="15"/>
        <v>0</v>
      </c>
      <c r="BA12" s="30">
        <f t="shared" si="15"/>
        <v>0</v>
      </c>
      <c r="BB12" s="30">
        <f t="shared" si="15"/>
        <v>0</v>
      </c>
      <c r="BC12" s="30">
        <f t="shared" si="15"/>
        <v>0</v>
      </c>
      <c r="BD12" s="30">
        <f t="shared" si="15"/>
        <v>0</v>
      </c>
      <c r="BE12" s="30">
        <f t="shared" si="15"/>
        <v>0</v>
      </c>
      <c r="BF12" s="30">
        <f t="shared" si="15"/>
        <v>0</v>
      </c>
      <c r="BG12" s="30">
        <f t="shared" si="15"/>
        <v>0</v>
      </c>
      <c r="BH12" s="30">
        <f t="shared" si="16"/>
        <v>0</v>
      </c>
      <c r="BI12" s="30">
        <f t="shared" si="17"/>
        <v>0</v>
      </c>
      <c r="BJ12" s="30"/>
      <c r="BK12" s="36"/>
      <c r="BL12" s="36"/>
      <c r="BM12" s="36"/>
      <c r="BN12" s="37"/>
      <c r="BO12" s="37"/>
      <c r="BP12" s="37"/>
    </row>
    <row r="13" spans="1:79" ht="15" x14ac:dyDescent="0.25">
      <c r="A13" s="80" t="s">
        <v>49</v>
      </c>
      <c r="B13" s="66" t="s">
        <v>102</v>
      </c>
      <c r="C13" s="66" t="s">
        <v>113</v>
      </c>
      <c r="D13" s="66" t="s">
        <v>123</v>
      </c>
      <c r="E13" s="66" t="s">
        <v>132</v>
      </c>
      <c r="F13" s="66" t="s">
        <v>142</v>
      </c>
      <c r="G13" s="66" t="s">
        <v>153</v>
      </c>
      <c r="H13" s="66" t="s">
        <v>162</v>
      </c>
      <c r="I13" s="66" t="s">
        <v>173</v>
      </c>
      <c r="J13" s="66" t="s">
        <v>183</v>
      </c>
      <c r="K13" s="66" t="s">
        <v>193</v>
      </c>
      <c r="L13" s="66" t="s">
        <v>203</v>
      </c>
      <c r="M13" s="66" t="s">
        <v>213</v>
      </c>
      <c r="N13" s="66" t="s">
        <v>223</v>
      </c>
      <c r="O13" s="66" t="s">
        <v>233</v>
      </c>
      <c r="P13" s="66" t="s">
        <v>243</v>
      </c>
      <c r="Q13" s="66" t="s">
        <v>252</v>
      </c>
      <c r="R13" s="66" t="s">
        <v>261</v>
      </c>
      <c r="S13" s="66" t="s">
        <v>272</v>
      </c>
      <c r="T13" s="66"/>
      <c r="U13" s="67"/>
      <c r="V13" s="65"/>
      <c r="AQ13" s="28">
        <v>0.625</v>
      </c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>
        <f t="shared" ref="BB13:BG15" si="19">AG13*100/AG$39</f>
        <v>0</v>
      </c>
      <c r="BC13" s="30">
        <f t="shared" si="19"/>
        <v>0</v>
      </c>
      <c r="BD13" s="30">
        <f t="shared" si="19"/>
        <v>0</v>
      </c>
      <c r="BE13" s="30">
        <f t="shared" si="19"/>
        <v>0</v>
      </c>
      <c r="BF13" s="30">
        <f t="shared" si="19"/>
        <v>0</v>
      </c>
      <c r="BG13" s="30">
        <f t="shared" si="19"/>
        <v>0</v>
      </c>
      <c r="BH13" s="30">
        <f t="shared" si="16"/>
        <v>0</v>
      </c>
      <c r="BI13" s="30">
        <f t="shared" si="17"/>
        <v>0</v>
      </c>
      <c r="BJ13" s="30"/>
      <c r="BK13" s="36"/>
      <c r="BL13" s="36"/>
      <c r="BM13" s="36"/>
      <c r="BN13" s="37"/>
      <c r="BO13" s="37"/>
      <c r="BP13" s="37"/>
    </row>
    <row r="14" spans="1:79" ht="15" x14ac:dyDescent="0.25">
      <c r="A14" s="80" t="s">
        <v>57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7"/>
      <c r="V14" s="28">
        <v>0.62569444444444444</v>
      </c>
      <c r="W14" s="13">
        <f t="shared" ref="W14:AN14" si="20">((B$14/B$13)*$E$3)/240.4*(1/W$4*1000)/3</f>
        <v>0</v>
      </c>
      <c r="X14" s="13">
        <f t="shared" si="20"/>
        <v>0</v>
      </c>
      <c r="Y14" s="13">
        <f t="shared" si="20"/>
        <v>0</v>
      </c>
      <c r="Z14" s="13">
        <f t="shared" si="20"/>
        <v>0</v>
      </c>
      <c r="AA14" s="13">
        <f t="shared" si="20"/>
        <v>0</v>
      </c>
      <c r="AB14" s="13">
        <f t="shared" si="20"/>
        <v>0</v>
      </c>
      <c r="AC14" s="13">
        <f t="shared" si="20"/>
        <v>0</v>
      </c>
      <c r="AD14" s="13">
        <f t="shared" si="20"/>
        <v>0</v>
      </c>
      <c r="AE14" s="13">
        <f t="shared" si="20"/>
        <v>0</v>
      </c>
      <c r="AF14" s="13">
        <f t="shared" si="20"/>
        <v>0</v>
      </c>
      <c r="AG14" s="13">
        <f t="shared" si="20"/>
        <v>0</v>
      </c>
      <c r="AH14" s="13">
        <f t="shared" si="20"/>
        <v>0</v>
      </c>
      <c r="AI14" s="13">
        <f t="shared" si="20"/>
        <v>0</v>
      </c>
      <c r="AJ14" s="13">
        <f t="shared" si="20"/>
        <v>0</v>
      </c>
      <c r="AK14" s="13">
        <f t="shared" si="20"/>
        <v>0</v>
      </c>
      <c r="AL14" s="13">
        <f t="shared" si="20"/>
        <v>0</v>
      </c>
      <c r="AM14" s="13">
        <f t="shared" si="20"/>
        <v>0</v>
      </c>
      <c r="AN14" s="13">
        <f t="shared" si="20"/>
        <v>0</v>
      </c>
      <c r="AQ14" s="28">
        <v>0.62569444444444444</v>
      </c>
      <c r="AR14" s="30">
        <f t="shared" ref="AR14:BA15" si="21">W14*100/W$39</f>
        <v>0</v>
      </c>
      <c r="AS14" s="30">
        <f t="shared" si="21"/>
        <v>0</v>
      </c>
      <c r="AT14" s="30">
        <f t="shared" si="21"/>
        <v>0</v>
      </c>
      <c r="AU14" s="30">
        <f t="shared" si="21"/>
        <v>0</v>
      </c>
      <c r="AV14" s="30">
        <f t="shared" si="21"/>
        <v>0</v>
      </c>
      <c r="AW14" s="30">
        <f t="shared" si="21"/>
        <v>0</v>
      </c>
      <c r="AX14" s="30">
        <f t="shared" si="21"/>
        <v>0</v>
      </c>
      <c r="AY14" s="30">
        <f t="shared" si="21"/>
        <v>0</v>
      </c>
      <c r="AZ14" s="30">
        <f t="shared" si="21"/>
        <v>0</v>
      </c>
      <c r="BA14" s="30">
        <f t="shared" si="21"/>
        <v>0</v>
      </c>
      <c r="BB14" s="30">
        <f t="shared" si="19"/>
        <v>0</v>
      </c>
      <c r="BC14" s="30">
        <f t="shared" si="19"/>
        <v>0</v>
      </c>
      <c r="BD14" s="30">
        <f t="shared" si="19"/>
        <v>0</v>
      </c>
      <c r="BE14" s="30">
        <f t="shared" si="19"/>
        <v>0</v>
      </c>
      <c r="BF14" s="30">
        <f t="shared" si="19"/>
        <v>0</v>
      </c>
      <c r="BG14" s="30">
        <f t="shared" si="19"/>
        <v>0</v>
      </c>
      <c r="BH14" s="30">
        <f t="shared" si="16"/>
        <v>0</v>
      </c>
      <c r="BI14" s="30">
        <f t="shared" si="17"/>
        <v>0</v>
      </c>
      <c r="BJ14" s="30"/>
      <c r="BK14" s="36"/>
      <c r="BL14" s="36"/>
      <c r="BM14" s="36"/>
      <c r="BN14" s="37"/>
      <c r="BO14" s="37"/>
      <c r="BP14" s="37"/>
      <c r="BQ14" s="37"/>
      <c r="BR14" s="37"/>
    </row>
    <row r="15" spans="1:79" ht="15" x14ac:dyDescent="0.25">
      <c r="A15" s="80" t="s">
        <v>50</v>
      </c>
      <c r="B15" s="66" t="s">
        <v>103</v>
      </c>
      <c r="C15" s="66" t="s">
        <v>114</v>
      </c>
      <c r="D15" s="66" t="s">
        <v>124</v>
      </c>
      <c r="E15" s="66" t="s">
        <v>133</v>
      </c>
      <c r="F15" s="66" t="s">
        <v>143</v>
      </c>
      <c r="G15" s="66" t="s">
        <v>154</v>
      </c>
      <c r="H15" s="66" t="s">
        <v>163</v>
      </c>
      <c r="I15" s="66" t="s">
        <v>174</v>
      </c>
      <c r="J15" s="66" t="s">
        <v>184</v>
      </c>
      <c r="K15" s="66" t="s">
        <v>194</v>
      </c>
      <c r="L15" s="66" t="s">
        <v>204</v>
      </c>
      <c r="M15" s="66" t="s">
        <v>214</v>
      </c>
      <c r="N15" s="66" t="s">
        <v>224</v>
      </c>
      <c r="O15" s="66" t="s">
        <v>234</v>
      </c>
      <c r="P15" s="66" t="s">
        <v>244</v>
      </c>
      <c r="Q15" s="66" t="s">
        <v>253</v>
      </c>
      <c r="R15" s="66" t="s">
        <v>262</v>
      </c>
      <c r="S15" s="66" t="s">
        <v>273</v>
      </c>
      <c r="T15" s="66"/>
      <c r="U15" s="67"/>
      <c r="V15" s="33" t="s">
        <v>14</v>
      </c>
      <c r="W15" s="13">
        <f t="shared" ref="W15:AN15" si="22">((B$15/B$13)*$E$3)/256.4*(1/W$4*1000)/3</f>
        <v>481.57307614928919</v>
      </c>
      <c r="X15" s="13">
        <f t="shared" si="22"/>
        <v>633.20212089858842</v>
      </c>
      <c r="Y15" s="13">
        <f t="shared" si="22"/>
        <v>1312.8030660919019</v>
      </c>
      <c r="Z15" s="13">
        <f t="shared" si="22"/>
        <v>336.08838447808665</v>
      </c>
      <c r="AA15" s="13">
        <f t="shared" si="22"/>
        <v>791.04325945525068</v>
      </c>
      <c r="AB15" s="13">
        <f t="shared" si="22"/>
        <v>1382.7704390085316</v>
      </c>
      <c r="AC15" s="13">
        <f t="shared" si="22"/>
        <v>442.32704817145259</v>
      </c>
      <c r="AD15" s="13">
        <f t="shared" si="22"/>
        <v>949.73680070620787</v>
      </c>
      <c r="AE15" s="13">
        <f t="shared" si="22"/>
        <v>1340.075667556973</v>
      </c>
      <c r="AF15" s="13">
        <f t="shared" si="22"/>
        <v>423.25151334761512</v>
      </c>
      <c r="AG15" s="13">
        <f t="shared" si="22"/>
        <v>997.70211638854687</v>
      </c>
      <c r="AH15" s="13">
        <f t="shared" si="22"/>
        <v>1625.8429975746892</v>
      </c>
      <c r="AI15" s="13">
        <f t="shared" si="22"/>
        <v>553.42152525632287</v>
      </c>
      <c r="AJ15" s="13">
        <f t="shared" si="22"/>
        <v>1043.0354484798263</v>
      </c>
      <c r="AK15" s="13">
        <f t="shared" si="22"/>
        <v>1527.0084581899735</v>
      </c>
      <c r="AL15" s="13">
        <f t="shared" si="22"/>
        <v>461.97629265404697</v>
      </c>
      <c r="AM15" s="13">
        <f t="shared" si="22"/>
        <v>1123.1616921195684</v>
      </c>
      <c r="AN15" s="13">
        <f t="shared" si="22"/>
        <v>1690.7223343322585</v>
      </c>
      <c r="AQ15" s="28">
        <v>0.66666666666666663</v>
      </c>
      <c r="AR15" s="30">
        <f>W15*100/W$39</f>
        <v>19.107164182309425</v>
      </c>
      <c r="AS15" s="30">
        <f t="shared" si="21"/>
        <v>19.227283742460404</v>
      </c>
      <c r="AT15" s="30">
        <f t="shared" si="21"/>
        <v>31.870213689900861</v>
      </c>
      <c r="AU15" s="30">
        <f t="shared" si="21"/>
        <v>16.96978113625309</v>
      </c>
      <c r="AV15" s="30">
        <f t="shared" si="21"/>
        <v>20.031396145870961</v>
      </c>
      <c r="AW15" s="30">
        <f t="shared" si="21"/>
        <v>30.644032139415089</v>
      </c>
      <c r="AX15" s="30">
        <f t="shared" si="21"/>
        <v>20.348151201373756</v>
      </c>
      <c r="AY15" s="30">
        <f t="shared" si="21"/>
        <v>19.412637848868819</v>
      </c>
      <c r="AZ15" s="30">
        <f t="shared" si="21"/>
        <v>30.817450335710078</v>
      </c>
      <c r="BA15" s="30">
        <f t="shared" si="21"/>
        <v>18.457803502646094</v>
      </c>
      <c r="BB15" s="30">
        <f t="shared" si="19"/>
        <v>19.650998959010501</v>
      </c>
      <c r="BC15" s="30">
        <f t="shared" si="19"/>
        <v>30.401111407936835</v>
      </c>
      <c r="BD15" s="30">
        <f t="shared" si="19"/>
        <v>20.65318542241851</v>
      </c>
      <c r="BE15" s="30">
        <f t="shared" si="19"/>
        <v>19.964824404157021</v>
      </c>
      <c r="BF15" s="30">
        <f t="shared" si="19"/>
        <v>31.733253367894509</v>
      </c>
      <c r="BG15" s="30">
        <f t="shared" si="19"/>
        <v>18.351299374033808</v>
      </c>
      <c r="BH15" s="30">
        <f t="shared" si="16"/>
        <v>19.825769305955824</v>
      </c>
      <c r="BI15" s="30">
        <f t="shared" si="17"/>
        <v>30.827234774056627</v>
      </c>
      <c r="BJ15" s="30"/>
      <c r="BK15" s="36"/>
      <c r="BL15" s="36"/>
      <c r="BM15" s="36"/>
      <c r="BN15" s="37"/>
      <c r="BO15" s="37"/>
      <c r="BP15" s="37"/>
    </row>
    <row r="16" spans="1:79" ht="15" x14ac:dyDescent="0.25">
      <c r="A16" s="80" t="s">
        <v>43</v>
      </c>
      <c r="B16" s="66" t="s">
        <v>104</v>
      </c>
      <c r="C16" s="66" t="s">
        <v>115</v>
      </c>
      <c r="D16" s="66" t="s">
        <v>125</v>
      </c>
      <c r="E16" s="66" t="s">
        <v>134</v>
      </c>
      <c r="F16" s="66" t="s">
        <v>144</v>
      </c>
      <c r="G16" s="66" t="s">
        <v>155</v>
      </c>
      <c r="H16" s="66" t="s">
        <v>164</v>
      </c>
      <c r="I16" s="66" t="s">
        <v>175</v>
      </c>
      <c r="J16" s="66" t="s">
        <v>185</v>
      </c>
      <c r="K16" s="66" t="s">
        <v>195</v>
      </c>
      <c r="L16" s="66" t="s">
        <v>205</v>
      </c>
      <c r="M16" s="66" t="s">
        <v>215</v>
      </c>
      <c r="N16" s="66" t="s">
        <v>225</v>
      </c>
      <c r="O16" s="66" t="s">
        <v>235</v>
      </c>
      <c r="P16" s="66" t="s">
        <v>245</v>
      </c>
      <c r="Q16" s="66" t="s">
        <v>254</v>
      </c>
      <c r="R16" s="66" t="s">
        <v>263</v>
      </c>
      <c r="S16" s="66" t="s">
        <v>274</v>
      </c>
      <c r="T16" s="66"/>
      <c r="U16" s="67"/>
      <c r="V16" s="33"/>
      <c r="AQ16" s="84" t="s">
        <v>80</v>
      </c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6"/>
      <c r="BL16" s="36"/>
      <c r="BM16" s="36"/>
      <c r="BN16" s="37"/>
      <c r="BO16" s="37"/>
      <c r="BP16" s="37"/>
    </row>
    <row r="17" spans="1:70" ht="15" x14ac:dyDescent="0.25">
      <c r="A17" s="80" t="s">
        <v>58</v>
      </c>
      <c r="B17" s="66" t="s">
        <v>105</v>
      </c>
      <c r="C17" s="66" t="s">
        <v>116</v>
      </c>
      <c r="D17" s="66" t="s">
        <v>126</v>
      </c>
      <c r="E17" s="66" t="s">
        <v>135</v>
      </c>
      <c r="F17" s="66" t="s">
        <v>145</v>
      </c>
      <c r="G17" s="66" t="s">
        <v>156</v>
      </c>
      <c r="H17" s="66" t="s">
        <v>165</v>
      </c>
      <c r="I17" s="66" t="s">
        <v>176</v>
      </c>
      <c r="J17" s="66" t="s">
        <v>186</v>
      </c>
      <c r="K17" s="66" t="s">
        <v>196</v>
      </c>
      <c r="L17" s="66" t="s">
        <v>206</v>
      </c>
      <c r="M17" s="66" t="s">
        <v>216</v>
      </c>
      <c r="N17" s="66" t="s">
        <v>226</v>
      </c>
      <c r="O17" s="66" t="s">
        <v>236</v>
      </c>
      <c r="P17" s="66" t="s">
        <v>246</v>
      </c>
      <c r="Q17" s="66" t="s">
        <v>255</v>
      </c>
      <c r="R17" s="66" t="s">
        <v>264</v>
      </c>
      <c r="S17" s="66" t="s">
        <v>275</v>
      </c>
      <c r="T17" s="66"/>
      <c r="U17" s="67"/>
      <c r="V17" s="33" t="s">
        <v>15</v>
      </c>
      <c r="W17" s="13">
        <f t="shared" ref="W17:AN17" si="23">((B$17/B$13)*$E$3)/254.4*(1/W$4*1000)/3</f>
        <v>18.885072913331108</v>
      </c>
      <c r="X17" s="13">
        <f t="shared" si="23"/>
        <v>31.145418986896299</v>
      </c>
      <c r="Y17" s="13">
        <f t="shared" si="23"/>
        <v>48.415807390096553</v>
      </c>
      <c r="Z17" s="13">
        <f t="shared" si="23"/>
        <v>25.843926144319891</v>
      </c>
      <c r="AA17" s="13">
        <f t="shared" si="23"/>
        <v>41.616204690125222</v>
      </c>
      <c r="AB17" s="13">
        <f t="shared" si="23"/>
        <v>54.585255058866714</v>
      </c>
      <c r="AC17" s="13">
        <f t="shared" si="23"/>
        <v>17.616638143692828</v>
      </c>
      <c r="AD17" s="13">
        <f t="shared" si="23"/>
        <v>51.196591255592864</v>
      </c>
      <c r="AE17" s="13">
        <f t="shared" si="23"/>
        <v>53.66265429605275</v>
      </c>
      <c r="AF17" s="13">
        <f t="shared" si="23"/>
        <v>23.07119791084634</v>
      </c>
      <c r="AG17" s="13">
        <f t="shared" si="23"/>
        <v>25.795785683826853</v>
      </c>
      <c r="AH17" s="13">
        <f t="shared" si="23"/>
        <v>62.350514331992649</v>
      </c>
      <c r="AI17" s="13">
        <f t="shared" si="23"/>
        <v>25.458509655783477</v>
      </c>
      <c r="AJ17" s="13">
        <f t="shared" si="23"/>
        <v>36.389622225127219</v>
      </c>
      <c r="AK17" s="13">
        <f t="shared" si="23"/>
        <v>50.895435853327307</v>
      </c>
      <c r="AL17" s="13">
        <f t="shared" si="23"/>
        <v>22.242669732258694</v>
      </c>
      <c r="AM17" s="13">
        <f t="shared" si="23"/>
        <v>35.209227255031699</v>
      </c>
      <c r="AN17" s="13">
        <f t="shared" si="23"/>
        <v>52.185052821044543</v>
      </c>
      <c r="AQ17" s="28">
        <v>0.66736111111111107</v>
      </c>
      <c r="AR17" s="30">
        <f t="shared" ref="AR17:BG18" si="24">W17*100/W$39</f>
        <v>0.74929477294540547</v>
      </c>
      <c r="AS17" s="30">
        <f t="shared" si="24"/>
        <v>0.94573563223231416</v>
      </c>
      <c r="AT17" s="30">
        <f t="shared" si="24"/>
        <v>1.1753645061821028</v>
      </c>
      <c r="AU17" s="30">
        <f t="shared" si="24"/>
        <v>1.3049120131052692</v>
      </c>
      <c r="AV17" s="30">
        <f t="shared" si="24"/>
        <v>1.053837033905868</v>
      </c>
      <c r="AW17" s="30">
        <f t="shared" si="24"/>
        <v>1.2096818554795277</v>
      </c>
      <c r="AX17" s="30">
        <f t="shared" si="24"/>
        <v>0.81040944271805671</v>
      </c>
      <c r="AY17" s="30">
        <f t="shared" si="24"/>
        <v>1.0464592762988343</v>
      </c>
      <c r="AZ17" s="30">
        <f t="shared" si="24"/>
        <v>1.2340692571978784</v>
      </c>
      <c r="BA17" s="30">
        <f t="shared" si="24"/>
        <v>1.0061243118564276</v>
      </c>
      <c r="BB17" s="30">
        <f t="shared" si="24"/>
        <v>0.5080804673990752</v>
      </c>
      <c r="BC17" s="30">
        <f t="shared" si="24"/>
        <v>1.1658720647545138</v>
      </c>
      <c r="BD17" s="30">
        <f t="shared" si="24"/>
        <v>0.95008830792369137</v>
      </c>
      <c r="BE17" s="30">
        <f t="shared" si="24"/>
        <v>0.69653665071223736</v>
      </c>
      <c r="BF17" s="30">
        <f t="shared" si="24"/>
        <v>1.0576744041859969</v>
      </c>
      <c r="BG17" s="30">
        <f t="shared" si="24"/>
        <v>0.88355592619145185</v>
      </c>
      <c r="BH17" s="30">
        <f t="shared" ref="BH17:BH18" si="25">AM17*100/AM$39</f>
        <v>0.62150447428625299</v>
      </c>
      <c r="BI17" s="30">
        <f t="shared" ref="BI17:BI18" si="26">AN17*100/AN$39</f>
        <v>0.95149915651066508</v>
      </c>
      <c r="BJ17" s="30"/>
      <c r="BK17" s="36"/>
      <c r="BL17" s="36"/>
      <c r="BM17" s="36"/>
      <c r="BN17" s="37"/>
      <c r="BO17" s="37"/>
      <c r="BP17" s="37"/>
    </row>
    <row r="18" spans="1:70" ht="15" x14ac:dyDescent="0.25">
      <c r="A18" s="80" t="s">
        <v>44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5"/>
      <c r="V18" s="28">
        <v>0.70833333333333337</v>
      </c>
      <c r="W18" s="13">
        <f t="shared" ref="W18:AN18" si="27">((B$18/B$13)*$E$3)/270.4*(1/W$4*1000)/3</f>
        <v>0</v>
      </c>
      <c r="X18" s="13">
        <f t="shared" si="27"/>
        <v>0</v>
      </c>
      <c r="Y18" s="13">
        <f t="shared" si="27"/>
        <v>0</v>
      </c>
      <c r="Z18" s="13">
        <f t="shared" si="27"/>
        <v>0</v>
      </c>
      <c r="AA18" s="13">
        <f t="shared" si="27"/>
        <v>0</v>
      </c>
      <c r="AB18" s="13">
        <f t="shared" si="27"/>
        <v>0</v>
      </c>
      <c r="AC18" s="13">
        <f t="shared" si="27"/>
        <v>0</v>
      </c>
      <c r="AD18" s="13">
        <f t="shared" si="27"/>
        <v>0</v>
      </c>
      <c r="AE18" s="13">
        <f t="shared" si="27"/>
        <v>0</v>
      </c>
      <c r="AF18" s="13">
        <f t="shared" si="27"/>
        <v>0</v>
      </c>
      <c r="AG18" s="13">
        <f t="shared" si="27"/>
        <v>0</v>
      </c>
      <c r="AH18" s="13">
        <f t="shared" si="27"/>
        <v>0</v>
      </c>
      <c r="AI18" s="13">
        <f t="shared" si="27"/>
        <v>0</v>
      </c>
      <c r="AJ18" s="13">
        <f t="shared" si="27"/>
        <v>0</v>
      </c>
      <c r="AK18" s="13">
        <f t="shared" si="27"/>
        <v>0</v>
      </c>
      <c r="AL18" s="13">
        <f t="shared" si="27"/>
        <v>0</v>
      </c>
      <c r="AM18" s="13">
        <f t="shared" si="27"/>
        <v>0</v>
      </c>
      <c r="AN18" s="13">
        <f t="shared" si="27"/>
        <v>0</v>
      </c>
      <c r="AQ18" s="28">
        <v>0.70833333333333337</v>
      </c>
      <c r="AR18" s="30">
        <f t="shared" si="24"/>
        <v>0</v>
      </c>
      <c r="AS18" s="30">
        <f t="shared" si="24"/>
        <v>0</v>
      </c>
      <c r="AT18" s="30">
        <f t="shared" si="24"/>
        <v>0</v>
      </c>
      <c r="AU18" s="30">
        <f t="shared" si="24"/>
        <v>0</v>
      </c>
      <c r="AV18" s="30">
        <f t="shared" si="24"/>
        <v>0</v>
      </c>
      <c r="AW18" s="30">
        <f t="shared" si="24"/>
        <v>0</v>
      </c>
      <c r="AX18" s="30">
        <f t="shared" si="24"/>
        <v>0</v>
      </c>
      <c r="AY18" s="30">
        <f t="shared" si="24"/>
        <v>0</v>
      </c>
      <c r="AZ18" s="30">
        <f t="shared" si="24"/>
        <v>0</v>
      </c>
      <c r="BA18" s="30">
        <f t="shared" si="24"/>
        <v>0</v>
      </c>
      <c r="BB18" s="30">
        <f t="shared" si="24"/>
        <v>0</v>
      </c>
      <c r="BC18" s="30">
        <f t="shared" si="24"/>
        <v>0</v>
      </c>
      <c r="BD18" s="30">
        <f t="shared" si="24"/>
        <v>0</v>
      </c>
      <c r="BE18" s="30">
        <f t="shared" si="24"/>
        <v>0</v>
      </c>
      <c r="BF18" s="30">
        <f t="shared" si="24"/>
        <v>0</v>
      </c>
      <c r="BG18" s="30">
        <f t="shared" si="24"/>
        <v>0</v>
      </c>
      <c r="BH18" s="30">
        <f t="shared" si="25"/>
        <v>0</v>
      </c>
      <c r="BI18" s="30">
        <f t="shared" si="26"/>
        <v>0</v>
      </c>
      <c r="BJ18" s="30"/>
    </row>
    <row r="19" spans="1:70" ht="15" x14ac:dyDescent="0.25">
      <c r="A19" s="80" t="s">
        <v>59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7"/>
      <c r="AQ19" s="28">
        <v>0.7090277777777777</v>
      </c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7"/>
      <c r="BL19" s="37"/>
      <c r="BM19" s="37"/>
      <c r="BN19" s="37"/>
      <c r="BO19" s="37"/>
      <c r="BP19" s="37"/>
    </row>
    <row r="20" spans="1:70" s="37" customFormat="1" ht="15" x14ac:dyDescent="0.25">
      <c r="A20" s="81" t="s">
        <v>51</v>
      </c>
      <c r="B20" s="66" t="s">
        <v>106</v>
      </c>
      <c r="C20" s="66" t="s">
        <v>117</v>
      </c>
      <c r="D20" s="66" t="s">
        <v>127</v>
      </c>
      <c r="E20" s="66" t="s">
        <v>136</v>
      </c>
      <c r="F20" s="66" t="s">
        <v>146</v>
      </c>
      <c r="G20" s="66" t="s">
        <v>157</v>
      </c>
      <c r="H20" s="66" t="s">
        <v>166</v>
      </c>
      <c r="I20" s="66" t="s">
        <v>177</v>
      </c>
      <c r="J20" s="66" t="s">
        <v>187</v>
      </c>
      <c r="K20" s="66" t="s">
        <v>197</v>
      </c>
      <c r="L20" s="66" t="s">
        <v>207</v>
      </c>
      <c r="M20" s="66" t="s">
        <v>217</v>
      </c>
      <c r="N20" s="66" t="s">
        <v>227</v>
      </c>
      <c r="O20" s="66" t="s">
        <v>237</v>
      </c>
      <c r="P20" s="66"/>
      <c r="Q20" s="66" t="s">
        <v>256</v>
      </c>
      <c r="R20" s="66" t="s">
        <v>265</v>
      </c>
      <c r="S20" s="66" t="s">
        <v>276</v>
      </c>
      <c r="T20" s="66"/>
      <c r="U20" s="67"/>
      <c r="V20" s="39" t="s">
        <v>16</v>
      </c>
      <c r="W20" s="37">
        <f t="shared" ref="W20:AN20" si="28">((B$20/B$13)*$E$3)/284.4*(1/W$4*1000)/3</f>
        <v>20.829873406814862</v>
      </c>
      <c r="X20" s="37">
        <f t="shared" si="28"/>
        <v>34.585028573195203</v>
      </c>
      <c r="Y20" s="37">
        <f t="shared" si="28"/>
        <v>41.689360853493021</v>
      </c>
      <c r="Z20" s="37">
        <f t="shared" si="28"/>
        <v>25.252877325232522</v>
      </c>
      <c r="AA20" s="37">
        <f t="shared" si="28"/>
        <v>26.99239177538767</v>
      </c>
      <c r="AB20" s="37">
        <f t="shared" si="28"/>
        <v>66.554067865876092</v>
      </c>
      <c r="AC20" s="37">
        <f t="shared" si="28"/>
        <v>43.752557501742693</v>
      </c>
      <c r="AD20" s="37">
        <f t="shared" si="28"/>
        <v>58.211968548176337</v>
      </c>
      <c r="AE20" s="37">
        <f t="shared" si="28"/>
        <v>56.935047050622416</v>
      </c>
      <c r="AF20" s="37">
        <f t="shared" si="28"/>
        <v>38.911352805513566</v>
      </c>
      <c r="AG20" s="37">
        <f t="shared" si="28"/>
        <v>60.263615435278446</v>
      </c>
      <c r="AH20" s="37">
        <f t="shared" si="28"/>
        <v>83.042498210394427</v>
      </c>
      <c r="AI20" s="37">
        <f t="shared" si="28"/>
        <v>45.016354930645406</v>
      </c>
      <c r="AJ20" s="37">
        <f t="shared" si="28"/>
        <v>37.326540996469603</v>
      </c>
      <c r="AK20" s="37">
        <f t="shared" si="28"/>
        <v>0</v>
      </c>
      <c r="AL20" s="37">
        <f t="shared" si="28"/>
        <v>49.205475550284511</v>
      </c>
      <c r="AM20" s="37">
        <f t="shared" si="28"/>
        <v>15.195955519542041</v>
      </c>
      <c r="AN20" s="37">
        <f t="shared" si="28"/>
        <v>65.151334921419263</v>
      </c>
      <c r="AQ20" s="56">
        <v>0.75</v>
      </c>
      <c r="AR20" s="30">
        <f t="shared" ref="AR20:AR35" si="29">W20*100/W$39</f>
        <v>0.82645777098500284</v>
      </c>
      <c r="AS20" s="30">
        <f t="shared" ref="AS20:AS35" si="30">X20*100/X$39</f>
        <v>1.0501799278155373</v>
      </c>
      <c r="AT20" s="30">
        <f t="shared" ref="AT20:AT35" si="31">Y20*100/Y$39</f>
        <v>1.0120701827361509</v>
      </c>
      <c r="AU20" s="30">
        <f t="shared" ref="AU20:AU35" si="32">Z20*100/Z$39</f>
        <v>1.2750687648289889</v>
      </c>
      <c r="AV20" s="30">
        <f t="shared" ref="AV20:AV35" si="33">AA20*100/AA$39</f>
        <v>0.68352177471265929</v>
      </c>
      <c r="AW20" s="30">
        <f t="shared" ref="AW20:AW35" si="34">AB20*100/AB$39</f>
        <v>1.4749266668971193</v>
      </c>
      <c r="AX20" s="30">
        <f t="shared" ref="AX20:AX35" si="35">AC20*100/AC$39</f>
        <v>2.0127271419928463</v>
      </c>
      <c r="AY20" s="30">
        <f t="shared" ref="AY20:AY35" si="36">AD20*100/AD$39</f>
        <v>1.1898537184777984</v>
      </c>
      <c r="AZ20" s="30">
        <f t="shared" ref="AZ20:AZ35" si="37">AE20*100/AE$39</f>
        <v>1.3093238145593571</v>
      </c>
      <c r="BA20" s="30">
        <f t="shared" ref="BA20:BA35" si="38">AF20*100/AF$39</f>
        <v>1.6969061691610208</v>
      </c>
      <c r="BB20" s="30">
        <f t="shared" ref="BB20:BB35" si="39">AG20*100/AG$39</f>
        <v>1.1869677579431668</v>
      </c>
      <c r="BC20" s="30">
        <f t="shared" ref="BC20:BC35" si="40">AH20*100/AH$39</f>
        <v>1.5527847667047692</v>
      </c>
      <c r="BD20" s="30">
        <f t="shared" ref="BD20:BD35" si="41">AI20*100/AI$39</f>
        <v>1.6799692151356214</v>
      </c>
      <c r="BE20" s="30">
        <f t="shared" ref="BE20:BE35" si="42">AJ20*100/AJ$39</f>
        <v>0.71447028736674556</v>
      </c>
      <c r="BF20" s="30">
        <f t="shared" ref="BF20:BF35" si="43">AK20*100/AK$39</f>
        <v>0</v>
      </c>
      <c r="BG20" s="30">
        <f t="shared" ref="BG20:BG35" si="44">AL20*100/AL$39</f>
        <v>1.9546120158619824</v>
      </c>
      <c r="BH20" s="30">
        <f t="shared" ref="BH20:BH35" si="45">AM20*100/AM$39</f>
        <v>0.26823520658496081</v>
      </c>
      <c r="BI20" s="30">
        <f t="shared" ref="BI20:BI35" si="46">AN20*100/AN$39</f>
        <v>1.1879156362236185</v>
      </c>
      <c r="BJ20" s="30"/>
      <c r="BQ20" s="13"/>
      <c r="BR20" s="13"/>
    </row>
    <row r="21" spans="1:70" ht="15" x14ac:dyDescent="0.25">
      <c r="A21" s="80" t="s">
        <v>60</v>
      </c>
      <c r="B21" s="66" t="s">
        <v>107</v>
      </c>
      <c r="C21" s="66" t="s">
        <v>118</v>
      </c>
      <c r="D21" s="66" t="s">
        <v>128</v>
      </c>
      <c r="E21" s="66" t="s">
        <v>137</v>
      </c>
      <c r="F21" s="66" t="s">
        <v>147</v>
      </c>
      <c r="G21" s="66" t="s">
        <v>158</v>
      </c>
      <c r="H21" s="66" t="s">
        <v>167</v>
      </c>
      <c r="I21" s="66" t="s">
        <v>178</v>
      </c>
      <c r="J21" s="66" t="s">
        <v>188</v>
      </c>
      <c r="K21" s="66" t="s">
        <v>198</v>
      </c>
      <c r="L21" s="66" t="s">
        <v>208</v>
      </c>
      <c r="M21" s="66" t="s">
        <v>218</v>
      </c>
      <c r="N21" s="66" t="s">
        <v>228</v>
      </c>
      <c r="O21" s="66" t="s">
        <v>238</v>
      </c>
      <c r="P21" s="66" t="s">
        <v>247</v>
      </c>
      <c r="Q21" s="66" t="s">
        <v>257</v>
      </c>
      <c r="R21" s="66" t="s">
        <v>266</v>
      </c>
      <c r="S21" s="66" t="s">
        <v>277</v>
      </c>
      <c r="T21" s="66"/>
      <c r="U21" s="67"/>
      <c r="V21" s="33" t="s">
        <v>17</v>
      </c>
      <c r="W21" s="13">
        <f t="shared" ref="W21:AN21" si="47">((B$21/B$13)*$E$3)/282.4*(1/W$4*1000)/3</f>
        <v>1701.9696098657976</v>
      </c>
      <c r="X21" s="13">
        <f t="shared" si="47"/>
        <v>2203.4795954269421</v>
      </c>
      <c r="Y21" s="13">
        <f t="shared" si="47"/>
        <v>2495.2894548773415</v>
      </c>
      <c r="Z21" s="13">
        <f t="shared" si="47"/>
        <v>1407.1331824647302</v>
      </c>
      <c r="AA21" s="13">
        <f t="shared" si="47"/>
        <v>2598.981006773246</v>
      </c>
      <c r="AB21" s="13">
        <f t="shared" si="47"/>
        <v>2751.9486507190427</v>
      </c>
      <c r="AC21" s="13">
        <f t="shared" si="47"/>
        <v>1418.1530132555802</v>
      </c>
      <c r="AD21" s="13">
        <f t="shared" si="47"/>
        <v>3269.5200394792005</v>
      </c>
      <c r="AE21" s="13">
        <f t="shared" si="47"/>
        <v>2652.2154198438207</v>
      </c>
      <c r="AF21" s="13">
        <f t="shared" si="47"/>
        <v>1579.237801052841</v>
      </c>
      <c r="AG21" s="13">
        <f t="shared" si="47"/>
        <v>3375.5639716109031</v>
      </c>
      <c r="AH21" s="13">
        <f t="shared" si="47"/>
        <v>3315.1169550641648</v>
      </c>
      <c r="AI21" s="13">
        <f t="shared" si="47"/>
        <v>1810.2829111935446</v>
      </c>
      <c r="AJ21" s="13">
        <f t="shared" si="47"/>
        <v>3508.8709645514805</v>
      </c>
      <c r="AK21" s="13">
        <f t="shared" si="47"/>
        <v>2967.7336714837843</v>
      </c>
      <c r="AL21" s="13">
        <f t="shared" si="47"/>
        <v>1732.5278284061808</v>
      </c>
      <c r="AM21" s="13">
        <f t="shared" si="47"/>
        <v>3814.3199609577946</v>
      </c>
      <c r="AN21" s="13">
        <f t="shared" si="47"/>
        <v>3385.3605338455382</v>
      </c>
      <c r="AQ21" s="28">
        <v>0.75069444444444444</v>
      </c>
      <c r="AR21" s="30">
        <f t="shared" si="29"/>
        <v>67.528303345026856</v>
      </c>
      <c r="AS21" s="30">
        <f t="shared" si="30"/>
        <v>66.90901057291471</v>
      </c>
      <c r="AT21" s="30">
        <f t="shared" si="31"/>
        <v>60.576799520919153</v>
      </c>
      <c r="AU21" s="30">
        <f t="shared" si="32"/>
        <v>71.048995558317728</v>
      </c>
      <c r="AV21" s="30">
        <f t="shared" si="33"/>
        <v>65.813364187087842</v>
      </c>
      <c r="AW21" s="30">
        <f t="shared" si="34"/>
        <v>60.986842443002217</v>
      </c>
      <c r="AX21" s="30">
        <f t="shared" si="35"/>
        <v>65.238587736608451</v>
      </c>
      <c r="AY21" s="30">
        <f t="shared" si="36"/>
        <v>66.829050341982963</v>
      </c>
      <c r="AZ21" s="30">
        <f t="shared" si="37"/>
        <v>60.992464052158809</v>
      </c>
      <c r="BA21" s="30">
        <f t="shared" si="38"/>
        <v>68.869832939838886</v>
      </c>
      <c r="BB21" s="30">
        <f t="shared" si="39"/>
        <v>66.48598113864908</v>
      </c>
      <c r="BC21" s="30">
        <f t="shared" si="40"/>
        <v>61.988297782496161</v>
      </c>
      <c r="BD21" s="30">
        <f t="shared" si="41"/>
        <v>67.558103408788028</v>
      </c>
      <c r="BE21" s="30">
        <f t="shared" si="42"/>
        <v>67.163577964886713</v>
      </c>
      <c r="BF21" s="30">
        <f t="shared" si="43"/>
        <v>61.673426902466076</v>
      </c>
      <c r="BG21" s="30">
        <f t="shared" si="44"/>
        <v>68.822009610643974</v>
      </c>
      <c r="BH21" s="30">
        <f t="shared" si="45"/>
        <v>67.329422055289598</v>
      </c>
      <c r="BI21" s="30">
        <f t="shared" si="46"/>
        <v>61.725868199936578</v>
      </c>
      <c r="BJ21" s="30"/>
      <c r="BK21" s="37"/>
      <c r="BL21" s="37"/>
      <c r="BM21" s="37"/>
      <c r="BN21" s="37"/>
      <c r="BO21" s="37"/>
      <c r="BP21" s="37"/>
    </row>
    <row r="22" spans="1:70" ht="15" x14ac:dyDescent="0.25">
      <c r="A22" s="80" t="s">
        <v>71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7"/>
      <c r="V22" s="33" t="s">
        <v>34</v>
      </c>
      <c r="W22" s="13">
        <f t="shared" ref="W22:AN22" si="48">((B$22/B$13)*$E$3)/282.4*(1/W$4*1000)/3</f>
        <v>0</v>
      </c>
      <c r="X22" s="13">
        <f t="shared" si="48"/>
        <v>0</v>
      </c>
      <c r="Y22" s="13">
        <f t="shared" si="48"/>
        <v>0</v>
      </c>
      <c r="Z22" s="13">
        <f t="shared" si="48"/>
        <v>0</v>
      </c>
      <c r="AA22" s="13">
        <f t="shared" si="48"/>
        <v>0</v>
      </c>
      <c r="AB22" s="13">
        <f t="shared" si="48"/>
        <v>0</v>
      </c>
      <c r="AC22" s="13">
        <f t="shared" si="48"/>
        <v>0</v>
      </c>
      <c r="AD22" s="13">
        <f t="shared" si="48"/>
        <v>0</v>
      </c>
      <c r="AE22" s="13">
        <f t="shared" si="48"/>
        <v>0</v>
      </c>
      <c r="AF22" s="13">
        <f t="shared" si="48"/>
        <v>0</v>
      </c>
      <c r="AG22" s="13">
        <f t="shared" si="48"/>
        <v>0</v>
      </c>
      <c r="AH22" s="13">
        <f t="shared" si="48"/>
        <v>0</v>
      </c>
      <c r="AI22" s="13">
        <f t="shared" si="48"/>
        <v>0</v>
      </c>
      <c r="AJ22" s="13">
        <f t="shared" si="48"/>
        <v>0</v>
      </c>
      <c r="AK22" s="13">
        <f t="shared" si="48"/>
        <v>0</v>
      </c>
      <c r="AL22" s="13">
        <f t="shared" si="48"/>
        <v>0</v>
      </c>
      <c r="AM22" s="13">
        <f t="shared" si="48"/>
        <v>0</v>
      </c>
      <c r="AN22" s="13">
        <f t="shared" si="48"/>
        <v>0</v>
      </c>
      <c r="AQ22" s="57" t="s">
        <v>34</v>
      </c>
      <c r="AR22" s="30">
        <f t="shared" si="29"/>
        <v>0</v>
      </c>
      <c r="AS22" s="30">
        <f t="shared" si="30"/>
        <v>0</v>
      </c>
      <c r="AT22" s="30">
        <f t="shared" si="31"/>
        <v>0</v>
      </c>
      <c r="AU22" s="30">
        <f t="shared" si="32"/>
        <v>0</v>
      </c>
      <c r="AV22" s="30">
        <f t="shared" si="33"/>
        <v>0</v>
      </c>
      <c r="AW22" s="30">
        <f t="shared" si="34"/>
        <v>0</v>
      </c>
      <c r="AX22" s="30">
        <f t="shared" si="35"/>
        <v>0</v>
      </c>
      <c r="AY22" s="30">
        <f t="shared" si="36"/>
        <v>0</v>
      </c>
      <c r="AZ22" s="30">
        <f t="shared" si="37"/>
        <v>0</v>
      </c>
      <c r="BA22" s="30">
        <f t="shared" si="38"/>
        <v>0</v>
      </c>
      <c r="BB22" s="30">
        <f t="shared" si="39"/>
        <v>0</v>
      </c>
      <c r="BC22" s="30">
        <f t="shared" si="40"/>
        <v>0</v>
      </c>
      <c r="BD22" s="30">
        <f t="shared" si="41"/>
        <v>0</v>
      </c>
      <c r="BE22" s="30">
        <f t="shared" si="42"/>
        <v>0</v>
      </c>
      <c r="BF22" s="30">
        <f t="shared" si="43"/>
        <v>0</v>
      </c>
      <c r="BG22" s="30">
        <f t="shared" si="44"/>
        <v>0</v>
      </c>
      <c r="BH22" s="30">
        <f t="shared" si="45"/>
        <v>0</v>
      </c>
      <c r="BI22" s="30">
        <f t="shared" si="46"/>
        <v>0</v>
      </c>
      <c r="BJ22" s="30"/>
      <c r="BK22" s="36"/>
      <c r="BL22" s="36"/>
      <c r="BM22" s="36"/>
      <c r="BN22" s="37"/>
      <c r="BO22" s="37"/>
      <c r="BP22" s="37"/>
    </row>
    <row r="23" spans="1:70" ht="15" x14ac:dyDescent="0.25">
      <c r="A23" s="80" t="s">
        <v>61</v>
      </c>
      <c r="B23" s="66" t="s">
        <v>108</v>
      </c>
      <c r="C23" s="66" t="s">
        <v>119</v>
      </c>
      <c r="D23" s="66" t="s">
        <v>129</v>
      </c>
      <c r="E23" s="66" t="s">
        <v>138</v>
      </c>
      <c r="F23" s="66" t="s">
        <v>148</v>
      </c>
      <c r="G23" s="66" t="s">
        <v>159</v>
      </c>
      <c r="H23" s="66" t="s">
        <v>168</v>
      </c>
      <c r="I23" s="66" t="s">
        <v>179</v>
      </c>
      <c r="J23" s="66" t="s">
        <v>189</v>
      </c>
      <c r="K23" s="66" t="s">
        <v>199</v>
      </c>
      <c r="L23" s="66" t="s">
        <v>209</v>
      </c>
      <c r="M23" s="66" t="s">
        <v>219</v>
      </c>
      <c r="N23" s="66" t="s">
        <v>229</v>
      </c>
      <c r="O23" s="66" t="s">
        <v>239</v>
      </c>
      <c r="P23" s="66" t="s">
        <v>248</v>
      </c>
      <c r="Q23" s="66" t="s">
        <v>258</v>
      </c>
      <c r="R23" s="66" t="s">
        <v>267</v>
      </c>
      <c r="S23" s="66" t="s">
        <v>278</v>
      </c>
      <c r="T23" s="66"/>
      <c r="U23" s="67"/>
      <c r="V23" s="33" t="s">
        <v>18</v>
      </c>
      <c r="W23" s="13">
        <f t="shared" ref="W23:AN23" si="49">((B$23/B$13)*$E$3)/280.4*(1/W$4*1000)/3</f>
        <v>263.46791926703031</v>
      </c>
      <c r="X23" s="13">
        <f t="shared" si="49"/>
        <v>343.00112583230208</v>
      </c>
      <c r="Y23" s="13">
        <f t="shared" si="49"/>
        <v>193.86073744660067</v>
      </c>
      <c r="Z23" s="13">
        <f t="shared" si="49"/>
        <v>186.19264372257541</v>
      </c>
      <c r="AA23" s="13">
        <f t="shared" si="49"/>
        <v>438.99797200461848</v>
      </c>
      <c r="AB23" s="13">
        <f t="shared" si="49"/>
        <v>221.1197986245019</v>
      </c>
      <c r="AC23" s="13">
        <f t="shared" si="49"/>
        <v>180.50883148768148</v>
      </c>
      <c r="AD23" s="13">
        <f t="shared" si="49"/>
        <v>541.90394182393595</v>
      </c>
      <c r="AE23" s="13">
        <f t="shared" si="49"/>
        <v>217.76127176608429</v>
      </c>
      <c r="AF23" s="13">
        <f t="shared" si="49"/>
        <v>214.58545018013399</v>
      </c>
      <c r="AG23" s="13">
        <f t="shared" si="49"/>
        <v>560.02641472587425</v>
      </c>
      <c r="AH23" s="13">
        <f t="shared" si="49"/>
        <v>261.6192709595386</v>
      </c>
      <c r="AI23" s="13">
        <f t="shared" si="49"/>
        <v>231.64424354807352</v>
      </c>
      <c r="AJ23" s="13">
        <f t="shared" si="49"/>
        <v>580.9292099715226</v>
      </c>
      <c r="AK23" s="13">
        <f t="shared" si="49"/>
        <v>237.6406250516566</v>
      </c>
      <c r="AL23" s="13">
        <f t="shared" si="49"/>
        <v>244.56822097972224</v>
      </c>
      <c r="AM23" s="13">
        <f t="shared" si="49"/>
        <v>610.78881303969297</v>
      </c>
      <c r="AN23" s="13">
        <f t="shared" si="49"/>
        <v>258.30663893067043</v>
      </c>
      <c r="AQ23" s="28">
        <v>0.75138888888888899</v>
      </c>
      <c r="AR23" s="30">
        <f t="shared" si="29"/>
        <v>10.453501326236932</v>
      </c>
      <c r="AS23" s="30">
        <f t="shared" si="30"/>
        <v>10.41528408180627</v>
      </c>
      <c r="AT23" s="30">
        <f t="shared" si="31"/>
        <v>4.7062528174141356</v>
      </c>
      <c r="AU23" s="30">
        <f t="shared" si="32"/>
        <v>9.4012425274949223</v>
      </c>
      <c r="AV23" s="30">
        <f t="shared" si="33"/>
        <v>11.116638918729</v>
      </c>
      <c r="AW23" s="30">
        <f t="shared" si="34"/>
        <v>4.9003088470481977</v>
      </c>
      <c r="AX23" s="30">
        <f t="shared" si="35"/>
        <v>8.3038579971056183</v>
      </c>
      <c r="AY23" s="30">
        <f t="shared" si="36"/>
        <v>11.076526637359125</v>
      </c>
      <c r="AZ23" s="30">
        <f t="shared" si="37"/>
        <v>5.007812125957475</v>
      </c>
      <c r="BA23" s="30">
        <f t="shared" si="38"/>
        <v>9.3579726215858638</v>
      </c>
      <c r="BB23" s="30">
        <f t="shared" si="39"/>
        <v>11.030425125920752</v>
      </c>
      <c r="BC23" s="30">
        <f t="shared" si="40"/>
        <v>4.8919339781077307</v>
      </c>
      <c r="BD23" s="30">
        <f t="shared" si="41"/>
        <v>8.6447514158730758</v>
      </c>
      <c r="BE23" s="30">
        <f t="shared" si="42"/>
        <v>11.119612171600547</v>
      </c>
      <c r="BF23" s="30">
        <f t="shared" si="43"/>
        <v>4.9384861785296392</v>
      </c>
      <c r="BG23" s="30">
        <f t="shared" si="44"/>
        <v>9.7150973154691851</v>
      </c>
      <c r="BH23" s="30">
        <f t="shared" si="45"/>
        <v>10.78149138004469</v>
      </c>
      <c r="BI23" s="30">
        <f t="shared" si="46"/>
        <v>4.7097499336921871</v>
      </c>
      <c r="BJ23" s="30"/>
      <c r="BK23" s="48"/>
      <c r="BL23" s="48"/>
      <c r="BM23" s="48"/>
      <c r="BN23" s="37"/>
      <c r="BO23" s="37"/>
      <c r="BP23" s="37"/>
    </row>
    <row r="24" spans="1:70" ht="15" x14ac:dyDescent="0.25">
      <c r="A24" s="80" t="s">
        <v>72</v>
      </c>
      <c r="B24" s="66" t="s">
        <v>109</v>
      </c>
      <c r="C24" s="66" t="s">
        <v>120</v>
      </c>
      <c r="D24" s="66"/>
      <c r="E24" s="66"/>
      <c r="F24" s="66" t="s">
        <v>149</v>
      </c>
      <c r="G24" s="66"/>
      <c r="H24" s="66"/>
      <c r="I24" s="66"/>
      <c r="J24" s="66"/>
      <c r="K24" s="66"/>
      <c r="L24" s="66" t="s">
        <v>210</v>
      </c>
      <c r="M24" s="66"/>
      <c r="N24" s="66"/>
      <c r="O24" s="66"/>
      <c r="P24" s="66"/>
      <c r="Q24" s="66"/>
      <c r="R24" s="66" t="s">
        <v>268</v>
      </c>
      <c r="S24" s="66"/>
      <c r="T24" s="66"/>
      <c r="U24" s="67"/>
      <c r="V24" s="33" t="s">
        <v>20</v>
      </c>
      <c r="W24" s="13">
        <f t="shared" ref="W24:AN24" si="50">((B$24/B$13)*$E$3)/278.4*(1/W$4*1000)/3</f>
        <v>23.087783688254078</v>
      </c>
      <c r="X24" s="13">
        <f t="shared" si="50"/>
        <v>30.073318266136244</v>
      </c>
      <c r="Y24" s="13">
        <f t="shared" si="50"/>
        <v>0</v>
      </c>
      <c r="Z24" s="13">
        <f t="shared" si="50"/>
        <v>0</v>
      </c>
      <c r="AA24" s="13">
        <f t="shared" si="50"/>
        <v>34.156097004319832</v>
      </c>
      <c r="AB24" s="13">
        <f t="shared" si="50"/>
        <v>0</v>
      </c>
      <c r="AC24" s="13">
        <f t="shared" si="50"/>
        <v>0</v>
      </c>
      <c r="AD24" s="13">
        <f t="shared" si="50"/>
        <v>0</v>
      </c>
      <c r="AE24" s="13">
        <f t="shared" si="50"/>
        <v>0</v>
      </c>
      <c r="AF24" s="13">
        <f t="shared" si="50"/>
        <v>0</v>
      </c>
      <c r="AG24" s="13">
        <f t="shared" si="50"/>
        <v>42.332445311511009</v>
      </c>
      <c r="AH24" s="13">
        <f t="shared" si="50"/>
        <v>0</v>
      </c>
      <c r="AI24" s="13">
        <f t="shared" si="50"/>
        <v>0</v>
      </c>
      <c r="AJ24" s="13">
        <f t="shared" si="50"/>
        <v>0</v>
      </c>
      <c r="AK24" s="13">
        <f t="shared" si="50"/>
        <v>0</v>
      </c>
      <c r="AL24" s="13">
        <f t="shared" si="50"/>
        <v>0</v>
      </c>
      <c r="AM24" s="13">
        <f t="shared" si="50"/>
        <v>66.485055778536676</v>
      </c>
      <c r="AN24" s="13">
        <f t="shared" si="50"/>
        <v>0</v>
      </c>
      <c r="AQ24" s="32" t="s">
        <v>19</v>
      </c>
      <c r="AR24" s="30">
        <f t="shared" si="29"/>
        <v>0.91604388904906442</v>
      </c>
      <c r="AS24" s="30">
        <f t="shared" si="30"/>
        <v>0.91318112226115877</v>
      </c>
      <c r="AT24" s="30">
        <f t="shared" si="31"/>
        <v>0</v>
      </c>
      <c r="AU24" s="30">
        <f t="shared" si="32"/>
        <v>0</v>
      </c>
      <c r="AV24" s="30">
        <f t="shared" si="33"/>
        <v>0.86492654063128616</v>
      </c>
      <c r="AW24" s="30">
        <f t="shared" si="34"/>
        <v>0</v>
      </c>
      <c r="AX24" s="30">
        <f t="shared" si="35"/>
        <v>0</v>
      </c>
      <c r="AY24" s="30">
        <f t="shared" si="36"/>
        <v>0</v>
      </c>
      <c r="AZ24" s="30">
        <f t="shared" si="37"/>
        <v>0</v>
      </c>
      <c r="BA24" s="30">
        <f t="shared" si="38"/>
        <v>0</v>
      </c>
      <c r="BB24" s="30">
        <f t="shared" si="39"/>
        <v>0.83379079294736602</v>
      </c>
      <c r="BC24" s="30">
        <f t="shared" si="40"/>
        <v>0</v>
      </c>
      <c r="BD24" s="30">
        <f t="shared" si="41"/>
        <v>0</v>
      </c>
      <c r="BE24" s="30">
        <f t="shared" si="42"/>
        <v>0</v>
      </c>
      <c r="BF24" s="30">
        <f t="shared" si="43"/>
        <v>0</v>
      </c>
      <c r="BG24" s="30">
        <f t="shared" si="44"/>
        <v>0</v>
      </c>
      <c r="BH24" s="30">
        <f t="shared" si="45"/>
        <v>1.1735775778386772</v>
      </c>
      <c r="BI24" s="30">
        <f t="shared" si="46"/>
        <v>0</v>
      </c>
      <c r="BJ24" s="30"/>
      <c r="BK24" s="48"/>
      <c r="BL24" s="48"/>
      <c r="BM24" s="48"/>
      <c r="BN24" s="37"/>
      <c r="BO24" s="37"/>
      <c r="BP24" s="37"/>
    </row>
    <row r="25" spans="1:70" ht="15" x14ac:dyDescent="0.25">
      <c r="A25" s="80" t="s">
        <v>73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7"/>
      <c r="V25" s="33" t="s">
        <v>20</v>
      </c>
      <c r="W25" s="13">
        <f t="shared" ref="W25:AN25" si="51">((B$25/B$13)*$E$3)/278.4*(1/W$4*1000)/3</f>
        <v>0</v>
      </c>
      <c r="X25" s="13">
        <f t="shared" si="51"/>
        <v>0</v>
      </c>
      <c r="Y25" s="13">
        <f t="shared" si="51"/>
        <v>0</v>
      </c>
      <c r="Z25" s="13">
        <f t="shared" si="51"/>
        <v>0</v>
      </c>
      <c r="AA25" s="13">
        <f t="shared" si="51"/>
        <v>0</v>
      </c>
      <c r="AB25" s="13">
        <f t="shared" si="51"/>
        <v>0</v>
      </c>
      <c r="AC25" s="13">
        <f t="shared" si="51"/>
        <v>0</v>
      </c>
      <c r="AD25" s="13">
        <f t="shared" si="51"/>
        <v>0</v>
      </c>
      <c r="AE25" s="13">
        <f t="shared" si="51"/>
        <v>0</v>
      </c>
      <c r="AF25" s="13">
        <f t="shared" si="51"/>
        <v>0</v>
      </c>
      <c r="AG25" s="13">
        <f t="shared" si="51"/>
        <v>0</v>
      </c>
      <c r="AH25" s="13">
        <f t="shared" si="51"/>
        <v>0</v>
      </c>
      <c r="AI25" s="13">
        <f t="shared" si="51"/>
        <v>0</v>
      </c>
      <c r="AJ25" s="13">
        <f t="shared" si="51"/>
        <v>0</v>
      </c>
      <c r="AK25" s="13">
        <f t="shared" si="51"/>
        <v>0</v>
      </c>
      <c r="AL25" s="13">
        <f t="shared" si="51"/>
        <v>0</v>
      </c>
      <c r="AM25" s="13">
        <f t="shared" si="51"/>
        <v>0</v>
      </c>
      <c r="AN25" s="13">
        <f t="shared" si="51"/>
        <v>0</v>
      </c>
      <c r="AQ25" s="32" t="s">
        <v>21</v>
      </c>
      <c r="AR25" s="30">
        <f t="shared" si="29"/>
        <v>0</v>
      </c>
      <c r="AS25" s="30">
        <f t="shared" si="30"/>
        <v>0</v>
      </c>
      <c r="AT25" s="30">
        <f t="shared" si="31"/>
        <v>0</v>
      </c>
      <c r="AU25" s="30">
        <f t="shared" si="32"/>
        <v>0</v>
      </c>
      <c r="AV25" s="30">
        <f t="shared" si="33"/>
        <v>0</v>
      </c>
      <c r="AW25" s="30">
        <f t="shared" si="34"/>
        <v>0</v>
      </c>
      <c r="AX25" s="30">
        <f t="shared" si="35"/>
        <v>0</v>
      </c>
      <c r="AY25" s="30">
        <f t="shared" si="36"/>
        <v>0</v>
      </c>
      <c r="AZ25" s="30">
        <f t="shared" si="37"/>
        <v>0</v>
      </c>
      <c r="BA25" s="30">
        <f t="shared" si="38"/>
        <v>0</v>
      </c>
      <c r="BB25" s="30">
        <f t="shared" si="39"/>
        <v>0</v>
      </c>
      <c r="BC25" s="30">
        <f t="shared" si="40"/>
        <v>0</v>
      </c>
      <c r="BD25" s="30">
        <f t="shared" si="41"/>
        <v>0</v>
      </c>
      <c r="BE25" s="30">
        <f t="shared" si="42"/>
        <v>0</v>
      </c>
      <c r="BF25" s="30">
        <f t="shared" si="43"/>
        <v>0</v>
      </c>
      <c r="BG25" s="30">
        <f t="shared" si="44"/>
        <v>0</v>
      </c>
      <c r="BH25" s="30">
        <f t="shared" si="45"/>
        <v>0</v>
      </c>
      <c r="BI25" s="30">
        <f t="shared" si="46"/>
        <v>0</v>
      </c>
      <c r="BJ25" s="30"/>
      <c r="BK25" s="48"/>
      <c r="BL25" s="48"/>
      <c r="BM25" s="48"/>
      <c r="BN25" s="37"/>
      <c r="BO25" s="37"/>
      <c r="BP25" s="37"/>
    </row>
    <row r="26" spans="1:70" ht="15" x14ac:dyDescent="0.25">
      <c r="A26" s="80" t="s">
        <v>52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7"/>
      <c r="V26" s="33" t="s">
        <v>22</v>
      </c>
      <c r="W26" s="13">
        <f t="shared" ref="W26:AN26" si="52">((B$26/B$13)*$E$3)/312.5*(1/W$4*1000)/3</f>
        <v>0</v>
      </c>
      <c r="X26" s="13">
        <f t="shared" si="52"/>
        <v>0</v>
      </c>
      <c r="Y26" s="13">
        <f t="shared" si="52"/>
        <v>0</v>
      </c>
      <c r="Z26" s="13">
        <f t="shared" si="52"/>
        <v>0</v>
      </c>
      <c r="AA26" s="13">
        <f t="shared" si="52"/>
        <v>0</v>
      </c>
      <c r="AB26" s="13">
        <f t="shared" si="52"/>
        <v>0</v>
      </c>
      <c r="AC26" s="13">
        <f t="shared" si="52"/>
        <v>0</v>
      </c>
      <c r="AD26" s="13">
        <f t="shared" si="52"/>
        <v>0</v>
      </c>
      <c r="AE26" s="13">
        <f t="shared" si="52"/>
        <v>0</v>
      </c>
      <c r="AF26" s="13">
        <f t="shared" si="52"/>
        <v>0</v>
      </c>
      <c r="AG26" s="13">
        <f t="shared" si="52"/>
        <v>0</v>
      </c>
      <c r="AH26" s="13">
        <f t="shared" si="52"/>
        <v>0</v>
      </c>
      <c r="AI26" s="13">
        <f t="shared" si="52"/>
        <v>0</v>
      </c>
      <c r="AJ26" s="13">
        <f t="shared" si="52"/>
        <v>0</v>
      </c>
      <c r="AK26" s="13">
        <f t="shared" si="52"/>
        <v>0</v>
      </c>
      <c r="AL26" s="13">
        <f t="shared" si="52"/>
        <v>0</v>
      </c>
      <c r="AM26" s="13">
        <f t="shared" si="52"/>
        <v>0</v>
      </c>
      <c r="AN26" s="13">
        <f t="shared" si="52"/>
        <v>0</v>
      </c>
      <c r="AQ26" s="28">
        <v>0.83333333333333337</v>
      </c>
      <c r="AR26" s="30">
        <f t="shared" si="29"/>
        <v>0</v>
      </c>
      <c r="AS26" s="30">
        <f t="shared" si="30"/>
        <v>0</v>
      </c>
      <c r="AT26" s="30">
        <f t="shared" si="31"/>
        <v>0</v>
      </c>
      <c r="AU26" s="30">
        <f t="shared" si="32"/>
        <v>0</v>
      </c>
      <c r="AV26" s="30">
        <f t="shared" si="33"/>
        <v>0</v>
      </c>
      <c r="AW26" s="30">
        <f t="shared" si="34"/>
        <v>0</v>
      </c>
      <c r="AX26" s="30">
        <f t="shared" si="35"/>
        <v>0</v>
      </c>
      <c r="AY26" s="30">
        <f t="shared" si="36"/>
        <v>0</v>
      </c>
      <c r="AZ26" s="30">
        <f t="shared" si="37"/>
        <v>0</v>
      </c>
      <c r="BA26" s="30">
        <f t="shared" si="38"/>
        <v>0</v>
      </c>
      <c r="BB26" s="30">
        <f t="shared" si="39"/>
        <v>0</v>
      </c>
      <c r="BC26" s="30">
        <f t="shared" si="40"/>
        <v>0</v>
      </c>
      <c r="BD26" s="30">
        <f t="shared" si="41"/>
        <v>0</v>
      </c>
      <c r="BE26" s="30">
        <f t="shared" si="42"/>
        <v>0</v>
      </c>
      <c r="BF26" s="30">
        <f t="shared" si="43"/>
        <v>0</v>
      </c>
      <c r="BG26" s="30">
        <f t="shared" si="44"/>
        <v>0</v>
      </c>
      <c r="BH26" s="30">
        <f t="shared" si="45"/>
        <v>0</v>
      </c>
      <c r="BI26" s="30">
        <f t="shared" si="46"/>
        <v>0</v>
      </c>
      <c r="BJ26" s="30"/>
      <c r="BK26" s="48"/>
      <c r="BL26" s="48"/>
      <c r="BM26" s="48"/>
      <c r="BN26" s="37"/>
      <c r="BO26" s="37"/>
      <c r="BP26" s="37"/>
    </row>
    <row r="27" spans="1:70" ht="15" x14ac:dyDescent="0.25">
      <c r="A27" s="80" t="s">
        <v>62</v>
      </c>
      <c r="B27" s="23"/>
      <c r="C27" s="23"/>
      <c r="D27" s="23"/>
      <c r="E27" s="23"/>
      <c r="F27" s="23"/>
      <c r="G27" s="23"/>
      <c r="H27" s="23" t="s">
        <v>169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5"/>
      <c r="V27" s="33" t="s">
        <v>23</v>
      </c>
      <c r="W27" s="13">
        <f t="shared" ref="W27:AN27" si="53">((B$27/B$13)*$E$3)/310.5*(1/W$4*1000)/3</f>
        <v>0</v>
      </c>
      <c r="X27" s="13">
        <f t="shared" si="53"/>
        <v>0</v>
      </c>
      <c r="Y27" s="13">
        <f t="shared" si="53"/>
        <v>0</v>
      </c>
      <c r="Z27" s="13">
        <f t="shared" si="53"/>
        <v>0</v>
      </c>
      <c r="AA27" s="13">
        <f t="shared" si="53"/>
        <v>0</v>
      </c>
      <c r="AB27" s="13">
        <f t="shared" si="53"/>
        <v>0</v>
      </c>
      <c r="AC27" s="13">
        <f t="shared" si="53"/>
        <v>71.436689127515137</v>
      </c>
      <c r="AD27" s="13">
        <f t="shared" si="53"/>
        <v>0</v>
      </c>
      <c r="AE27" s="13">
        <f t="shared" si="53"/>
        <v>0</v>
      </c>
      <c r="AF27" s="13">
        <f t="shared" si="53"/>
        <v>0</v>
      </c>
      <c r="AG27" s="13">
        <f t="shared" si="53"/>
        <v>0</v>
      </c>
      <c r="AH27" s="13">
        <f t="shared" si="53"/>
        <v>0</v>
      </c>
      <c r="AI27" s="13">
        <f t="shared" si="53"/>
        <v>0</v>
      </c>
      <c r="AJ27" s="13">
        <f t="shared" si="53"/>
        <v>0</v>
      </c>
      <c r="AK27" s="13">
        <f t="shared" si="53"/>
        <v>0</v>
      </c>
      <c r="AL27" s="13">
        <f t="shared" si="53"/>
        <v>0</v>
      </c>
      <c r="AM27" s="13">
        <f t="shared" si="53"/>
        <v>0</v>
      </c>
      <c r="AN27" s="13">
        <f t="shared" si="53"/>
        <v>0</v>
      </c>
      <c r="AQ27" s="28">
        <v>0.8340277777777777</v>
      </c>
      <c r="AR27" s="30">
        <f t="shared" si="29"/>
        <v>0</v>
      </c>
      <c r="AS27" s="30">
        <f t="shared" si="30"/>
        <v>0</v>
      </c>
      <c r="AT27" s="30">
        <f t="shared" si="31"/>
        <v>0</v>
      </c>
      <c r="AU27" s="30">
        <f t="shared" si="32"/>
        <v>0</v>
      </c>
      <c r="AV27" s="30">
        <f t="shared" si="33"/>
        <v>0</v>
      </c>
      <c r="AW27" s="30">
        <f t="shared" si="34"/>
        <v>0</v>
      </c>
      <c r="AX27" s="30">
        <f t="shared" si="35"/>
        <v>3.2862664802012551</v>
      </c>
      <c r="AY27" s="30">
        <f t="shared" si="36"/>
        <v>0</v>
      </c>
      <c r="AZ27" s="30">
        <f t="shared" si="37"/>
        <v>0</v>
      </c>
      <c r="BA27" s="30">
        <f t="shared" si="38"/>
        <v>0</v>
      </c>
      <c r="BB27" s="30">
        <f t="shared" si="39"/>
        <v>0</v>
      </c>
      <c r="BC27" s="30">
        <f t="shared" si="40"/>
        <v>0</v>
      </c>
      <c r="BD27" s="30">
        <f t="shared" si="41"/>
        <v>0</v>
      </c>
      <c r="BE27" s="30">
        <f t="shared" si="42"/>
        <v>0</v>
      </c>
      <c r="BF27" s="30">
        <f t="shared" si="43"/>
        <v>0</v>
      </c>
      <c r="BG27" s="30">
        <f t="shared" si="44"/>
        <v>0</v>
      </c>
      <c r="BH27" s="30">
        <f t="shared" si="45"/>
        <v>0</v>
      </c>
      <c r="BI27" s="30">
        <f t="shared" si="46"/>
        <v>0</v>
      </c>
      <c r="BJ27" s="30"/>
      <c r="BK27" s="48"/>
      <c r="BL27" s="48"/>
      <c r="BM27" s="48"/>
      <c r="BN27" s="37"/>
      <c r="BO27" s="37"/>
      <c r="BP27" s="37"/>
    </row>
    <row r="28" spans="1:70" ht="15" x14ac:dyDescent="0.25">
      <c r="A28" s="80" t="s">
        <v>63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5"/>
      <c r="V28" s="33" t="s">
        <v>24</v>
      </c>
      <c r="W28" s="13">
        <f t="shared" ref="W28:AN28" si="54">((B$28/B$13)*$E$3)/308.5*(1/W$4*1000)/3</f>
        <v>0</v>
      </c>
      <c r="X28" s="13">
        <f t="shared" si="54"/>
        <v>0</v>
      </c>
      <c r="Y28" s="13">
        <f t="shared" si="54"/>
        <v>0</v>
      </c>
      <c r="Z28" s="13">
        <f t="shared" si="54"/>
        <v>0</v>
      </c>
      <c r="AA28" s="13">
        <f t="shared" si="54"/>
        <v>0</v>
      </c>
      <c r="AB28" s="13">
        <f t="shared" si="54"/>
        <v>0</v>
      </c>
      <c r="AC28" s="13">
        <f t="shared" si="54"/>
        <v>0</v>
      </c>
      <c r="AD28" s="13">
        <f t="shared" si="54"/>
        <v>0</v>
      </c>
      <c r="AE28" s="13">
        <f t="shared" si="54"/>
        <v>0</v>
      </c>
      <c r="AF28" s="13">
        <f t="shared" si="54"/>
        <v>0</v>
      </c>
      <c r="AG28" s="13">
        <f t="shared" si="54"/>
        <v>0</v>
      </c>
      <c r="AH28" s="13">
        <f t="shared" si="54"/>
        <v>0</v>
      </c>
      <c r="AI28" s="13">
        <f t="shared" si="54"/>
        <v>0</v>
      </c>
      <c r="AJ28" s="13">
        <f t="shared" si="54"/>
        <v>0</v>
      </c>
      <c r="AK28" s="13">
        <f t="shared" si="54"/>
        <v>0</v>
      </c>
      <c r="AL28" s="13">
        <f t="shared" si="54"/>
        <v>0</v>
      </c>
      <c r="AM28" s="13">
        <f t="shared" si="54"/>
        <v>0</v>
      </c>
      <c r="AN28" s="13">
        <f t="shared" si="54"/>
        <v>0</v>
      </c>
      <c r="AQ28" s="28">
        <v>0.83472222222222225</v>
      </c>
      <c r="AR28" s="30">
        <f t="shared" si="29"/>
        <v>0</v>
      </c>
      <c r="AS28" s="30">
        <f t="shared" si="30"/>
        <v>0</v>
      </c>
      <c r="AT28" s="30">
        <f t="shared" si="31"/>
        <v>0</v>
      </c>
      <c r="AU28" s="30">
        <f t="shared" si="32"/>
        <v>0</v>
      </c>
      <c r="AV28" s="30">
        <f t="shared" si="33"/>
        <v>0</v>
      </c>
      <c r="AW28" s="30">
        <f t="shared" si="34"/>
        <v>0</v>
      </c>
      <c r="AX28" s="30">
        <f t="shared" si="35"/>
        <v>0</v>
      </c>
      <c r="AY28" s="30">
        <f t="shared" si="36"/>
        <v>0</v>
      </c>
      <c r="AZ28" s="30">
        <f t="shared" si="37"/>
        <v>0</v>
      </c>
      <c r="BA28" s="30">
        <f t="shared" si="38"/>
        <v>0</v>
      </c>
      <c r="BB28" s="30">
        <f t="shared" si="39"/>
        <v>0</v>
      </c>
      <c r="BC28" s="30">
        <f t="shared" si="40"/>
        <v>0</v>
      </c>
      <c r="BD28" s="30">
        <f t="shared" si="41"/>
        <v>0</v>
      </c>
      <c r="BE28" s="30">
        <f t="shared" si="42"/>
        <v>0</v>
      </c>
      <c r="BF28" s="30">
        <f t="shared" si="43"/>
        <v>0</v>
      </c>
      <c r="BG28" s="30">
        <f t="shared" si="44"/>
        <v>0</v>
      </c>
      <c r="BH28" s="30">
        <f t="shared" si="45"/>
        <v>0</v>
      </c>
      <c r="BI28" s="30">
        <f t="shared" si="46"/>
        <v>0</v>
      </c>
      <c r="BJ28" s="30"/>
      <c r="BK28" s="37"/>
      <c r="BL28" s="37"/>
      <c r="BM28" s="37"/>
      <c r="BN28" s="37"/>
      <c r="BO28" s="37"/>
      <c r="BP28" s="37"/>
    </row>
    <row r="29" spans="1:70" ht="15" x14ac:dyDescent="0.25">
      <c r="A29" s="80" t="s">
        <v>25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5"/>
      <c r="V29" s="33" t="s">
        <v>26</v>
      </c>
      <c r="W29" s="13">
        <f t="shared" ref="W29:AN29" si="55">((B$29/B$13)*$E$3)/306.4*(1/W$4*1000)/3</f>
        <v>0</v>
      </c>
      <c r="X29" s="13">
        <f t="shared" si="55"/>
        <v>0</v>
      </c>
      <c r="Y29" s="13">
        <f t="shared" si="55"/>
        <v>0</v>
      </c>
      <c r="Z29" s="13">
        <f t="shared" si="55"/>
        <v>0</v>
      </c>
      <c r="AA29" s="13">
        <f t="shared" si="55"/>
        <v>0</v>
      </c>
      <c r="AB29" s="13">
        <f t="shared" si="55"/>
        <v>0</v>
      </c>
      <c r="AC29" s="13">
        <f t="shared" si="55"/>
        <v>0</v>
      </c>
      <c r="AD29" s="13">
        <f t="shared" si="55"/>
        <v>0</v>
      </c>
      <c r="AE29" s="13">
        <f t="shared" si="55"/>
        <v>0</v>
      </c>
      <c r="AF29" s="13">
        <f t="shared" si="55"/>
        <v>0</v>
      </c>
      <c r="AG29" s="13">
        <f t="shared" si="55"/>
        <v>0</v>
      </c>
      <c r="AH29" s="13">
        <f t="shared" si="55"/>
        <v>0</v>
      </c>
      <c r="AI29" s="13">
        <f t="shared" si="55"/>
        <v>0</v>
      </c>
      <c r="AJ29" s="13">
        <f t="shared" si="55"/>
        <v>0</v>
      </c>
      <c r="AK29" s="13">
        <f t="shared" si="55"/>
        <v>0</v>
      </c>
      <c r="AL29" s="13">
        <f t="shared" si="55"/>
        <v>0</v>
      </c>
      <c r="AM29" s="13">
        <f t="shared" si="55"/>
        <v>0</v>
      </c>
      <c r="AN29" s="13">
        <f t="shared" si="55"/>
        <v>0</v>
      </c>
      <c r="AQ29" s="32" t="s">
        <v>25</v>
      </c>
      <c r="AR29" s="30">
        <f t="shared" si="29"/>
        <v>0</v>
      </c>
      <c r="AS29" s="30">
        <f t="shared" si="30"/>
        <v>0</v>
      </c>
      <c r="AT29" s="30">
        <f t="shared" si="31"/>
        <v>0</v>
      </c>
      <c r="AU29" s="30">
        <f t="shared" si="32"/>
        <v>0</v>
      </c>
      <c r="AV29" s="30">
        <f t="shared" si="33"/>
        <v>0</v>
      </c>
      <c r="AW29" s="30">
        <f t="shared" si="34"/>
        <v>0</v>
      </c>
      <c r="AX29" s="30">
        <f t="shared" si="35"/>
        <v>0</v>
      </c>
      <c r="AY29" s="30">
        <f t="shared" si="36"/>
        <v>0</v>
      </c>
      <c r="AZ29" s="30">
        <f t="shared" si="37"/>
        <v>0</v>
      </c>
      <c r="BA29" s="30">
        <f t="shared" si="38"/>
        <v>0</v>
      </c>
      <c r="BB29" s="30">
        <f t="shared" si="39"/>
        <v>0</v>
      </c>
      <c r="BC29" s="30">
        <f t="shared" si="40"/>
        <v>0</v>
      </c>
      <c r="BD29" s="30">
        <f t="shared" si="41"/>
        <v>0</v>
      </c>
      <c r="BE29" s="30">
        <f t="shared" si="42"/>
        <v>0</v>
      </c>
      <c r="BF29" s="30">
        <f t="shared" si="43"/>
        <v>0</v>
      </c>
      <c r="BG29" s="30">
        <f t="shared" si="44"/>
        <v>0</v>
      </c>
      <c r="BH29" s="30">
        <f t="shared" si="45"/>
        <v>0</v>
      </c>
      <c r="BI29" s="30">
        <f t="shared" si="46"/>
        <v>0</v>
      </c>
      <c r="BJ29" s="30"/>
      <c r="BK29" s="37"/>
      <c r="BL29" s="37"/>
      <c r="BM29" s="37"/>
      <c r="BN29" s="37"/>
      <c r="BO29" s="37"/>
      <c r="BP29" s="37"/>
    </row>
    <row r="30" spans="1:70" ht="15" x14ac:dyDescent="0.25">
      <c r="A30" s="80" t="s">
        <v>64</v>
      </c>
      <c r="B30" s="23"/>
      <c r="C30" s="23"/>
      <c r="D30" s="23"/>
      <c r="E30" s="23"/>
      <c r="F30" s="23"/>
      <c r="G30" s="23"/>
      <c r="H30" s="23"/>
      <c r="I30" s="23"/>
      <c r="J30" s="23"/>
      <c r="T30" s="23"/>
      <c r="U30" s="25"/>
      <c r="V30" s="33" t="s">
        <v>26</v>
      </c>
      <c r="W30" s="13">
        <f t="shared" ref="W30:AE30" si="56">((B$30/B$13)*$E$3)/306.4*(1/W$4*1000)/3</f>
        <v>0</v>
      </c>
      <c r="X30" s="13">
        <f t="shared" si="56"/>
        <v>0</v>
      </c>
      <c r="Y30" s="13">
        <f t="shared" si="56"/>
        <v>0</v>
      </c>
      <c r="Z30" s="13">
        <f t="shared" si="56"/>
        <v>0</v>
      </c>
      <c r="AA30" s="13">
        <f t="shared" si="56"/>
        <v>0</v>
      </c>
      <c r="AB30" s="13">
        <f t="shared" si="56"/>
        <v>0</v>
      </c>
      <c r="AC30" s="13">
        <f t="shared" si="56"/>
        <v>0</v>
      </c>
      <c r="AD30" s="13">
        <f t="shared" si="56"/>
        <v>0</v>
      </c>
      <c r="AE30" s="13">
        <f t="shared" si="56"/>
        <v>0</v>
      </c>
      <c r="AF30" s="13">
        <f t="shared" ref="AF30:AN30" si="57">((K$31/K$13)*$E$3)/306.4*(1/AF$4*1000)/3</f>
        <v>0</v>
      </c>
      <c r="AG30" s="13">
        <f t="shared" si="57"/>
        <v>0</v>
      </c>
      <c r="AH30" s="13">
        <f t="shared" si="57"/>
        <v>0</v>
      </c>
      <c r="AI30" s="13">
        <f t="shared" si="57"/>
        <v>0</v>
      </c>
      <c r="AJ30" s="13">
        <f t="shared" si="57"/>
        <v>0</v>
      </c>
      <c r="AK30" s="13">
        <f t="shared" si="57"/>
        <v>0</v>
      </c>
      <c r="AL30" s="13">
        <f t="shared" si="57"/>
        <v>0</v>
      </c>
      <c r="AM30" s="13">
        <f t="shared" si="57"/>
        <v>0</v>
      </c>
      <c r="AN30" s="13">
        <f t="shared" si="57"/>
        <v>0</v>
      </c>
      <c r="AQ30" s="28">
        <v>0.8354166666666667</v>
      </c>
      <c r="AR30" s="30">
        <f t="shared" si="29"/>
        <v>0</v>
      </c>
      <c r="AS30" s="30">
        <f t="shared" si="30"/>
        <v>0</v>
      </c>
      <c r="AT30" s="30">
        <f t="shared" si="31"/>
        <v>0</v>
      </c>
      <c r="AU30" s="30">
        <f t="shared" si="32"/>
        <v>0</v>
      </c>
      <c r="AV30" s="30">
        <f t="shared" si="33"/>
        <v>0</v>
      </c>
      <c r="AW30" s="30">
        <f t="shared" si="34"/>
        <v>0</v>
      </c>
      <c r="AX30" s="30">
        <f t="shared" si="35"/>
        <v>0</v>
      </c>
      <c r="AY30" s="30">
        <f t="shared" si="36"/>
        <v>0</v>
      </c>
      <c r="AZ30" s="30">
        <f t="shared" si="37"/>
        <v>0</v>
      </c>
      <c r="BA30" s="30">
        <f t="shared" si="38"/>
        <v>0</v>
      </c>
      <c r="BB30" s="30">
        <f t="shared" si="39"/>
        <v>0</v>
      </c>
      <c r="BC30" s="30">
        <f t="shared" si="40"/>
        <v>0</v>
      </c>
      <c r="BD30" s="30">
        <f t="shared" si="41"/>
        <v>0</v>
      </c>
      <c r="BE30" s="30">
        <f t="shared" si="42"/>
        <v>0</v>
      </c>
      <c r="BF30" s="30">
        <f t="shared" si="43"/>
        <v>0</v>
      </c>
      <c r="BG30" s="30">
        <f t="shared" si="44"/>
        <v>0</v>
      </c>
      <c r="BH30" s="30">
        <f t="shared" si="45"/>
        <v>0</v>
      </c>
      <c r="BI30" s="30">
        <f t="shared" si="46"/>
        <v>0</v>
      </c>
      <c r="BJ30" s="30"/>
      <c r="BK30" s="49"/>
      <c r="BL30" s="49"/>
      <c r="BM30" s="49"/>
      <c r="BN30" s="49"/>
      <c r="BO30" s="37"/>
      <c r="BP30" s="37"/>
    </row>
    <row r="31" spans="1:70" ht="15" x14ac:dyDescent="0.25">
      <c r="A31" s="80" t="s">
        <v>65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5"/>
      <c r="V31" s="33" t="s">
        <v>27</v>
      </c>
      <c r="W31" s="13">
        <f t="shared" ref="W31:AN31" si="58">((B$31/B$13)*$E$3)/304.4*(1/W$4*1000)/3</f>
        <v>0</v>
      </c>
      <c r="X31" s="13">
        <f t="shared" si="58"/>
        <v>0</v>
      </c>
      <c r="Y31" s="13">
        <f t="shared" si="58"/>
        <v>0</v>
      </c>
      <c r="Z31" s="13">
        <f t="shared" si="58"/>
        <v>0</v>
      </c>
      <c r="AA31" s="13">
        <f t="shared" si="58"/>
        <v>0</v>
      </c>
      <c r="AB31" s="13">
        <f t="shared" si="58"/>
        <v>0</v>
      </c>
      <c r="AC31" s="13">
        <f t="shared" si="58"/>
        <v>0</v>
      </c>
      <c r="AD31" s="13">
        <f t="shared" si="58"/>
        <v>0</v>
      </c>
      <c r="AE31" s="13">
        <f t="shared" si="58"/>
        <v>0</v>
      </c>
      <c r="AF31" s="13">
        <f t="shared" si="58"/>
        <v>0</v>
      </c>
      <c r="AG31" s="13">
        <f t="shared" si="58"/>
        <v>0</v>
      </c>
      <c r="AH31" s="13">
        <f t="shared" si="58"/>
        <v>0</v>
      </c>
      <c r="AI31" s="13">
        <f t="shared" si="58"/>
        <v>0</v>
      </c>
      <c r="AJ31" s="13">
        <f t="shared" si="58"/>
        <v>0</v>
      </c>
      <c r="AK31" s="13">
        <f t="shared" si="58"/>
        <v>0</v>
      </c>
      <c r="AL31" s="13">
        <f t="shared" si="58"/>
        <v>0</v>
      </c>
      <c r="AM31" s="13">
        <f t="shared" si="58"/>
        <v>0</v>
      </c>
      <c r="AN31" s="13">
        <f t="shared" si="58"/>
        <v>0</v>
      </c>
      <c r="AQ31" s="28">
        <v>0.83611111111111114</v>
      </c>
      <c r="AR31" s="30">
        <f t="shared" si="29"/>
        <v>0</v>
      </c>
      <c r="AS31" s="30">
        <f t="shared" si="30"/>
        <v>0</v>
      </c>
      <c r="AT31" s="30">
        <f t="shared" si="31"/>
        <v>0</v>
      </c>
      <c r="AU31" s="30">
        <f t="shared" si="32"/>
        <v>0</v>
      </c>
      <c r="AV31" s="30">
        <f t="shared" si="33"/>
        <v>0</v>
      </c>
      <c r="AW31" s="30">
        <f t="shared" si="34"/>
        <v>0</v>
      </c>
      <c r="AX31" s="30">
        <f t="shared" si="35"/>
        <v>0</v>
      </c>
      <c r="AY31" s="30">
        <f t="shared" si="36"/>
        <v>0</v>
      </c>
      <c r="AZ31" s="30">
        <f t="shared" si="37"/>
        <v>0</v>
      </c>
      <c r="BA31" s="30">
        <f t="shared" si="38"/>
        <v>0</v>
      </c>
      <c r="BB31" s="30">
        <f t="shared" si="39"/>
        <v>0</v>
      </c>
      <c r="BC31" s="30">
        <f t="shared" si="40"/>
        <v>0</v>
      </c>
      <c r="BD31" s="30">
        <f t="shared" si="41"/>
        <v>0</v>
      </c>
      <c r="BE31" s="30">
        <f t="shared" si="42"/>
        <v>0</v>
      </c>
      <c r="BF31" s="30">
        <f t="shared" si="43"/>
        <v>0</v>
      </c>
      <c r="BG31" s="30">
        <f t="shared" si="44"/>
        <v>0</v>
      </c>
      <c r="BH31" s="30">
        <f t="shared" si="45"/>
        <v>0</v>
      </c>
      <c r="BI31" s="30">
        <f t="shared" si="46"/>
        <v>0</v>
      </c>
      <c r="BJ31" s="30"/>
      <c r="BK31" s="48"/>
      <c r="BL31" s="48"/>
      <c r="BM31" s="48"/>
      <c r="BN31" s="48"/>
      <c r="BO31" s="37"/>
      <c r="BP31" s="37"/>
    </row>
    <row r="32" spans="1:70" ht="15" x14ac:dyDescent="0.25">
      <c r="A32" s="80" t="s">
        <v>66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5"/>
      <c r="V32" s="33" t="s">
        <v>28</v>
      </c>
      <c r="W32" s="13">
        <f t="shared" ref="W32:AN32" si="59">((B$32/B$13)*$E$3)/302.5*(1/W$4*1000)/3</f>
        <v>0</v>
      </c>
      <c r="X32" s="13">
        <f t="shared" si="59"/>
        <v>0</v>
      </c>
      <c r="Y32" s="13">
        <f t="shared" si="59"/>
        <v>0</v>
      </c>
      <c r="Z32" s="13">
        <f t="shared" si="59"/>
        <v>0</v>
      </c>
      <c r="AA32" s="13">
        <f t="shared" si="59"/>
        <v>0</v>
      </c>
      <c r="AB32" s="13">
        <f t="shared" si="59"/>
        <v>0</v>
      </c>
      <c r="AC32" s="13">
        <f t="shared" si="59"/>
        <v>0</v>
      </c>
      <c r="AD32" s="13">
        <f t="shared" si="59"/>
        <v>0</v>
      </c>
      <c r="AE32" s="13">
        <f t="shared" si="59"/>
        <v>0</v>
      </c>
      <c r="AF32" s="13">
        <f t="shared" si="59"/>
        <v>0</v>
      </c>
      <c r="AG32" s="13">
        <f t="shared" si="59"/>
        <v>0</v>
      </c>
      <c r="AH32" s="13">
        <f t="shared" si="59"/>
        <v>0</v>
      </c>
      <c r="AI32" s="13">
        <f t="shared" si="59"/>
        <v>0</v>
      </c>
      <c r="AJ32" s="13">
        <f t="shared" si="59"/>
        <v>0</v>
      </c>
      <c r="AK32" s="13">
        <f t="shared" si="59"/>
        <v>0</v>
      </c>
      <c r="AL32" s="13">
        <f t="shared" si="59"/>
        <v>0</v>
      </c>
      <c r="AM32" s="13">
        <f t="shared" si="59"/>
        <v>0</v>
      </c>
      <c r="AN32" s="13">
        <f t="shared" si="59"/>
        <v>0</v>
      </c>
      <c r="AQ32" s="28">
        <v>0.83680555555555547</v>
      </c>
      <c r="AR32" s="30">
        <f t="shared" si="29"/>
        <v>0</v>
      </c>
      <c r="AS32" s="30">
        <f t="shared" si="30"/>
        <v>0</v>
      </c>
      <c r="AT32" s="30">
        <f t="shared" si="31"/>
        <v>0</v>
      </c>
      <c r="AU32" s="30">
        <f t="shared" si="32"/>
        <v>0</v>
      </c>
      <c r="AV32" s="30">
        <f t="shared" si="33"/>
        <v>0</v>
      </c>
      <c r="AW32" s="30">
        <f t="shared" si="34"/>
        <v>0</v>
      </c>
      <c r="AX32" s="30">
        <f t="shared" si="35"/>
        <v>0</v>
      </c>
      <c r="AY32" s="30">
        <f t="shared" si="36"/>
        <v>0</v>
      </c>
      <c r="AZ32" s="30">
        <f t="shared" si="37"/>
        <v>0</v>
      </c>
      <c r="BA32" s="30">
        <f t="shared" si="38"/>
        <v>0</v>
      </c>
      <c r="BB32" s="30">
        <f t="shared" si="39"/>
        <v>0</v>
      </c>
      <c r="BC32" s="30">
        <f t="shared" si="40"/>
        <v>0</v>
      </c>
      <c r="BD32" s="30">
        <f t="shared" si="41"/>
        <v>0</v>
      </c>
      <c r="BE32" s="30">
        <f t="shared" si="42"/>
        <v>0</v>
      </c>
      <c r="BF32" s="30">
        <f t="shared" si="43"/>
        <v>0</v>
      </c>
      <c r="BG32" s="30">
        <f t="shared" si="44"/>
        <v>0</v>
      </c>
      <c r="BH32" s="30">
        <f t="shared" si="45"/>
        <v>0</v>
      </c>
      <c r="BI32" s="30">
        <f t="shared" si="46"/>
        <v>0</v>
      </c>
      <c r="BJ32" s="30"/>
      <c r="BK32" s="48"/>
      <c r="BL32" s="48"/>
      <c r="BM32" s="48"/>
      <c r="BN32" s="48"/>
      <c r="BO32" s="37"/>
      <c r="BP32" s="37"/>
    </row>
    <row r="33" spans="1:68" ht="15" x14ac:dyDescent="0.25">
      <c r="A33" s="80" t="s">
        <v>53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5"/>
      <c r="V33" s="28">
        <v>0.91666666666666663</v>
      </c>
      <c r="W33" s="13">
        <f t="shared" ref="W33:AN33" si="60">((B$33/B$13)*$E$3)/340.5*(1/W$4*1000)/3</f>
        <v>0</v>
      </c>
      <c r="X33" s="13">
        <f t="shared" si="60"/>
        <v>0</v>
      </c>
      <c r="Y33" s="13">
        <f t="shared" si="60"/>
        <v>0</v>
      </c>
      <c r="Z33" s="13">
        <f t="shared" si="60"/>
        <v>0</v>
      </c>
      <c r="AA33" s="13">
        <f t="shared" si="60"/>
        <v>0</v>
      </c>
      <c r="AB33" s="13">
        <f t="shared" si="60"/>
        <v>0</v>
      </c>
      <c r="AC33" s="13">
        <f t="shared" si="60"/>
        <v>0</v>
      </c>
      <c r="AD33" s="13">
        <f t="shared" si="60"/>
        <v>0</v>
      </c>
      <c r="AE33" s="13">
        <f t="shared" si="60"/>
        <v>0</v>
      </c>
      <c r="AF33" s="13">
        <f t="shared" si="60"/>
        <v>0</v>
      </c>
      <c r="AG33" s="13">
        <f t="shared" si="60"/>
        <v>0</v>
      </c>
      <c r="AH33" s="13">
        <f t="shared" si="60"/>
        <v>0</v>
      </c>
      <c r="AI33" s="13">
        <f t="shared" si="60"/>
        <v>0</v>
      </c>
      <c r="AJ33" s="13">
        <f t="shared" si="60"/>
        <v>0</v>
      </c>
      <c r="AK33" s="13">
        <f t="shared" si="60"/>
        <v>0</v>
      </c>
      <c r="AL33" s="13">
        <f t="shared" si="60"/>
        <v>0</v>
      </c>
      <c r="AM33" s="13">
        <f t="shared" si="60"/>
        <v>0</v>
      </c>
      <c r="AN33" s="13">
        <f t="shared" si="60"/>
        <v>0</v>
      </c>
      <c r="AQ33" s="28">
        <v>0.91666666666666663</v>
      </c>
      <c r="AR33" s="30">
        <f t="shared" si="29"/>
        <v>0</v>
      </c>
      <c r="AS33" s="30">
        <f t="shared" si="30"/>
        <v>0</v>
      </c>
      <c r="AT33" s="30">
        <f t="shared" si="31"/>
        <v>0</v>
      </c>
      <c r="AU33" s="30">
        <f t="shared" si="32"/>
        <v>0</v>
      </c>
      <c r="AV33" s="30">
        <f t="shared" si="33"/>
        <v>0</v>
      </c>
      <c r="AW33" s="30">
        <f t="shared" si="34"/>
        <v>0</v>
      </c>
      <c r="AX33" s="30">
        <f t="shared" si="35"/>
        <v>0</v>
      </c>
      <c r="AY33" s="30">
        <f t="shared" si="36"/>
        <v>0</v>
      </c>
      <c r="AZ33" s="30">
        <f t="shared" si="37"/>
        <v>0</v>
      </c>
      <c r="BA33" s="30">
        <f t="shared" si="38"/>
        <v>0</v>
      </c>
      <c r="BB33" s="30">
        <f t="shared" si="39"/>
        <v>0</v>
      </c>
      <c r="BC33" s="30">
        <f t="shared" si="40"/>
        <v>0</v>
      </c>
      <c r="BD33" s="30">
        <f t="shared" si="41"/>
        <v>0</v>
      </c>
      <c r="BE33" s="30">
        <f t="shared" si="42"/>
        <v>0</v>
      </c>
      <c r="BF33" s="30">
        <f t="shared" si="43"/>
        <v>0</v>
      </c>
      <c r="BG33" s="30">
        <f t="shared" si="44"/>
        <v>0</v>
      </c>
      <c r="BH33" s="30">
        <f t="shared" si="45"/>
        <v>0</v>
      </c>
      <c r="BI33" s="30">
        <f t="shared" si="46"/>
        <v>0</v>
      </c>
      <c r="BJ33" s="30"/>
      <c r="BK33" s="48"/>
      <c r="BL33" s="48"/>
      <c r="BM33" s="48"/>
      <c r="BN33" s="48"/>
      <c r="BO33" s="37"/>
      <c r="BP33" s="37"/>
    </row>
    <row r="34" spans="1:68" ht="15" x14ac:dyDescent="0.25">
      <c r="A34" s="80" t="s">
        <v>67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5"/>
      <c r="V34" s="28">
        <v>0.91736111111111107</v>
      </c>
      <c r="W34" s="18">
        <f t="shared" ref="W34:AN34" si="61">((B$34/B$13)*$E$3)/338.5*(1/W$4*1000)/3</f>
        <v>0</v>
      </c>
      <c r="X34" s="18">
        <f t="shared" si="61"/>
        <v>0</v>
      </c>
      <c r="Y34" s="18">
        <f t="shared" si="61"/>
        <v>0</v>
      </c>
      <c r="Z34" s="18">
        <f t="shared" si="61"/>
        <v>0</v>
      </c>
      <c r="AA34" s="18">
        <f t="shared" si="61"/>
        <v>0</v>
      </c>
      <c r="AB34" s="18">
        <f t="shared" si="61"/>
        <v>0</v>
      </c>
      <c r="AC34" s="18">
        <f t="shared" si="61"/>
        <v>0</v>
      </c>
      <c r="AD34" s="18">
        <f t="shared" si="61"/>
        <v>0</v>
      </c>
      <c r="AE34" s="18">
        <f t="shared" si="61"/>
        <v>0</v>
      </c>
      <c r="AF34" s="18">
        <f t="shared" si="61"/>
        <v>0</v>
      </c>
      <c r="AG34" s="18">
        <f t="shared" si="61"/>
        <v>0</v>
      </c>
      <c r="AH34" s="18">
        <f t="shared" si="61"/>
        <v>0</v>
      </c>
      <c r="AI34" s="18">
        <f t="shared" si="61"/>
        <v>0</v>
      </c>
      <c r="AJ34" s="18">
        <f t="shared" si="61"/>
        <v>0</v>
      </c>
      <c r="AK34" s="18">
        <f t="shared" si="61"/>
        <v>0</v>
      </c>
      <c r="AL34" s="18">
        <f t="shared" si="61"/>
        <v>0</v>
      </c>
      <c r="AM34" s="18">
        <f t="shared" si="61"/>
        <v>0</v>
      </c>
      <c r="AN34" s="18">
        <f t="shared" si="61"/>
        <v>0</v>
      </c>
      <c r="AO34" s="18"/>
      <c r="AP34" s="18"/>
      <c r="AQ34" s="28">
        <v>0.91736111111111107</v>
      </c>
      <c r="AR34" s="30">
        <f t="shared" si="29"/>
        <v>0</v>
      </c>
      <c r="AS34" s="30">
        <f t="shared" si="30"/>
        <v>0</v>
      </c>
      <c r="AT34" s="30">
        <f t="shared" si="31"/>
        <v>0</v>
      </c>
      <c r="AU34" s="30">
        <f t="shared" si="32"/>
        <v>0</v>
      </c>
      <c r="AV34" s="30">
        <f t="shared" si="33"/>
        <v>0</v>
      </c>
      <c r="AW34" s="30">
        <f t="shared" si="34"/>
        <v>0</v>
      </c>
      <c r="AX34" s="30">
        <f t="shared" si="35"/>
        <v>0</v>
      </c>
      <c r="AY34" s="30">
        <f t="shared" si="36"/>
        <v>0</v>
      </c>
      <c r="AZ34" s="30">
        <f t="shared" si="37"/>
        <v>0</v>
      </c>
      <c r="BA34" s="30">
        <f t="shared" si="38"/>
        <v>0</v>
      </c>
      <c r="BB34" s="30">
        <f t="shared" si="39"/>
        <v>0</v>
      </c>
      <c r="BC34" s="30">
        <f t="shared" si="40"/>
        <v>0</v>
      </c>
      <c r="BD34" s="30">
        <f t="shared" si="41"/>
        <v>0</v>
      </c>
      <c r="BE34" s="30">
        <f t="shared" si="42"/>
        <v>0</v>
      </c>
      <c r="BF34" s="30">
        <f t="shared" si="43"/>
        <v>0</v>
      </c>
      <c r="BG34" s="30">
        <f t="shared" si="44"/>
        <v>0</v>
      </c>
      <c r="BH34" s="30">
        <f t="shared" si="45"/>
        <v>0</v>
      </c>
      <c r="BI34" s="30">
        <f t="shared" si="46"/>
        <v>0</v>
      </c>
      <c r="BJ34" s="30"/>
      <c r="BK34" s="48"/>
      <c r="BL34" s="48"/>
      <c r="BM34" s="48"/>
      <c r="BN34" s="48"/>
      <c r="BO34" s="37"/>
      <c r="BP34" s="37"/>
    </row>
    <row r="35" spans="1:68" ht="15" x14ac:dyDescent="0.25">
      <c r="A35" s="80" t="s">
        <v>68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5"/>
      <c r="V35" s="28">
        <v>0.91805555555555562</v>
      </c>
      <c r="W35" s="13">
        <f t="shared" ref="W35:AN35" si="62">((B$35/B$13)*$E$3)/336.5*(1/W$4*1000)/3</f>
        <v>0</v>
      </c>
      <c r="X35" s="13">
        <f t="shared" si="62"/>
        <v>0</v>
      </c>
      <c r="Y35" s="13">
        <f t="shared" si="62"/>
        <v>0</v>
      </c>
      <c r="Z35" s="13">
        <f t="shared" si="62"/>
        <v>0</v>
      </c>
      <c r="AA35" s="13">
        <f t="shared" si="62"/>
        <v>0</v>
      </c>
      <c r="AB35" s="13">
        <f t="shared" si="62"/>
        <v>0</v>
      </c>
      <c r="AC35" s="13">
        <f t="shared" si="62"/>
        <v>0</v>
      </c>
      <c r="AD35" s="13">
        <f t="shared" si="62"/>
        <v>0</v>
      </c>
      <c r="AE35" s="13">
        <f t="shared" si="62"/>
        <v>0</v>
      </c>
      <c r="AF35" s="13">
        <f t="shared" si="62"/>
        <v>0</v>
      </c>
      <c r="AG35" s="13">
        <f t="shared" si="62"/>
        <v>0</v>
      </c>
      <c r="AH35" s="13">
        <f t="shared" si="62"/>
        <v>0</v>
      </c>
      <c r="AI35" s="13">
        <f t="shared" si="62"/>
        <v>0</v>
      </c>
      <c r="AJ35" s="13">
        <f t="shared" si="62"/>
        <v>0</v>
      </c>
      <c r="AK35" s="13">
        <f t="shared" si="62"/>
        <v>0</v>
      </c>
      <c r="AL35" s="13">
        <f t="shared" si="62"/>
        <v>0</v>
      </c>
      <c r="AM35" s="13">
        <f t="shared" si="62"/>
        <v>0</v>
      </c>
      <c r="AN35" s="13">
        <f t="shared" si="62"/>
        <v>0</v>
      </c>
      <c r="AQ35" s="28">
        <v>0.91805555555555562</v>
      </c>
      <c r="AR35" s="30">
        <f t="shared" si="29"/>
        <v>0</v>
      </c>
      <c r="AS35" s="30">
        <f t="shared" si="30"/>
        <v>0</v>
      </c>
      <c r="AT35" s="30">
        <f t="shared" si="31"/>
        <v>0</v>
      </c>
      <c r="AU35" s="30">
        <f t="shared" si="32"/>
        <v>0</v>
      </c>
      <c r="AV35" s="30">
        <f t="shared" si="33"/>
        <v>0</v>
      </c>
      <c r="AW35" s="30">
        <f t="shared" si="34"/>
        <v>0</v>
      </c>
      <c r="AX35" s="30">
        <f t="shared" si="35"/>
        <v>0</v>
      </c>
      <c r="AY35" s="30">
        <f t="shared" si="36"/>
        <v>0</v>
      </c>
      <c r="AZ35" s="30">
        <f t="shared" si="37"/>
        <v>0</v>
      </c>
      <c r="BA35" s="30">
        <f t="shared" si="38"/>
        <v>0</v>
      </c>
      <c r="BB35" s="30">
        <f t="shared" si="39"/>
        <v>0</v>
      </c>
      <c r="BC35" s="30">
        <f t="shared" si="40"/>
        <v>0</v>
      </c>
      <c r="BD35" s="30">
        <f t="shared" si="41"/>
        <v>0</v>
      </c>
      <c r="BE35" s="30">
        <f t="shared" si="42"/>
        <v>0</v>
      </c>
      <c r="BF35" s="30">
        <f t="shared" si="43"/>
        <v>0</v>
      </c>
      <c r="BG35" s="30">
        <f t="shared" si="44"/>
        <v>0</v>
      </c>
      <c r="BH35" s="30">
        <f t="shared" si="45"/>
        <v>0</v>
      </c>
      <c r="BI35" s="30">
        <f t="shared" si="46"/>
        <v>0</v>
      </c>
      <c r="BJ35" s="30"/>
      <c r="BK35" s="48"/>
      <c r="BL35" s="48"/>
      <c r="BM35" s="48"/>
      <c r="BN35" s="48"/>
      <c r="BO35" s="37"/>
      <c r="BP35" s="37"/>
    </row>
    <row r="36" spans="1:68" ht="15" x14ac:dyDescent="0.25">
      <c r="A36" s="80" t="s">
        <v>54</v>
      </c>
      <c r="B36" s="23" t="s">
        <v>110</v>
      </c>
      <c r="C36" s="23"/>
      <c r="D36" s="23" t="s">
        <v>130</v>
      </c>
      <c r="E36" s="23" t="s">
        <v>139</v>
      </c>
      <c r="F36" s="23" t="s">
        <v>150</v>
      </c>
      <c r="G36" s="23" t="s">
        <v>160</v>
      </c>
      <c r="H36" s="23" t="s">
        <v>170</v>
      </c>
      <c r="I36" s="23" t="s">
        <v>180</v>
      </c>
      <c r="J36" s="23" t="s">
        <v>190</v>
      </c>
      <c r="K36" s="23" t="s">
        <v>200</v>
      </c>
      <c r="L36" s="23" t="s">
        <v>211</v>
      </c>
      <c r="M36" s="23" t="s">
        <v>220</v>
      </c>
      <c r="N36" s="23" t="s">
        <v>230</v>
      </c>
      <c r="O36" s="23" t="s">
        <v>240</v>
      </c>
      <c r="P36" s="23" t="s">
        <v>249</v>
      </c>
      <c r="Q36" s="23" t="s">
        <v>259</v>
      </c>
      <c r="R36" s="23" t="s">
        <v>269</v>
      </c>
      <c r="S36" s="23" t="s">
        <v>279</v>
      </c>
      <c r="T36" s="23"/>
      <c r="U36" s="25"/>
      <c r="V36" s="33"/>
      <c r="AQ36" s="28">
        <v>0.95833333333333337</v>
      </c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48"/>
      <c r="BL36" s="48"/>
      <c r="BM36" s="48"/>
      <c r="BN36" s="48"/>
      <c r="BO36" s="37"/>
      <c r="BP36" s="37"/>
    </row>
    <row r="37" spans="1:68" ht="15" x14ac:dyDescent="0.25">
      <c r="A37" s="80" t="s">
        <v>69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5"/>
      <c r="V37" s="33" t="s">
        <v>29</v>
      </c>
      <c r="W37" s="13">
        <f t="shared" ref="W37:AN37" si="63">((B$37/B$13)*$E$3)/330.5*(1/W$4*1000)/3</f>
        <v>0</v>
      </c>
      <c r="X37" s="13">
        <f t="shared" si="63"/>
        <v>0</v>
      </c>
      <c r="Y37" s="13">
        <f t="shared" si="63"/>
        <v>0</v>
      </c>
      <c r="Z37" s="13">
        <f t="shared" si="63"/>
        <v>0</v>
      </c>
      <c r="AA37" s="13">
        <f t="shared" si="63"/>
        <v>0</v>
      </c>
      <c r="AB37" s="13">
        <f t="shared" si="63"/>
        <v>0</v>
      </c>
      <c r="AC37" s="13">
        <f t="shared" si="63"/>
        <v>0</v>
      </c>
      <c r="AD37" s="13">
        <f t="shared" si="63"/>
        <v>0</v>
      </c>
      <c r="AE37" s="13">
        <f t="shared" si="63"/>
        <v>0</v>
      </c>
      <c r="AF37" s="13">
        <f t="shared" si="63"/>
        <v>0</v>
      </c>
      <c r="AG37" s="13">
        <f t="shared" si="63"/>
        <v>0</v>
      </c>
      <c r="AH37" s="13">
        <f t="shared" si="63"/>
        <v>0</v>
      </c>
      <c r="AI37" s="13">
        <f t="shared" si="63"/>
        <v>0</v>
      </c>
      <c r="AJ37" s="13">
        <f t="shared" si="63"/>
        <v>0</v>
      </c>
      <c r="AK37" s="13">
        <f t="shared" si="63"/>
        <v>0</v>
      </c>
      <c r="AL37" s="13">
        <f t="shared" si="63"/>
        <v>0</v>
      </c>
      <c r="AM37" s="13">
        <f t="shared" si="63"/>
        <v>0</v>
      </c>
      <c r="AN37" s="13">
        <f t="shared" si="63"/>
        <v>0</v>
      </c>
      <c r="AQ37" s="28">
        <v>0.92013888888888884</v>
      </c>
      <c r="AR37" s="30">
        <f t="shared" ref="AR37:BG38" si="64">W37*100/W$39</f>
        <v>0</v>
      </c>
      <c r="AS37" s="30">
        <f t="shared" si="64"/>
        <v>0</v>
      </c>
      <c r="AT37" s="30">
        <f t="shared" si="64"/>
        <v>0</v>
      </c>
      <c r="AU37" s="30">
        <f t="shared" si="64"/>
        <v>0</v>
      </c>
      <c r="AV37" s="30">
        <f t="shared" si="64"/>
        <v>0</v>
      </c>
      <c r="AW37" s="30">
        <f t="shared" si="64"/>
        <v>0</v>
      </c>
      <c r="AX37" s="30">
        <f t="shared" si="64"/>
        <v>0</v>
      </c>
      <c r="AY37" s="30">
        <f t="shared" si="64"/>
        <v>0</v>
      </c>
      <c r="AZ37" s="30">
        <f t="shared" si="64"/>
        <v>0</v>
      </c>
      <c r="BA37" s="30">
        <f t="shared" si="64"/>
        <v>0</v>
      </c>
      <c r="BB37" s="30">
        <f t="shared" si="64"/>
        <v>0</v>
      </c>
      <c r="BC37" s="30">
        <f t="shared" si="64"/>
        <v>0</v>
      </c>
      <c r="BD37" s="30">
        <f t="shared" si="64"/>
        <v>0</v>
      </c>
      <c r="BE37" s="30">
        <f t="shared" si="64"/>
        <v>0</v>
      </c>
      <c r="BF37" s="30">
        <f t="shared" si="64"/>
        <v>0</v>
      </c>
      <c r="BG37" s="30">
        <f t="shared" si="64"/>
        <v>0</v>
      </c>
      <c r="BH37" s="30">
        <f t="shared" ref="BH37:BH38" si="65">AM37*100/AM$39</f>
        <v>0</v>
      </c>
      <c r="BI37" s="30">
        <f t="shared" ref="BI37:BI38" si="66">AN37*100/AN$39</f>
        <v>0</v>
      </c>
      <c r="BJ37" s="30"/>
      <c r="BK37" s="48"/>
      <c r="BL37" s="48"/>
      <c r="BM37" s="48"/>
      <c r="BN37" s="48"/>
      <c r="BO37" s="37"/>
      <c r="BP37" s="37"/>
    </row>
    <row r="38" spans="1:68" ht="15" x14ac:dyDescent="0.25">
      <c r="A38" s="80" t="s">
        <v>70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5"/>
      <c r="V38" s="33" t="s">
        <v>30</v>
      </c>
      <c r="W38" s="13">
        <f t="shared" ref="W38:AN38" si="67">((B$38/B$13)*$E$3)/328.5*(1/W$4*1000)/3</f>
        <v>0</v>
      </c>
      <c r="X38" s="13">
        <f t="shared" si="67"/>
        <v>0</v>
      </c>
      <c r="Y38" s="13">
        <f t="shared" si="67"/>
        <v>0</v>
      </c>
      <c r="Z38" s="13">
        <f t="shared" si="67"/>
        <v>0</v>
      </c>
      <c r="AA38" s="13">
        <f t="shared" si="67"/>
        <v>0</v>
      </c>
      <c r="AB38" s="13">
        <f t="shared" si="67"/>
        <v>0</v>
      </c>
      <c r="AC38" s="13">
        <f t="shared" si="67"/>
        <v>0</v>
      </c>
      <c r="AD38" s="13">
        <f t="shared" si="67"/>
        <v>0</v>
      </c>
      <c r="AE38" s="13">
        <f t="shared" si="67"/>
        <v>0</v>
      </c>
      <c r="AF38" s="13">
        <f t="shared" si="67"/>
        <v>0</v>
      </c>
      <c r="AG38" s="13">
        <f t="shared" si="67"/>
        <v>0</v>
      </c>
      <c r="AH38" s="13">
        <f t="shared" si="67"/>
        <v>0</v>
      </c>
      <c r="AI38" s="13">
        <f t="shared" si="67"/>
        <v>0</v>
      </c>
      <c r="AJ38" s="13">
        <f t="shared" si="67"/>
        <v>0</v>
      </c>
      <c r="AK38" s="13">
        <f t="shared" si="67"/>
        <v>0</v>
      </c>
      <c r="AL38" s="13">
        <f t="shared" si="67"/>
        <v>0</v>
      </c>
      <c r="AM38" s="13">
        <f t="shared" si="67"/>
        <v>0</v>
      </c>
      <c r="AN38" s="13">
        <f t="shared" si="67"/>
        <v>0</v>
      </c>
      <c r="AQ38" s="28">
        <v>0.92083333333333339</v>
      </c>
      <c r="AR38" s="30">
        <f t="shared" si="64"/>
        <v>0</v>
      </c>
      <c r="AS38" s="30">
        <f t="shared" si="64"/>
        <v>0</v>
      </c>
      <c r="AT38" s="30">
        <f t="shared" si="64"/>
        <v>0</v>
      </c>
      <c r="AU38" s="30">
        <f t="shared" si="64"/>
        <v>0</v>
      </c>
      <c r="AV38" s="30">
        <f t="shared" si="64"/>
        <v>0</v>
      </c>
      <c r="AW38" s="30">
        <f t="shared" si="64"/>
        <v>0</v>
      </c>
      <c r="AX38" s="30">
        <f t="shared" si="64"/>
        <v>0</v>
      </c>
      <c r="AY38" s="30">
        <f t="shared" si="64"/>
        <v>0</v>
      </c>
      <c r="AZ38" s="30">
        <f t="shared" si="64"/>
        <v>0</v>
      </c>
      <c r="BA38" s="30">
        <f t="shared" si="64"/>
        <v>0</v>
      </c>
      <c r="BB38" s="30">
        <f t="shared" si="64"/>
        <v>0</v>
      </c>
      <c r="BC38" s="30">
        <f t="shared" si="64"/>
        <v>0</v>
      </c>
      <c r="BD38" s="30">
        <f t="shared" si="64"/>
        <v>0</v>
      </c>
      <c r="BE38" s="30">
        <f t="shared" si="64"/>
        <v>0</v>
      </c>
      <c r="BF38" s="30">
        <f t="shared" si="64"/>
        <v>0</v>
      </c>
      <c r="BG38" s="30">
        <f t="shared" si="64"/>
        <v>0</v>
      </c>
      <c r="BH38" s="30">
        <f t="shared" si="65"/>
        <v>0</v>
      </c>
      <c r="BI38" s="30">
        <f t="shared" si="66"/>
        <v>0</v>
      </c>
      <c r="BJ38" s="30"/>
      <c r="BK38" s="37"/>
      <c r="BL38" s="37"/>
      <c r="BM38" s="37"/>
      <c r="BN38" s="37"/>
      <c r="BO38" s="37"/>
      <c r="BP38" s="37"/>
    </row>
    <row r="39" spans="1:68" ht="18" x14ac:dyDescent="0.25">
      <c r="A39" s="35"/>
      <c r="B39" s="28"/>
      <c r="E39" s="26"/>
      <c r="F39" s="26"/>
      <c r="U39" s="28"/>
      <c r="V39" s="33" t="s">
        <v>31</v>
      </c>
      <c r="W39" s="34">
        <f t="shared" ref="W39:AL39" si="68">SUM(W6:W35,W37:W38)</f>
        <v>2520.3796416590108</v>
      </c>
      <c r="X39" s="34">
        <f t="shared" si="68"/>
        <v>3293.2479146821038</v>
      </c>
      <c r="Y39" s="34">
        <f t="shared" si="68"/>
        <v>4119.2163907828053</v>
      </c>
      <c r="Z39" s="34">
        <f t="shared" si="68"/>
        <v>1980.5110141349448</v>
      </c>
      <c r="AA39" s="34">
        <f t="shared" si="68"/>
        <v>3949.0171014280859</v>
      </c>
      <c r="AB39" s="34">
        <f t="shared" si="68"/>
        <v>4512.3645371392859</v>
      </c>
      <c r="AC39" s="34">
        <f t="shared" si="68"/>
        <v>2173.7947776876654</v>
      </c>
      <c r="AD39" s="34">
        <f t="shared" si="68"/>
        <v>4892.3634598249582</v>
      </c>
      <c r="AE39" s="34">
        <f t="shared" si="68"/>
        <v>4348.4313366578053</v>
      </c>
      <c r="AF39" s="34">
        <f>SUM(AF6:AF35,AF37:AF38)</f>
        <v>2293.0762768546006</v>
      </c>
      <c r="AG39" s="34">
        <f t="shared" si="68"/>
        <v>5077.1063520466687</v>
      </c>
      <c r="AH39" s="34">
        <f t="shared" si="68"/>
        <v>5347.9722361407794</v>
      </c>
      <c r="AI39" s="34">
        <f t="shared" si="68"/>
        <v>2679.5940380973766</v>
      </c>
      <c r="AJ39" s="34">
        <f t="shared" si="68"/>
        <v>5224.3657513093294</v>
      </c>
      <c r="AK39" s="34">
        <f t="shared" si="68"/>
        <v>4812.0135697617879</v>
      </c>
      <c r="AL39" s="34">
        <f t="shared" si="68"/>
        <v>2517.4037175139811</v>
      </c>
      <c r="AM39" s="34">
        <f t="shared" ref="AM39:AN39" si="69">SUM(AM6:AM35,AM37:AM38)</f>
        <v>5665.1607046701665</v>
      </c>
      <c r="AN39" s="34">
        <f t="shared" si="69"/>
        <v>5484.5085740714076</v>
      </c>
      <c r="AO39" s="34"/>
      <c r="AP39" s="34"/>
      <c r="AQ39" s="34"/>
      <c r="AR39" s="30"/>
      <c r="AS39" s="30"/>
      <c r="AT39" s="18"/>
      <c r="AU39" s="18"/>
      <c r="AV39" s="30"/>
      <c r="AW39" s="30"/>
      <c r="AX39" s="30"/>
      <c r="AY39" s="30"/>
      <c r="AZ39" s="30"/>
      <c r="BA39" s="18"/>
      <c r="BB39" s="19"/>
      <c r="BC39" s="19"/>
      <c r="BD39" s="34"/>
      <c r="BE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</row>
    <row r="40" spans="1:68" x14ac:dyDescent="0.2">
      <c r="A40" s="13" t="s">
        <v>32</v>
      </c>
      <c r="B40" s="38">
        <f>((B13/B36)*($E$4/$E$3))*100</f>
        <v>61.335338979379571</v>
      </c>
      <c r="C40" s="38" t="e">
        <f>((C13/C36)*($E$4/$E$3))*100</f>
        <v>#DIV/0!</v>
      </c>
      <c r="D40" s="38">
        <f t="shared" ref="D40:S40" si="70">((D13/D36)*($E$4/$E$3))*100</f>
        <v>69.960328740851182</v>
      </c>
      <c r="E40" s="38">
        <f t="shared" si="70"/>
        <v>65.341287988832747</v>
      </c>
      <c r="F40" s="38">
        <f>((F13/F36)*($E$4/$E$3))*100</f>
        <v>81.09144983401751</v>
      </c>
      <c r="G40" s="38">
        <f t="shared" si="70"/>
        <v>67.671119312949756</v>
      </c>
      <c r="H40" s="38">
        <f t="shared" si="70"/>
        <v>18.097920014770978</v>
      </c>
      <c r="I40" s="38">
        <f t="shared" si="70"/>
        <v>64.272543430150861</v>
      </c>
      <c r="J40" s="38">
        <f t="shared" si="70"/>
        <v>69.757042432327296</v>
      </c>
      <c r="K40" s="38">
        <f t="shared" si="70"/>
        <v>63.631560406779442</v>
      </c>
      <c r="L40" s="38">
        <f t="shared" si="70"/>
        <v>77.333150349977004</v>
      </c>
      <c r="M40" s="38">
        <f t="shared" si="70"/>
        <v>50.708871638263254</v>
      </c>
      <c r="N40" s="38">
        <f>((N13/N36)*($E$4/$E$3))*100</f>
        <v>70.874492835200641</v>
      </c>
      <c r="O40" s="38">
        <f t="shared" si="70"/>
        <v>80.026323952817521</v>
      </c>
      <c r="P40" s="38">
        <f t="shared" si="70"/>
        <v>61.862114466200765</v>
      </c>
      <c r="Q40" s="38">
        <f t="shared" si="70"/>
        <v>58.748885671605692</v>
      </c>
      <c r="R40" s="38">
        <f t="shared" si="70"/>
        <v>62.379313580274399</v>
      </c>
      <c r="S40" s="38">
        <f t="shared" si="70"/>
        <v>68.609984005899733</v>
      </c>
      <c r="T40" s="38"/>
      <c r="U40" s="44"/>
      <c r="V40" s="44"/>
      <c r="W40" s="34"/>
      <c r="X40" s="34"/>
      <c r="Y40" s="34"/>
      <c r="Z40" s="34"/>
      <c r="AA40" s="34"/>
      <c r="AB40" s="34"/>
      <c r="AC40" s="34"/>
      <c r="AD40" s="34"/>
      <c r="AE40" s="30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0">
        <f t="shared" ref="AR40:BG40" si="71">SUM(AR6:AR38)</f>
        <v>99.999999999999986</v>
      </c>
      <c r="AS40" s="30">
        <f t="shared" si="71"/>
        <v>100</v>
      </c>
      <c r="AT40" s="30">
        <f t="shared" si="71"/>
        <v>100</v>
      </c>
      <c r="AU40" s="30">
        <f t="shared" si="71"/>
        <v>100</v>
      </c>
      <c r="AV40" s="30">
        <f t="shared" si="71"/>
        <v>100</v>
      </c>
      <c r="AW40" s="30">
        <f t="shared" si="71"/>
        <v>100</v>
      </c>
      <c r="AX40" s="30">
        <f t="shared" si="71"/>
        <v>99.999999999999986</v>
      </c>
      <c r="AY40" s="30">
        <f t="shared" si="71"/>
        <v>100</v>
      </c>
      <c r="AZ40" s="30">
        <f t="shared" si="71"/>
        <v>100</v>
      </c>
      <c r="BA40" s="30">
        <f t="shared" si="71"/>
        <v>99.999999999999986</v>
      </c>
      <c r="BB40" s="30">
        <f t="shared" si="71"/>
        <v>100</v>
      </c>
      <c r="BC40" s="30">
        <f t="shared" si="71"/>
        <v>100.00000000000001</v>
      </c>
      <c r="BD40" s="30">
        <f t="shared" si="71"/>
        <v>99.999999999999986</v>
      </c>
      <c r="BE40" s="30">
        <f t="shared" si="71"/>
        <v>100</v>
      </c>
      <c r="BF40" s="30">
        <f t="shared" si="71"/>
        <v>100</v>
      </c>
      <c r="BG40" s="30">
        <f t="shared" si="71"/>
        <v>99.999999999999986</v>
      </c>
      <c r="BH40" s="30">
        <f t="shared" ref="BH40:BI40" si="72">SUM(BH6:BH38)</f>
        <v>100</v>
      </c>
      <c r="BI40" s="30">
        <f t="shared" si="72"/>
        <v>100</v>
      </c>
      <c r="BJ40" s="30"/>
    </row>
    <row r="41" spans="1:68" ht="15" x14ac:dyDescent="0.25">
      <c r="E41" s="45"/>
      <c r="F41" s="45"/>
      <c r="U41" s="28"/>
      <c r="V41" s="39"/>
      <c r="W41" s="17"/>
      <c r="X41" s="17"/>
      <c r="Y41" s="17"/>
      <c r="Z41" s="17"/>
      <c r="AA41" s="17"/>
      <c r="AB41" s="17"/>
      <c r="AC41" s="17"/>
      <c r="AE41" s="17"/>
      <c r="AR41" s="30"/>
      <c r="AS41" s="30"/>
      <c r="AT41" s="30"/>
      <c r="AU41" s="30"/>
      <c r="AV41" s="30"/>
      <c r="AW41" s="30"/>
      <c r="AX41" s="30"/>
      <c r="AY41" s="30"/>
      <c r="AZ41" s="30"/>
      <c r="BA41" s="18"/>
      <c r="BE41" s="37"/>
      <c r="BG41" s="37"/>
      <c r="BH41" s="37"/>
      <c r="BI41" s="37"/>
      <c r="BJ41" s="37"/>
    </row>
    <row r="42" spans="1:68" x14ac:dyDescent="0.2"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P42" s="37"/>
      <c r="AQ42" s="37"/>
      <c r="AR42" s="37"/>
      <c r="BF42" s="13"/>
    </row>
    <row r="43" spans="1:68" x14ac:dyDescent="0.2">
      <c r="W43" s="13">
        <v>2520.3796416590108</v>
      </c>
      <c r="X43" s="13">
        <v>3293.2479146821038</v>
      </c>
      <c r="Y43" s="13">
        <v>4119.2163907828053</v>
      </c>
      <c r="Z43" s="13">
        <v>1980.5110141349448</v>
      </c>
      <c r="AA43" s="13">
        <v>3949.0171014280859</v>
      </c>
      <c r="AB43" s="13">
        <v>4512.3645371392859</v>
      </c>
      <c r="AC43" s="13">
        <v>2173.7947776876654</v>
      </c>
      <c r="AD43" s="13">
        <v>4892.3634598249582</v>
      </c>
      <c r="AE43" s="13">
        <v>4348.4313366578053</v>
      </c>
      <c r="AF43" s="13">
        <v>2293.0762768546006</v>
      </c>
      <c r="AG43" s="13">
        <v>5077.1063520466687</v>
      </c>
      <c r="AH43" s="13">
        <v>5347.9722361407794</v>
      </c>
      <c r="AI43" s="13">
        <v>2679.5940380973766</v>
      </c>
      <c r="AJ43" s="13">
        <v>5224.3657513093294</v>
      </c>
      <c r="AK43" s="13">
        <v>4812.0135697617879</v>
      </c>
      <c r="AL43" s="13">
        <v>2517.4037175139811</v>
      </c>
      <c r="AM43" s="13">
        <v>5665.1607046701665</v>
      </c>
      <c r="AN43" s="13">
        <v>5484.5085740714076</v>
      </c>
      <c r="AR43" s="85">
        <v>19.107164182309425</v>
      </c>
      <c r="AS43" s="85">
        <v>19.227283742460404</v>
      </c>
      <c r="AT43" s="85">
        <v>31.870213689900861</v>
      </c>
      <c r="AU43" s="85">
        <v>16.96978113625309</v>
      </c>
      <c r="AV43" s="85">
        <v>20.031396145870961</v>
      </c>
      <c r="AW43" s="85">
        <v>30.644032139415089</v>
      </c>
      <c r="AX43" s="85">
        <v>20.348151201373756</v>
      </c>
      <c r="AY43" s="85">
        <v>19.412637848868819</v>
      </c>
      <c r="AZ43" s="85">
        <v>30.817450335710078</v>
      </c>
      <c r="BA43" s="85">
        <v>18.457803502646094</v>
      </c>
      <c r="BB43" s="85">
        <v>19.650998959010501</v>
      </c>
      <c r="BC43" s="85">
        <v>30.401111407936835</v>
      </c>
      <c r="BD43" s="85">
        <v>20.65318542241851</v>
      </c>
      <c r="BE43" s="85">
        <v>19.964824404157021</v>
      </c>
      <c r="BF43" s="85">
        <v>31.733253367894509</v>
      </c>
      <c r="BG43" s="85">
        <v>18.351299374033808</v>
      </c>
      <c r="BH43" s="85">
        <v>19.825769305955824</v>
      </c>
      <c r="BI43" s="85">
        <v>30.827234774056627</v>
      </c>
    </row>
    <row r="44" spans="1:68" x14ac:dyDescent="0.2">
      <c r="AR44" s="13">
        <v>0.82645777098500284</v>
      </c>
      <c r="AS44" s="13">
        <v>1.0501799278155373</v>
      </c>
      <c r="AT44" s="13">
        <v>1.0120701827361509</v>
      </c>
      <c r="AU44" s="13">
        <v>1.2750687648289889</v>
      </c>
      <c r="AV44" s="13">
        <v>0.68352177471265929</v>
      </c>
      <c r="AW44" s="13">
        <v>1.4749266668971193</v>
      </c>
      <c r="AX44" s="13">
        <v>2.0127271419928463</v>
      </c>
      <c r="AY44" s="13">
        <v>1.1898537184777984</v>
      </c>
      <c r="AZ44" s="13">
        <v>1.3093238145593571</v>
      </c>
      <c r="BA44" s="13">
        <v>1.6969061691610208</v>
      </c>
      <c r="BB44" s="13">
        <v>1.1869677579431668</v>
      </c>
      <c r="BC44" s="13">
        <v>1.5527847667047692</v>
      </c>
      <c r="BD44" s="13">
        <v>1.6799692151356214</v>
      </c>
      <c r="BE44" s="13">
        <v>0.71447028736674556</v>
      </c>
      <c r="BF44" s="37">
        <v>0</v>
      </c>
      <c r="BG44" s="13">
        <v>1.9546120158619824</v>
      </c>
      <c r="BH44" s="13">
        <v>0.26823520658496081</v>
      </c>
      <c r="BI44" s="13">
        <v>1.1879156362236185</v>
      </c>
    </row>
    <row r="45" spans="1:68" x14ac:dyDescent="0.2">
      <c r="AR45" s="13">
        <v>67.528303345026856</v>
      </c>
      <c r="AS45" s="13">
        <v>66.90901057291471</v>
      </c>
      <c r="AT45" s="13">
        <v>60.576799520919153</v>
      </c>
      <c r="AU45" s="13">
        <v>71.048995558317728</v>
      </c>
      <c r="AV45" s="13">
        <v>65.813364187087842</v>
      </c>
      <c r="AW45" s="13">
        <v>60.986842443002217</v>
      </c>
      <c r="AX45" s="13">
        <v>65.238587736608451</v>
      </c>
      <c r="AY45" s="13">
        <v>66.829050341982963</v>
      </c>
      <c r="AZ45" s="13">
        <v>60.992464052158809</v>
      </c>
      <c r="BA45" s="13">
        <v>68.869832939838886</v>
      </c>
      <c r="BB45" s="13">
        <v>66.48598113864908</v>
      </c>
      <c r="BC45" s="13">
        <v>61.988297782496161</v>
      </c>
      <c r="BD45" s="13">
        <v>67.558103408788028</v>
      </c>
      <c r="BE45" s="13">
        <v>67.163577964886713</v>
      </c>
      <c r="BF45" s="37">
        <v>61.673426902466076</v>
      </c>
      <c r="BG45" s="13">
        <v>68.822009610643974</v>
      </c>
      <c r="BH45" s="13">
        <v>67.329422055289598</v>
      </c>
      <c r="BI45" s="13">
        <v>61.725868199936578</v>
      </c>
    </row>
    <row r="46" spans="1:68" ht="15" x14ac:dyDescent="0.25">
      <c r="B46" s="72"/>
      <c r="C46" s="79"/>
      <c r="AR46" s="13">
        <v>10.453501326236932</v>
      </c>
      <c r="AS46" s="13">
        <v>10.41528408180627</v>
      </c>
      <c r="AT46" s="13">
        <v>4.7062528174141356</v>
      </c>
      <c r="AU46" s="13">
        <v>9.4012425274949223</v>
      </c>
      <c r="AV46" s="13">
        <v>11.116638918729</v>
      </c>
      <c r="AW46" s="13">
        <v>4.9003088470481977</v>
      </c>
      <c r="AX46" s="13">
        <v>8.3038579971056183</v>
      </c>
      <c r="AY46" s="13">
        <v>11.076526637359125</v>
      </c>
      <c r="AZ46" s="13">
        <v>5.007812125957475</v>
      </c>
      <c r="BA46" s="13">
        <v>9.3579726215858638</v>
      </c>
      <c r="BB46" s="13">
        <v>11.030425125920752</v>
      </c>
      <c r="BC46" s="13">
        <v>4.8919339781077307</v>
      </c>
      <c r="BD46" s="13">
        <v>8.6447514158730758</v>
      </c>
      <c r="BE46" s="13">
        <v>11.119612171600547</v>
      </c>
      <c r="BF46" s="37">
        <v>4.9384861785296392</v>
      </c>
      <c r="BG46" s="13">
        <v>9.7150973154691851</v>
      </c>
      <c r="BH46" s="13">
        <v>10.78149138004469</v>
      </c>
      <c r="BI46" s="13">
        <v>4.7097499336921871</v>
      </c>
    </row>
    <row r="47" spans="1:68" ht="15" x14ac:dyDescent="0.25">
      <c r="B47" s="72"/>
      <c r="C47" s="79"/>
    </row>
    <row r="48" spans="1:68" ht="15" x14ac:dyDescent="0.25">
      <c r="B48" s="72"/>
      <c r="C48" s="79"/>
    </row>
    <row r="49" spans="2:3" ht="15" x14ac:dyDescent="0.25">
      <c r="B49" s="72"/>
      <c r="C49" s="79"/>
    </row>
    <row r="50" spans="2:3" ht="15" x14ac:dyDescent="0.25">
      <c r="B50" s="72"/>
      <c r="C50" s="79"/>
    </row>
    <row r="51" spans="2:3" ht="15" x14ac:dyDescent="0.25">
      <c r="B51" s="72"/>
      <c r="C51" s="79"/>
    </row>
    <row r="52" spans="2:3" ht="15" x14ac:dyDescent="0.25">
      <c r="B52" s="73"/>
      <c r="C52" s="77"/>
    </row>
    <row r="53" spans="2:3" ht="15" x14ac:dyDescent="0.25">
      <c r="B53" s="72"/>
      <c r="C53" s="79"/>
    </row>
    <row r="54" spans="2:3" ht="15" x14ac:dyDescent="0.25">
      <c r="B54" s="72"/>
      <c r="C54" s="79"/>
    </row>
    <row r="55" spans="2:3" ht="15" x14ac:dyDescent="0.25">
      <c r="B55" s="72"/>
      <c r="C55" s="79"/>
    </row>
    <row r="56" spans="2:3" ht="15" x14ac:dyDescent="0.25">
      <c r="B56" s="72"/>
      <c r="C56" s="79"/>
    </row>
    <row r="57" spans="2:3" ht="15" x14ac:dyDescent="0.25">
      <c r="B57" s="72"/>
      <c r="C57" s="79"/>
    </row>
    <row r="58" spans="2:3" ht="15" x14ac:dyDescent="0.25">
      <c r="B58" s="74"/>
      <c r="C58" s="78"/>
    </row>
    <row r="59" spans="2:3" ht="15" x14ac:dyDescent="0.25">
      <c r="B59" s="72"/>
      <c r="C59" s="79"/>
    </row>
    <row r="60" spans="2:3" ht="15" x14ac:dyDescent="0.25">
      <c r="B60" s="72"/>
      <c r="C60" s="79"/>
    </row>
    <row r="61" spans="2:3" ht="15" x14ac:dyDescent="0.25">
      <c r="B61" s="75"/>
      <c r="C61" s="79"/>
    </row>
    <row r="62" spans="2:3" ht="15" x14ac:dyDescent="0.25">
      <c r="B62" s="72"/>
      <c r="C62" s="79"/>
    </row>
    <row r="63" spans="2:3" ht="15" x14ac:dyDescent="0.25">
      <c r="B63" s="76"/>
      <c r="C63" s="79"/>
    </row>
    <row r="64" spans="2:3" ht="15" x14ac:dyDescent="0.25">
      <c r="B64" s="72"/>
      <c r="C64" s="79"/>
    </row>
    <row r="65" spans="2:3" ht="15" x14ac:dyDescent="0.25">
      <c r="B65" s="73"/>
      <c r="C65" s="79"/>
    </row>
    <row r="66" spans="2:3" ht="15" x14ac:dyDescent="0.25">
      <c r="B66" s="73"/>
      <c r="C66" s="79"/>
    </row>
    <row r="67" spans="2:3" ht="15" x14ac:dyDescent="0.25">
      <c r="B67" s="72"/>
      <c r="C67" s="79"/>
    </row>
    <row r="68" spans="2:3" ht="15" x14ac:dyDescent="0.25">
      <c r="B68" s="72"/>
      <c r="C68" s="79"/>
    </row>
    <row r="69" spans="2:3" ht="15" x14ac:dyDescent="0.25">
      <c r="B69" s="72"/>
      <c r="C69" s="79"/>
    </row>
    <row r="70" spans="2:3" ht="15" x14ac:dyDescent="0.25">
      <c r="B70" s="73"/>
      <c r="C70" s="77"/>
    </row>
    <row r="71" spans="2:3" ht="15" x14ac:dyDescent="0.25">
      <c r="B71" s="72"/>
      <c r="C71" s="79"/>
    </row>
    <row r="72" spans="2:3" ht="15" x14ac:dyDescent="0.25">
      <c r="B72" s="72"/>
      <c r="C72" s="79"/>
    </row>
    <row r="73" spans="2:3" ht="15" x14ac:dyDescent="0.25">
      <c r="B73" s="72"/>
      <c r="C73" s="79"/>
    </row>
    <row r="74" spans="2:3" ht="15" x14ac:dyDescent="0.25">
      <c r="B74" s="72"/>
      <c r="C74" s="79"/>
    </row>
    <row r="75" spans="2:3" ht="15" x14ac:dyDescent="0.25">
      <c r="B75" s="72"/>
      <c r="C75" s="79"/>
    </row>
    <row r="76" spans="2:3" ht="15" x14ac:dyDescent="0.25">
      <c r="B76" s="72"/>
      <c r="C76" s="79"/>
    </row>
    <row r="77" spans="2:3" ht="15" x14ac:dyDescent="0.25">
      <c r="B77" s="72"/>
      <c r="C77" s="79"/>
    </row>
    <row r="78" spans="2:3" ht="15" x14ac:dyDescent="0.25">
      <c r="B78" s="72"/>
      <c r="C78" s="79"/>
    </row>
    <row r="79" spans="2:3" ht="15" x14ac:dyDescent="0.25">
      <c r="B79" s="72"/>
      <c r="C79" s="79"/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39" orientation="landscape" r:id="rId1"/>
  <headerFooter alignWithMargins="0"/>
  <colBreaks count="1" manualBreakCount="1">
    <brk id="5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"/>
  <sheetViews>
    <sheetView workbookViewId="0">
      <selection activeCell="I13" sqref="I13"/>
    </sheetView>
  </sheetViews>
  <sheetFormatPr defaultRowHeight="12.75" x14ac:dyDescent="0.2"/>
  <cols>
    <col min="1" max="1" width="17.42578125" bestFit="1" customWidth="1"/>
    <col min="6" max="6" width="11.42578125" customWidth="1"/>
    <col min="9" max="9" width="9.140625" style="5"/>
    <col min="10" max="10" width="14.5703125" style="5" customWidth="1"/>
    <col min="11" max="11" width="11.140625" style="5" customWidth="1"/>
    <col min="12" max="12" width="12.7109375" style="5" customWidth="1"/>
    <col min="13" max="13" width="9.140625" style="5"/>
    <col min="14" max="14" width="13.140625" style="5" customWidth="1"/>
    <col min="15" max="15" width="11.140625" style="5" customWidth="1"/>
  </cols>
  <sheetData>
    <row r="1" spans="1:15" x14ac:dyDescent="0.2">
      <c r="A1" s="1" t="s">
        <v>9</v>
      </c>
      <c r="B1" s="64">
        <v>0.66666666666666663</v>
      </c>
      <c r="C1" s="3"/>
      <c r="D1" s="2"/>
      <c r="I1" s="7"/>
      <c r="M1" s="7"/>
    </row>
    <row r="2" spans="1:15" ht="38.25" x14ac:dyDescent="0.2">
      <c r="A2" s="3" t="s">
        <v>0</v>
      </c>
      <c r="B2" s="3" t="s">
        <v>1</v>
      </c>
      <c r="C2" s="3">
        <v>270</v>
      </c>
      <c r="D2" s="3">
        <v>271</v>
      </c>
      <c r="E2" s="3" t="s">
        <v>2</v>
      </c>
      <c r="F2" s="4" t="s">
        <v>3</v>
      </c>
      <c r="H2" s="3" t="s">
        <v>4</v>
      </c>
      <c r="J2" s="10" t="s">
        <v>5</v>
      </c>
      <c r="K2" s="8"/>
      <c r="L2" s="10" t="s">
        <v>6</v>
      </c>
      <c r="N2" s="10" t="s">
        <v>7</v>
      </c>
      <c r="O2" s="8"/>
    </row>
    <row r="3" spans="1:15" s="5" customFormat="1" x14ac:dyDescent="0.2">
      <c r="A3" s="9"/>
      <c r="F3" s="8"/>
      <c r="J3" s="11"/>
      <c r="K3" s="8"/>
      <c r="L3" s="11"/>
      <c r="N3" s="11"/>
    </row>
    <row r="4" spans="1:15" x14ac:dyDescent="0.2">
      <c r="A4" s="58"/>
      <c r="B4" s="59" t="s">
        <v>41</v>
      </c>
      <c r="E4" s="5" t="e">
        <f>D4/C4</f>
        <v>#DIV/0!</v>
      </c>
      <c r="F4" t="e">
        <f>E4-$E$4</f>
        <v>#DIV/0!</v>
      </c>
      <c r="H4">
        <f>'GC data'!AR15</f>
        <v>19.107164182309425</v>
      </c>
      <c r="J4" s="54"/>
      <c r="L4" s="55">
        <f>(H4/100)*J4</f>
        <v>0</v>
      </c>
      <c r="N4" s="55" t="e">
        <f>L4*F4</f>
        <v>#DIV/0!</v>
      </c>
    </row>
    <row r="5" spans="1:15" x14ac:dyDescent="0.2">
      <c r="A5" s="58"/>
      <c r="B5" s="59"/>
      <c r="C5" s="59"/>
      <c r="E5" s="5"/>
      <c r="J5" s="54"/>
      <c r="L5" s="55"/>
      <c r="N5" s="55"/>
    </row>
    <row r="6" spans="1:15" x14ac:dyDescent="0.2">
      <c r="A6" s="58"/>
      <c r="B6">
        <v>1</v>
      </c>
      <c r="E6" s="5" t="e">
        <f t="shared" ref="E6:E23" si="0">D6/C6</f>
        <v>#DIV/0!</v>
      </c>
      <c r="F6" t="e">
        <f t="shared" ref="F6:F23" si="1">E6-$E$4</f>
        <v>#DIV/0!</v>
      </c>
      <c r="H6">
        <f>'GC data'!AS$15</f>
        <v>19.227283742460404</v>
      </c>
      <c r="J6" s="54"/>
      <c r="L6" s="55">
        <f t="shared" ref="L6:L11" si="2">(H6/100)*J6</f>
        <v>0</v>
      </c>
      <c r="N6" s="55" t="e">
        <f t="shared" ref="N6:N11" si="3">L6*F6</f>
        <v>#DIV/0!</v>
      </c>
    </row>
    <row r="7" spans="1:15" x14ac:dyDescent="0.2">
      <c r="A7" s="58"/>
      <c r="B7">
        <v>2</v>
      </c>
      <c r="E7" s="5" t="e">
        <f t="shared" si="0"/>
        <v>#DIV/0!</v>
      </c>
      <c r="F7" t="e">
        <f t="shared" si="1"/>
        <v>#DIV/0!</v>
      </c>
      <c r="H7">
        <f>'GC data'!AT$15</f>
        <v>31.870213689900861</v>
      </c>
      <c r="J7" s="54"/>
      <c r="L7" s="55">
        <f t="shared" si="2"/>
        <v>0</v>
      </c>
      <c r="N7" s="55" t="e">
        <f t="shared" si="3"/>
        <v>#DIV/0!</v>
      </c>
    </row>
    <row r="8" spans="1:15" x14ac:dyDescent="0.2">
      <c r="A8" s="58"/>
      <c r="B8" s="59">
        <v>3</v>
      </c>
      <c r="C8" s="59"/>
      <c r="E8" s="5" t="e">
        <f t="shared" si="0"/>
        <v>#DIV/0!</v>
      </c>
      <c r="F8" t="e">
        <f t="shared" si="1"/>
        <v>#DIV/0!</v>
      </c>
      <c r="H8">
        <f>'GC data'!AU$15</f>
        <v>16.96978113625309</v>
      </c>
      <c r="J8" s="54"/>
      <c r="L8" s="55">
        <f t="shared" si="2"/>
        <v>0</v>
      </c>
      <c r="N8" s="55" t="e">
        <f t="shared" si="3"/>
        <v>#DIV/0!</v>
      </c>
    </row>
    <row r="9" spans="1:15" x14ac:dyDescent="0.2">
      <c r="A9" s="58"/>
      <c r="B9">
        <v>4</v>
      </c>
      <c r="E9" s="5" t="e">
        <f t="shared" si="0"/>
        <v>#DIV/0!</v>
      </c>
      <c r="F9" t="e">
        <f t="shared" si="1"/>
        <v>#DIV/0!</v>
      </c>
      <c r="H9">
        <f>'GC data'!AV$15</f>
        <v>20.031396145870961</v>
      </c>
      <c r="J9" s="54"/>
      <c r="L9" s="55">
        <f t="shared" si="2"/>
        <v>0</v>
      </c>
      <c r="N9" s="55" t="e">
        <f t="shared" si="3"/>
        <v>#DIV/0!</v>
      </c>
    </row>
    <row r="10" spans="1:15" x14ac:dyDescent="0.2">
      <c r="A10" s="58"/>
      <c r="B10">
        <v>5</v>
      </c>
      <c r="E10" s="5" t="e">
        <f t="shared" si="0"/>
        <v>#DIV/0!</v>
      </c>
      <c r="F10" t="e">
        <f t="shared" si="1"/>
        <v>#DIV/0!</v>
      </c>
      <c r="H10">
        <f>'GC data'!AW$15</f>
        <v>30.644032139415089</v>
      </c>
      <c r="J10" s="54"/>
      <c r="L10" s="55">
        <f t="shared" si="2"/>
        <v>0</v>
      </c>
      <c r="N10" s="55" t="e">
        <f t="shared" si="3"/>
        <v>#DIV/0!</v>
      </c>
    </row>
    <row r="11" spans="1:15" x14ac:dyDescent="0.2">
      <c r="A11" s="58"/>
      <c r="B11">
        <v>6</v>
      </c>
      <c r="E11" s="5" t="e">
        <f t="shared" si="0"/>
        <v>#DIV/0!</v>
      </c>
      <c r="F11" t="e">
        <f t="shared" si="1"/>
        <v>#DIV/0!</v>
      </c>
      <c r="H11">
        <f>'GC data'!AX$15</f>
        <v>20.348151201373756</v>
      </c>
      <c r="J11" s="54"/>
      <c r="L11" s="55">
        <f t="shared" si="2"/>
        <v>0</v>
      </c>
      <c r="N11" s="55" t="e">
        <f t="shared" si="3"/>
        <v>#DIV/0!</v>
      </c>
    </row>
    <row r="12" spans="1:15" x14ac:dyDescent="0.2">
      <c r="A12" s="6"/>
      <c r="B12">
        <v>7</v>
      </c>
      <c r="E12" s="5" t="e">
        <f t="shared" si="0"/>
        <v>#DIV/0!</v>
      </c>
      <c r="F12" t="e">
        <f t="shared" si="1"/>
        <v>#DIV/0!</v>
      </c>
      <c r="H12">
        <f>'GC data'!AY$15</f>
        <v>19.412637848868819</v>
      </c>
      <c r="J12" s="54"/>
      <c r="L12" s="55"/>
    </row>
    <row r="13" spans="1:15" x14ac:dyDescent="0.2">
      <c r="A13" s="12"/>
      <c r="B13">
        <v>8</v>
      </c>
      <c r="E13" s="5" t="e">
        <f t="shared" si="0"/>
        <v>#DIV/0!</v>
      </c>
      <c r="F13" t="e">
        <f t="shared" si="1"/>
        <v>#DIV/0!</v>
      </c>
      <c r="H13">
        <f>'GC data'!AZ$15</f>
        <v>30.817450335710078</v>
      </c>
      <c r="L13" s="55"/>
    </row>
    <row r="14" spans="1:15" x14ac:dyDescent="0.2">
      <c r="A14" s="58"/>
      <c r="B14" s="59">
        <v>9</v>
      </c>
      <c r="C14" s="59"/>
      <c r="E14" s="5" t="e">
        <f t="shared" si="0"/>
        <v>#DIV/0!</v>
      </c>
      <c r="F14" t="e">
        <f t="shared" si="1"/>
        <v>#DIV/0!</v>
      </c>
      <c r="H14">
        <f>'GC data'!AY$15</f>
        <v>19.412637848868819</v>
      </c>
      <c r="J14" s="54"/>
      <c r="L14" s="55">
        <f t="shared" ref="L14:L23" si="4">(H14/100)*J14</f>
        <v>0</v>
      </c>
      <c r="N14" s="5" t="e">
        <f t="shared" ref="N14:N23" si="5">L14*F14</f>
        <v>#DIV/0!</v>
      </c>
    </row>
    <row r="15" spans="1:15" x14ac:dyDescent="0.2">
      <c r="A15" s="58"/>
      <c r="B15">
        <v>10</v>
      </c>
      <c r="E15" s="5" t="e">
        <f t="shared" si="0"/>
        <v>#DIV/0!</v>
      </c>
      <c r="F15" t="e">
        <f t="shared" si="1"/>
        <v>#DIV/0!</v>
      </c>
      <c r="H15">
        <f>'GC data'!AZ$15</f>
        <v>30.817450335710078</v>
      </c>
      <c r="J15" s="54"/>
      <c r="L15" s="55">
        <f t="shared" si="4"/>
        <v>0</v>
      </c>
      <c r="N15" s="5" t="e">
        <f t="shared" si="5"/>
        <v>#DIV/0!</v>
      </c>
    </row>
    <row r="16" spans="1:15" x14ac:dyDescent="0.2">
      <c r="A16" s="58"/>
      <c r="B16">
        <v>11</v>
      </c>
      <c r="E16" s="5" t="e">
        <f t="shared" si="0"/>
        <v>#DIV/0!</v>
      </c>
      <c r="F16" t="e">
        <f t="shared" si="1"/>
        <v>#DIV/0!</v>
      </c>
      <c r="H16">
        <f>'GC data'!BA$15</f>
        <v>18.457803502646094</v>
      </c>
      <c r="J16" s="54"/>
      <c r="L16" s="55">
        <f t="shared" si="4"/>
        <v>0</v>
      </c>
      <c r="N16" s="5" t="e">
        <f t="shared" si="5"/>
        <v>#DIV/0!</v>
      </c>
    </row>
    <row r="17" spans="1:14" x14ac:dyDescent="0.2">
      <c r="A17" s="58"/>
      <c r="B17" s="59">
        <v>12</v>
      </c>
      <c r="C17" s="59"/>
      <c r="E17" s="5" t="e">
        <f t="shared" si="0"/>
        <v>#DIV/0!</v>
      </c>
      <c r="F17" t="e">
        <f t="shared" si="1"/>
        <v>#DIV/0!</v>
      </c>
      <c r="H17">
        <f>'GC data'!BB$15</f>
        <v>19.650998959010501</v>
      </c>
      <c r="J17" s="54"/>
      <c r="L17" s="55">
        <f t="shared" si="4"/>
        <v>0</v>
      </c>
      <c r="N17" s="5" t="e">
        <f t="shared" si="5"/>
        <v>#DIV/0!</v>
      </c>
    </row>
    <row r="18" spans="1:14" x14ac:dyDescent="0.2">
      <c r="A18" s="58"/>
      <c r="B18">
        <v>13</v>
      </c>
      <c r="E18" s="5" t="e">
        <f t="shared" si="0"/>
        <v>#DIV/0!</v>
      </c>
      <c r="F18" t="e">
        <f t="shared" si="1"/>
        <v>#DIV/0!</v>
      </c>
      <c r="H18">
        <f>'GC data'!BC$15</f>
        <v>30.401111407936835</v>
      </c>
      <c r="J18" s="54"/>
      <c r="L18" s="55">
        <f t="shared" si="4"/>
        <v>0</v>
      </c>
      <c r="N18" s="5" t="e">
        <f t="shared" si="5"/>
        <v>#DIV/0!</v>
      </c>
    </row>
    <row r="19" spans="1:14" x14ac:dyDescent="0.2">
      <c r="A19" s="58"/>
      <c r="B19">
        <v>14</v>
      </c>
      <c r="E19" s="5" t="e">
        <f t="shared" si="0"/>
        <v>#DIV/0!</v>
      </c>
      <c r="F19" t="e">
        <f t="shared" si="1"/>
        <v>#DIV/0!</v>
      </c>
      <c r="H19">
        <f>'GC data'!BD$15</f>
        <v>20.65318542241851</v>
      </c>
      <c r="J19" s="54"/>
      <c r="L19" s="55">
        <f t="shared" si="4"/>
        <v>0</v>
      </c>
      <c r="N19" s="5" t="e">
        <f t="shared" si="5"/>
        <v>#DIV/0!</v>
      </c>
    </row>
    <row r="20" spans="1:14" x14ac:dyDescent="0.2">
      <c r="A20" s="58"/>
      <c r="B20" s="59">
        <v>15</v>
      </c>
      <c r="C20" s="59"/>
      <c r="E20" s="5" t="e">
        <f t="shared" si="0"/>
        <v>#DIV/0!</v>
      </c>
      <c r="F20" t="e">
        <f t="shared" si="1"/>
        <v>#DIV/0!</v>
      </c>
      <c r="H20">
        <f>'GC data'!BE$15</f>
        <v>19.964824404157021</v>
      </c>
      <c r="J20" s="54"/>
      <c r="L20" s="55">
        <f t="shared" si="4"/>
        <v>0</v>
      </c>
      <c r="N20" s="5" t="e">
        <f t="shared" si="5"/>
        <v>#DIV/0!</v>
      </c>
    </row>
    <row r="21" spans="1:14" x14ac:dyDescent="0.2">
      <c r="A21" s="58"/>
      <c r="B21">
        <v>16</v>
      </c>
      <c r="E21" s="5" t="e">
        <f t="shared" si="0"/>
        <v>#DIV/0!</v>
      </c>
      <c r="F21" t="e">
        <f t="shared" si="1"/>
        <v>#DIV/0!</v>
      </c>
      <c r="H21">
        <f>'GC data'!BF$15</f>
        <v>31.733253367894509</v>
      </c>
      <c r="J21" s="54"/>
      <c r="L21" s="55">
        <f t="shared" si="4"/>
        <v>0</v>
      </c>
      <c r="N21" s="5" t="e">
        <f t="shared" si="5"/>
        <v>#DIV/0!</v>
      </c>
    </row>
    <row r="22" spans="1:14" x14ac:dyDescent="0.2">
      <c r="A22" s="58"/>
      <c r="B22">
        <v>17</v>
      </c>
      <c r="E22" s="5" t="e">
        <f t="shared" si="0"/>
        <v>#DIV/0!</v>
      </c>
      <c r="F22" t="e">
        <f t="shared" si="1"/>
        <v>#DIV/0!</v>
      </c>
      <c r="H22">
        <f>'GC data'!BG$15</f>
        <v>18.351299374033808</v>
      </c>
      <c r="J22" s="54"/>
      <c r="L22" s="55">
        <f t="shared" si="4"/>
        <v>0</v>
      </c>
      <c r="N22" s="5" t="e">
        <f t="shared" si="5"/>
        <v>#DIV/0!</v>
      </c>
    </row>
    <row r="23" spans="1:14" x14ac:dyDescent="0.2">
      <c r="A23" s="58"/>
      <c r="B23">
        <v>18</v>
      </c>
      <c r="E23" s="5" t="e">
        <f t="shared" si="0"/>
        <v>#DIV/0!</v>
      </c>
      <c r="F23" t="e">
        <f t="shared" si="1"/>
        <v>#DIV/0!</v>
      </c>
      <c r="H23" t="e">
        <f>'GC data'!#REF!</f>
        <v>#REF!</v>
      </c>
      <c r="J23" s="54"/>
      <c r="L23" s="55" t="e">
        <f t="shared" si="4"/>
        <v>#REF!</v>
      </c>
      <c r="N23" s="5" t="e">
        <f t="shared" si="5"/>
        <v>#REF!</v>
      </c>
    </row>
    <row r="24" spans="1:14" x14ac:dyDescent="0.2">
      <c r="A24" s="58"/>
      <c r="E24" s="5"/>
      <c r="J24" s="54"/>
      <c r="L24" s="55"/>
    </row>
    <row r="25" spans="1:14" x14ac:dyDescent="0.2">
      <c r="A25" s="58"/>
      <c r="B25" s="5"/>
      <c r="C25" s="5"/>
      <c r="D25" s="59"/>
      <c r="E25" s="5"/>
      <c r="F25" s="5"/>
      <c r="G25" s="5"/>
      <c r="H25" s="5"/>
      <c r="J25" s="54"/>
      <c r="L25" s="55"/>
    </row>
    <row r="26" spans="1:14" x14ac:dyDescent="0.2">
      <c r="A26" s="6"/>
      <c r="B26" s="5"/>
      <c r="C26" s="5"/>
      <c r="D26" s="5"/>
      <c r="E26" s="5"/>
      <c r="F26" s="5"/>
      <c r="G26" s="5"/>
      <c r="H26" s="5"/>
    </row>
    <row r="27" spans="1:14" x14ac:dyDescent="0.2">
      <c r="A27" s="63">
        <v>0.66736111111111107</v>
      </c>
      <c r="B27" s="5"/>
      <c r="C27" s="5"/>
      <c r="D27" s="5"/>
      <c r="E27" s="5"/>
      <c r="F27" s="5"/>
      <c r="G27" s="5"/>
      <c r="H27" s="5"/>
    </row>
    <row r="28" spans="1:14" ht="38.25" x14ac:dyDescent="0.2">
      <c r="A28" s="3" t="s">
        <v>0</v>
      </c>
      <c r="B28" s="3" t="s">
        <v>1</v>
      </c>
      <c r="C28" s="3">
        <v>268</v>
      </c>
      <c r="D28" s="3">
        <v>269</v>
      </c>
      <c r="E28" s="3" t="s">
        <v>2</v>
      </c>
      <c r="F28" s="4" t="s">
        <v>3</v>
      </c>
      <c r="H28" s="3" t="s">
        <v>35</v>
      </c>
      <c r="J28" s="10" t="s">
        <v>5</v>
      </c>
      <c r="K28" s="8"/>
      <c r="L28" s="10" t="s">
        <v>36</v>
      </c>
      <c r="N28" s="10" t="s">
        <v>37</v>
      </c>
    </row>
    <row r="29" spans="1:14" x14ac:dyDescent="0.2">
      <c r="A29" s="9"/>
      <c r="B29" s="5"/>
      <c r="C29" s="5"/>
      <c r="D29" s="5"/>
      <c r="E29" s="5"/>
      <c r="F29" s="8"/>
      <c r="G29" s="5"/>
      <c r="H29" s="5"/>
      <c r="J29" s="11"/>
      <c r="K29" s="8"/>
      <c r="L29" s="11"/>
      <c r="N29" s="11"/>
    </row>
    <row r="30" spans="1:14" x14ac:dyDescent="0.2">
      <c r="A30" s="58"/>
      <c r="B30" s="59" t="s">
        <v>41</v>
      </c>
      <c r="E30" s="5">
        <f>((D30/1000)+1)*0.0112372*17/16</f>
        <v>1.1939524999999999E-2</v>
      </c>
      <c r="F30">
        <f t="shared" ref="F30:F37" si="6">E30-$E$30</f>
        <v>0</v>
      </c>
      <c r="H30" t="e">
        <f>'GC data'!#REF!</f>
        <v>#REF!</v>
      </c>
      <c r="J30" s="54">
        <f t="shared" ref="J30:J37" si="7">J4</f>
        <v>0</v>
      </c>
      <c r="L30" s="55" t="e">
        <f>(H30/100)*J30</f>
        <v>#REF!</v>
      </c>
      <c r="N30" s="55" t="e">
        <f>L30*F30</f>
        <v>#REF!</v>
      </c>
    </row>
    <row r="31" spans="1:14" x14ac:dyDescent="0.2">
      <c r="A31" s="58"/>
      <c r="B31" s="59"/>
      <c r="C31" s="59"/>
      <c r="E31" s="5">
        <f t="shared" ref="E31:E37" si="8">((D31/1000)+1)*0.0112372*17/16</f>
        <v>1.1939524999999999E-2</v>
      </c>
      <c r="F31">
        <f t="shared" si="6"/>
        <v>0</v>
      </c>
      <c r="H31">
        <f>'GC data'!AR$17</f>
        <v>0.74929477294540547</v>
      </c>
      <c r="J31" s="54">
        <f t="shared" si="7"/>
        <v>0</v>
      </c>
      <c r="L31" s="55">
        <f t="shared" ref="L31:L37" si="9">(H31/100)*J31</f>
        <v>0</v>
      </c>
      <c r="N31" s="55">
        <f t="shared" ref="N31:N37" si="10">L31*F31</f>
        <v>0</v>
      </c>
    </row>
    <row r="32" spans="1:14" x14ac:dyDescent="0.2">
      <c r="A32" s="58"/>
      <c r="B32">
        <v>1</v>
      </c>
      <c r="E32" s="5">
        <f t="shared" si="8"/>
        <v>1.1939524999999999E-2</v>
      </c>
      <c r="F32">
        <f t="shared" si="6"/>
        <v>0</v>
      </c>
      <c r="H32">
        <f>'GC data'!AS$17</f>
        <v>0.94573563223231416</v>
      </c>
      <c r="J32" s="54">
        <f t="shared" si="7"/>
        <v>0</v>
      </c>
      <c r="L32" s="55">
        <f t="shared" si="9"/>
        <v>0</v>
      </c>
      <c r="N32" s="55">
        <f t="shared" si="10"/>
        <v>0</v>
      </c>
    </row>
    <row r="33" spans="1:14" x14ac:dyDescent="0.2">
      <c r="A33" s="58"/>
      <c r="B33">
        <v>2</v>
      </c>
      <c r="E33" s="5">
        <f t="shared" si="8"/>
        <v>1.1939524999999999E-2</v>
      </c>
      <c r="F33">
        <f t="shared" si="6"/>
        <v>0</v>
      </c>
      <c r="H33">
        <f>'GC data'!AT$17</f>
        <v>1.1753645061821028</v>
      </c>
      <c r="J33" s="54">
        <f t="shared" si="7"/>
        <v>0</v>
      </c>
      <c r="L33" s="55">
        <f t="shared" si="9"/>
        <v>0</v>
      </c>
      <c r="N33" s="55">
        <f t="shared" si="10"/>
        <v>0</v>
      </c>
    </row>
    <row r="34" spans="1:14" x14ac:dyDescent="0.2">
      <c r="A34" s="58"/>
      <c r="B34" s="59">
        <v>3</v>
      </c>
      <c r="C34" s="59"/>
      <c r="E34" s="5">
        <f t="shared" si="8"/>
        <v>1.1939524999999999E-2</v>
      </c>
      <c r="F34">
        <f t="shared" si="6"/>
        <v>0</v>
      </c>
      <c r="H34">
        <f>'GC data'!AU$17</f>
        <v>1.3049120131052692</v>
      </c>
      <c r="J34" s="54">
        <f t="shared" si="7"/>
        <v>0</v>
      </c>
      <c r="L34" s="55">
        <f t="shared" si="9"/>
        <v>0</v>
      </c>
      <c r="N34" s="55">
        <f t="shared" si="10"/>
        <v>0</v>
      </c>
    </row>
    <row r="35" spans="1:14" x14ac:dyDescent="0.2">
      <c r="A35" s="58"/>
      <c r="B35">
        <v>4</v>
      </c>
      <c r="E35" s="5">
        <f t="shared" si="8"/>
        <v>1.1939524999999999E-2</v>
      </c>
      <c r="F35">
        <f t="shared" si="6"/>
        <v>0</v>
      </c>
      <c r="H35">
        <f>'GC data'!AV$17</f>
        <v>1.053837033905868</v>
      </c>
      <c r="J35" s="54">
        <f t="shared" si="7"/>
        <v>0</v>
      </c>
      <c r="L35" s="55">
        <f t="shared" si="9"/>
        <v>0</v>
      </c>
      <c r="N35" s="55">
        <f t="shared" si="10"/>
        <v>0</v>
      </c>
    </row>
    <row r="36" spans="1:14" x14ac:dyDescent="0.2">
      <c r="A36" s="58"/>
      <c r="B36">
        <v>5</v>
      </c>
      <c r="E36" s="5">
        <f t="shared" si="8"/>
        <v>1.1939524999999999E-2</v>
      </c>
      <c r="F36">
        <f t="shared" si="6"/>
        <v>0</v>
      </c>
      <c r="H36">
        <f>'GC data'!AW$17</f>
        <v>1.2096818554795277</v>
      </c>
      <c r="J36" s="54">
        <f t="shared" si="7"/>
        <v>0</v>
      </c>
      <c r="L36" s="55">
        <f t="shared" si="9"/>
        <v>0</v>
      </c>
      <c r="N36" s="55">
        <f t="shared" si="10"/>
        <v>0</v>
      </c>
    </row>
    <row r="37" spans="1:14" x14ac:dyDescent="0.2">
      <c r="A37" s="58"/>
      <c r="B37">
        <v>6</v>
      </c>
      <c r="E37" s="5">
        <f t="shared" si="8"/>
        <v>1.1939524999999999E-2</v>
      </c>
      <c r="F37">
        <f t="shared" si="6"/>
        <v>0</v>
      </c>
      <c r="H37">
        <f>'GC data'!AX$17</f>
        <v>0.81040944271805671</v>
      </c>
      <c r="J37" s="54">
        <f t="shared" si="7"/>
        <v>0</v>
      </c>
      <c r="L37" s="55">
        <f t="shared" si="9"/>
        <v>0</v>
      </c>
      <c r="N37" s="55">
        <f t="shared" si="10"/>
        <v>0</v>
      </c>
    </row>
    <row r="38" spans="1:14" x14ac:dyDescent="0.2">
      <c r="A38" s="58"/>
      <c r="B38">
        <v>7</v>
      </c>
      <c r="E38" s="5"/>
      <c r="J38" s="54"/>
      <c r="L38" s="55"/>
    </row>
    <row r="39" spans="1:14" x14ac:dyDescent="0.2">
      <c r="A39" s="58"/>
      <c r="B39">
        <v>8</v>
      </c>
      <c r="E39" s="5"/>
      <c r="J39" s="54"/>
      <c r="L39" s="55"/>
    </row>
    <row r="40" spans="1:14" x14ac:dyDescent="0.2">
      <c r="A40" s="58"/>
      <c r="B40" s="59">
        <v>9</v>
      </c>
      <c r="C40" s="59"/>
      <c r="E40" s="5">
        <f t="shared" ref="E40:E49" si="11">((D40/1000)+1)*0.0112372*17/16</f>
        <v>1.1939524999999999E-2</v>
      </c>
      <c r="F40">
        <f t="shared" ref="F40:F49" si="12">E40-$E$40</f>
        <v>0</v>
      </c>
      <c r="H40">
        <f>'GC data'!AY$17</f>
        <v>1.0464592762988343</v>
      </c>
      <c r="J40" s="54">
        <f t="shared" ref="J40:J49" si="13">J14</f>
        <v>0</v>
      </c>
      <c r="L40" s="55">
        <f t="shared" ref="L40:L49" si="14">(H40/100)*J40</f>
        <v>0</v>
      </c>
      <c r="N40" s="5">
        <f t="shared" ref="N40:N49" si="15">L40*F40</f>
        <v>0</v>
      </c>
    </row>
    <row r="41" spans="1:14" x14ac:dyDescent="0.2">
      <c r="A41" s="58"/>
      <c r="B41">
        <v>10</v>
      </c>
      <c r="E41" s="5">
        <f t="shared" si="11"/>
        <v>1.1939524999999999E-2</v>
      </c>
      <c r="F41">
        <f t="shared" si="12"/>
        <v>0</v>
      </c>
      <c r="H41">
        <f>'GC data'!AZ$17</f>
        <v>1.2340692571978784</v>
      </c>
      <c r="J41" s="54">
        <f t="shared" si="13"/>
        <v>0</v>
      </c>
      <c r="L41" s="55">
        <f t="shared" si="14"/>
        <v>0</v>
      </c>
      <c r="N41" s="5">
        <f t="shared" si="15"/>
        <v>0</v>
      </c>
    </row>
    <row r="42" spans="1:14" x14ac:dyDescent="0.2">
      <c r="A42" s="6"/>
      <c r="B42">
        <v>11</v>
      </c>
      <c r="E42" s="5">
        <f t="shared" si="11"/>
        <v>1.1939524999999999E-2</v>
      </c>
      <c r="F42">
        <f t="shared" si="12"/>
        <v>0</v>
      </c>
      <c r="H42">
        <f>'GC data'!BA$17</f>
        <v>1.0061243118564276</v>
      </c>
      <c r="J42" s="54">
        <f t="shared" si="13"/>
        <v>0</v>
      </c>
      <c r="L42" s="55">
        <f t="shared" si="14"/>
        <v>0</v>
      </c>
      <c r="N42" s="5">
        <f t="shared" si="15"/>
        <v>0</v>
      </c>
    </row>
    <row r="43" spans="1:14" s="5" customFormat="1" ht="12" customHeight="1" x14ac:dyDescent="0.2">
      <c r="A43" s="12"/>
      <c r="B43" s="59">
        <v>12</v>
      </c>
      <c r="C43" s="59"/>
      <c r="D43"/>
      <c r="E43" s="5">
        <f t="shared" si="11"/>
        <v>1.1939524999999999E-2</v>
      </c>
      <c r="F43">
        <f t="shared" si="12"/>
        <v>0</v>
      </c>
      <c r="G43"/>
      <c r="H43">
        <f>'GC data'!BB$17</f>
        <v>0.5080804673990752</v>
      </c>
      <c r="J43" s="54">
        <f t="shared" si="13"/>
        <v>0</v>
      </c>
      <c r="L43" s="55">
        <f t="shared" si="14"/>
        <v>0</v>
      </c>
      <c r="N43" s="5">
        <f t="shared" si="15"/>
        <v>0</v>
      </c>
    </row>
    <row r="44" spans="1:14" s="5" customFormat="1" x14ac:dyDescent="0.2">
      <c r="A44" s="58"/>
      <c r="B44">
        <v>13</v>
      </c>
      <c r="C44"/>
      <c r="D44"/>
      <c r="E44" s="5">
        <f t="shared" si="11"/>
        <v>1.1939524999999999E-2</v>
      </c>
      <c r="F44">
        <f t="shared" si="12"/>
        <v>0</v>
      </c>
      <c r="G44"/>
      <c r="H44">
        <f>'GC data'!BC$17</f>
        <v>1.1658720647545138</v>
      </c>
      <c r="J44" s="54">
        <f t="shared" si="13"/>
        <v>0</v>
      </c>
      <c r="L44" s="55">
        <f t="shared" si="14"/>
        <v>0</v>
      </c>
      <c r="N44" s="5">
        <f t="shared" si="15"/>
        <v>0</v>
      </c>
    </row>
    <row r="45" spans="1:14" s="5" customFormat="1" x14ac:dyDescent="0.2">
      <c r="A45" s="58"/>
      <c r="B45">
        <v>14</v>
      </c>
      <c r="C45"/>
      <c r="D45"/>
      <c r="E45" s="5">
        <f t="shared" si="11"/>
        <v>1.1939524999999999E-2</v>
      </c>
      <c r="F45">
        <f t="shared" si="12"/>
        <v>0</v>
      </c>
      <c r="G45"/>
      <c r="H45">
        <f>'GC data'!BD$17</f>
        <v>0.95008830792369137</v>
      </c>
      <c r="J45" s="54">
        <f t="shared" si="13"/>
        <v>0</v>
      </c>
      <c r="L45" s="55">
        <f t="shared" si="14"/>
        <v>0</v>
      </c>
      <c r="N45" s="5">
        <f t="shared" si="15"/>
        <v>0</v>
      </c>
    </row>
    <row r="46" spans="1:14" s="5" customFormat="1" x14ac:dyDescent="0.2">
      <c r="A46" s="58"/>
      <c r="B46" s="59">
        <v>15</v>
      </c>
      <c r="C46" s="59"/>
      <c r="D46"/>
      <c r="E46" s="5">
        <f t="shared" si="11"/>
        <v>1.1939524999999999E-2</v>
      </c>
      <c r="F46">
        <f t="shared" si="12"/>
        <v>0</v>
      </c>
      <c r="G46"/>
      <c r="H46">
        <f>'GC data'!BE$17</f>
        <v>0.69653665071223736</v>
      </c>
      <c r="J46" s="54">
        <f t="shared" si="13"/>
        <v>0</v>
      </c>
      <c r="L46" s="55">
        <f t="shared" si="14"/>
        <v>0</v>
      </c>
      <c r="N46" s="5">
        <f t="shared" si="15"/>
        <v>0</v>
      </c>
    </row>
    <row r="47" spans="1:14" s="5" customFormat="1" x14ac:dyDescent="0.2">
      <c r="A47" s="58"/>
      <c r="B47">
        <v>16</v>
      </c>
      <c r="C47"/>
      <c r="D47"/>
      <c r="E47" s="5">
        <f t="shared" si="11"/>
        <v>1.1939524999999999E-2</v>
      </c>
      <c r="F47">
        <f t="shared" si="12"/>
        <v>0</v>
      </c>
      <c r="G47"/>
      <c r="H47">
        <f>'GC data'!BF$17</f>
        <v>1.0576744041859969</v>
      </c>
      <c r="J47" s="54">
        <f t="shared" si="13"/>
        <v>0</v>
      </c>
      <c r="L47" s="55">
        <f t="shared" si="14"/>
        <v>0</v>
      </c>
      <c r="N47" s="5">
        <f t="shared" si="15"/>
        <v>0</v>
      </c>
    </row>
    <row r="48" spans="1:14" s="5" customFormat="1" x14ac:dyDescent="0.2">
      <c r="A48" s="58"/>
      <c r="B48">
        <v>17</v>
      </c>
      <c r="C48"/>
      <c r="D48"/>
      <c r="E48" s="5">
        <f t="shared" si="11"/>
        <v>1.1939524999999999E-2</v>
      </c>
      <c r="F48">
        <f t="shared" si="12"/>
        <v>0</v>
      </c>
      <c r="G48"/>
      <c r="H48">
        <f>'GC data'!BG$17</f>
        <v>0.88355592619145185</v>
      </c>
      <c r="J48" s="54">
        <f t="shared" si="13"/>
        <v>0</v>
      </c>
      <c r="L48" s="55">
        <f t="shared" si="14"/>
        <v>0</v>
      </c>
      <c r="N48" s="5">
        <f t="shared" si="15"/>
        <v>0</v>
      </c>
    </row>
    <row r="49" spans="1:14" s="5" customFormat="1" x14ac:dyDescent="0.2">
      <c r="A49" s="58"/>
      <c r="B49">
        <v>18</v>
      </c>
      <c r="C49"/>
      <c r="D49"/>
      <c r="E49" s="5">
        <f t="shared" si="11"/>
        <v>1.1939524999999999E-2</v>
      </c>
      <c r="F49">
        <f t="shared" si="12"/>
        <v>0</v>
      </c>
      <c r="G49"/>
      <c r="H49" t="e">
        <f>'GC data'!#REF!</f>
        <v>#REF!</v>
      </c>
      <c r="J49" s="54">
        <f t="shared" si="13"/>
        <v>0</v>
      </c>
      <c r="L49" s="55" t="e">
        <f t="shared" si="14"/>
        <v>#REF!</v>
      </c>
      <c r="N49" s="5" t="e">
        <f t="shared" si="15"/>
        <v>#REF!</v>
      </c>
    </row>
    <row r="50" spans="1:14" s="5" customFormat="1" x14ac:dyDescent="0.2">
      <c r="A50" s="58"/>
      <c r="B50"/>
      <c r="C50"/>
    </row>
    <row r="51" spans="1:14" s="5" customFormat="1" x14ac:dyDescent="0.2">
      <c r="A51" s="58"/>
    </row>
    <row r="52" spans="1:14" s="5" customFormat="1" x14ac:dyDescent="0.2">
      <c r="A52" s="58"/>
      <c r="B52"/>
      <c r="C52"/>
      <c r="D52"/>
      <c r="F52"/>
      <c r="G52"/>
      <c r="H52"/>
      <c r="J52" s="54"/>
      <c r="L52" s="55"/>
    </row>
    <row r="53" spans="1:14" s="5" customFormat="1" x14ac:dyDescent="0.2">
      <c r="A53" s="58"/>
      <c r="B53"/>
      <c r="C53"/>
      <c r="D53"/>
      <c r="E53"/>
      <c r="F53"/>
      <c r="G53"/>
      <c r="H53"/>
    </row>
    <row r="54" spans="1:14" s="5" customFormat="1" ht="38.25" x14ac:dyDescent="0.2">
      <c r="A54" s="3" t="s">
        <v>0</v>
      </c>
      <c r="B54" s="3" t="s">
        <v>1</v>
      </c>
      <c r="C54" s="3">
        <v>270</v>
      </c>
      <c r="D54" s="3">
        <v>271</v>
      </c>
      <c r="E54" s="3" t="s">
        <v>2</v>
      </c>
      <c r="F54" s="4" t="s">
        <v>3</v>
      </c>
      <c r="G54"/>
      <c r="H54" s="60" t="s">
        <v>39</v>
      </c>
      <c r="J54" s="10" t="s">
        <v>5</v>
      </c>
      <c r="K54" s="8"/>
      <c r="L54" s="10" t="s">
        <v>38</v>
      </c>
      <c r="N54" s="10" t="s">
        <v>40</v>
      </c>
    </row>
    <row r="55" spans="1:14" s="5" customFormat="1" x14ac:dyDescent="0.2">
      <c r="A55" s="9"/>
      <c r="F55" s="8"/>
      <c r="J55" s="11"/>
      <c r="K55" s="8"/>
      <c r="L55" s="11"/>
      <c r="N55" s="11"/>
    </row>
    <row r="56" spans="1:14" s="5" customFormat="1" x14ac:dyDescent="0.2">
      <c r="A56" s="58"/>
      <c r="B56" s="59" t="s">
        <v>41</v>
      </c>
      <c r="C56"/>
      <c r="D56"/>
      <c r="E56" s="5">
        <f>((D56/1000)+1)*0.0112372*17/16</f>
        <v>1.1939524999999999E-2</v>
      </c>
      <c r="F56" t="e">
        <f t="shared" ref="F56:F63" si="16">E56-$E$4</f>
        <v>#DIV/0!</v>
      </c>
      <c r="G56"/>
      <c r="H56" t="e">
        <f>'GC data'!#REF!</f>
        <v>#REF!</v>
      </c>
      <c r="J56" s="54">
        <f>J4</f>
        <v>0</v>
      </c>
      <c r="L56" s="55" t="e">
        <f>(H56/100)*J56</f>
        <v>#REF!</v>
      </c>
      <c r="N56" s="55" t="e">
        <f>L56*F56</f>
        <v>#REF!</v>
      </c>
    </row>
    <row r="57" spans="1:14" s="5" customFormat="1" x14ac:dyDescent="0.2">
      <c r="A57" s="58"/>
      <c r="B57" s="59"/>
      <c r="C57" s="59"/>
      <c r="D57"/>
      <c r="E57" s="5">
        <f t="shared" ref="E57:E63" si="17">((D57/1000)+1)*0.0112372*17/16</f>
        <v>1.1939524999999999E-2</v>
      </c>
      <c r="F57" t="e">
        <f t="shared" si="16"/>
        <v>#DIV/0!</v>
      </c>
      <c r="G57"/>
      <c r="H57">
        <f>'GC data'!AR$23</f>
        <v>10.453501326236932</v>
      </c>
      <c r="J57" s="54">
        <f t="shared" ref="J57:J75" si="18">J5</f>
        <v>0</v>
      </c>
      <c r="L57" s="55">
        <f t="shared" ref="L57:L63" si="19">(H57/100)*J57</f>
        <v>0</v>
      </c>
      <c r="N57" s="55" t="e">
        <f t="shared" ref="N57:N63" si="20">L57*F57</f>
        <v>#DIV/0!</v>
      </c>
    </row>
    <row r="58" spans="1:14" s="5" customFormat="1" x14ac:dyDescent="0.2">
      <c r="A58" s="58"/>
      <c r="B58">
        <v>1</v>
      </c>
      <c r="C58"/>
      <c r="D58"/>
      <c r="E58" s="5">
        <f t="shared" si="17"/>
        <v>1.1939524999999999E-2</v>
      </c>
      <c r="F58" t="e">
        <f t="shared" si="16"/>
        <v>#DIV/0!</v>
      </c>
      <c r="G58"/>
      <c r="H58">
        <f>'GC data'!AS$23</f>
        <v>10.41528408180627</v>
      </c>
      <c r="J58" s="54">
        <f t="shared" si="18"/>
        <v>0</v>
      </c>
      <c r="L58" s="55">
        <f t="shared" si="19"/>
        <v>0</v>
      </c>
      <c r="N58" s="55" t="e">
        <f t="shared" si="20"/>
        <v>#DIV/0!</v>
      </c>
    </row>
    <row r="59" spans="1:14" s="5" customFormat="1" x14ac:dyDescent="0.2">
      <c r="A59" s="58"/>
      <c r="B59">
        <v>2</v>
      </c>
      <c r="C59"/>
      <c r="D59"/>
      <c r="E59" s="5">
        <f t="shared" si="17"/>
        <v>1.1939524999999999E-2</v>
      </c>
      <c r="F59" t="e">
        <f t="shared" si="16"/>
        <v>#DIV/0!</v>
      </c>
      <c r="G59"/>
      <c r="H59">
        <f>'GC data'!AT$23</f>
        <v>4.7062528174141356</v>
      </c>
      <c r="J59" s="54">
        <f t="shared" si="18"/>
        <v>0</v>
      </c>
      <c r="L59" s="55">
        <f t="shared" si="19"/>
        <v>0</v>
      </c>
      <c r="N59" s="55" t="e">
        <f t="shared" si="20"/>
        <v>#DIV/0!</v>
      </c>
    </row>
    <row r="60" spans="1:14" s="5" customFormat="1" x14ac:dyDescent="0.2">
      <c r="A60" s="58"/>
      <c r="B60" s="59">
        <v>3</v>
      </c>
      <c r="C60" s="59"/>
      <c r="D60"/>
      <c r="E60" s="5">
        <f t="shared" si="17"/>
        <v>1.1939524999999999E-2</v>
      </c>
      <c r="F60" t="e">
        <f t="shared" si="16"/>
        <v>#DIV/0!</v>
      </c>
      <c r="G60"/>
      <c r="H60">
        <f>'GC data'!AU$23</f>
        <v>9.4012425274949223</v>
      </c>
      <c r="J60" s="54">
        <f t="shared" si="18"/>
        <v>0</v>
      </c>
      <c r="L60" s="55">
        <f t="shared" si="19"/>
        <v>0</v>
      </c>
      <c r="N60" s="55" t="e">
        <f t="shared" si="20"/>
        <v>#DIV/0!</v>
      </c>
    </row>
    <row r="61" spans="1:14" s="5" customFormat="1" x14ac:dyDescent="0.2">
      <c r="A61" s="58"/>
      <c r="B61">
        <v>4</v>
      </c>
      <c r="C61"/>
      <c r="D61"/>
      <c r="E61" s="5">
        <f t="shared" si="17"/>
        <v>1.1939524999999999E-2</v>
      </c>
      <c r="F61" t="e">
        <f t="shared" si="16"/>
        <v>#DIV/0!</v>
      </c>
      <c r="G61"/>
      <c r="H61">
        <f>'GC data'!AV$23</f>
        <v>11.116638918729</v>
      </c>
      <c r="J61" s="54">
        <f t="shared" si="18"/>
        <v>0</v>
      </c>
      <c r="L61" s="55">
        <f t="shared" si="19"/>
        <v>0</v>
      </c>
      <c r="N61" s="55" t="e">
        <f t="shared" si="20"/>
        <v>#DIV/0!</v>
      </c>
    </row>
    <row r="62" spans="1:14" s="5" customFormat="1" x14ac:dyDescent="0.2">
      <c r="A62" s="58"/>
      <c r="B62">
        <v>5</v>
      </c>
      <c r="C62"/>
      <c r="D62"/>
      <c r="E62" s="5">
        <f t="shared" si="17"/>
        <v>1.1939524999999999E-2</v>
      </c>
      <c r="F62" t="e">
        <f t="shared" si="16"/>
        <v>#DIV/0!</v>
      </c>
      <c r="G62"/>
      <c r="H62">
        <f>'GC data'!AW$23</f>
        <v>4.9003088470481977</v>
      </c>
      <c r="J62" s="54">
        <f t="shared" si="18"/>
        <v>0</v>
      </c>
      <c r="L62" s="55">
        <f t="shared" si="19"/>
        <v>0</v>
      </c>
      <c r="N62" s="55" t="e">
        <f t="shared" si="20"/>
        <v>#DIV/0!</v>
      </c>
    </row>
    <row r="63" spans="1:14" s="5" customFormat="1" x14ac:dyDescent="0.2">
      <c r="A63" s="58"/>
      <c r="B63">
        <v>6</v>
      </c>
      <c r="C63"/>
      <c r="D63"/>
      <c r="E63" s="5">
        <f t="shared" si="17"/>
        <v>1.1939524999999999E-2</v>
      </c>
      <c r="F63" t="e">
        <f t="shared" si="16"/>
        <v>#DIV/0!</v>
      </c>
      <c r="G63"/>
      <c r="H63">
        <f>'GC data'!AX$23</f>
        <v>8.3038579971056183</v>
      </c>
      <c r="J63" s="54">
        <f t="shared" si="18"/>
        <v>0</v>
      </c>
      <c r="L63" s="55">
        <f t="shared" si="19"/>
        <v>0</v>
      </c>
      <c r="N63" s="55" t="e">
        <f t="shared" si="20"/>
        <v>#DIV/0!</v>
      </c>
    </row>
    <row r="64" spans="1:14" s="5" customFormat="1" x14ac:dyDescent="0.2">
      <c r="A64" s="6"/>
      <c r="B64">
        <v>7</v>
      </c>
      <c r="C64"/>
      <c r="D64"/>
      <c r="F64"/>
      <c r="G64"/>
      <c r="H64"/>
      <c r="J64" s="54"/>
      <c r="L64" s="55"/>
    </row>
    <row r="65" spans="1:14" s="5" customFormat="1" x14ac:dyDescent="0.2">
      <c r="A65" s="12"/>
      <c r="B65">
        <v>8</v>
      </c>
      <c r="C65"/>
      <c r="D65"/>
      <c r="F65"/>
      <c r="G65"/>
      <c r="H65"/>
      <c r="J65" s="54"/>
      <c r="L65" s="55"/>
    </row>
    <row r="66" spans="1:14" s="5" customFormat="1" x14ac:dyDescent="0.2">
      <c r="A66" s="58"/>
      <c r="B66" s="59">
        <v>9</v>
      </c>
      <c r="C66" s="59"/>
      <c r="D66"/>
      <c r="E66" s="5">
        <f t="shared" ref="E66:E75" si="21">((D66/1000)+1)*0.0112372*17/16</f>
        <v>1.1939524999999999E-2</v>
      </c>
      <c r="F66" t="e">
        <f t="shared" ref="F66:F75" si="22">E66-$E$14</f>
        <v>#DIV/0!</v>
      </c>
      <c r="G66"/>
      <c r="H66">
        <f>'GC data'!AY$23</f>
        <v>11.076526637359125</v>
      </c>
      <c r="J66" s="54">
        <f t="shared" si="18"/>
        <v>0</v>
      </c>
      <c r="L66" s="55">
        <f t="shared" ref="L66:L75" si="23">(H66/100)*J66</f>
        <v>0</v>
      </c>
      <c r="N66" s="5" t="e">
        <f t="shared" ref="N66:N75" si="24">L66*F66</f>
        <v>#DIV/0!</v>
      </c>
    </row>
    <row r="67" spans="1:14" s="5" customFormat="1" x14ac:dyDescent="0.2">
      <c r="A67" s="58"/>
      <c r="B67">
        <v>10</v>
      </c>
      <c r="C67"/>
      <c r="D67"/>
      <c r="E67" s="5">
        <f t="shared" si="21"/>
        <v>1.1939524999999999E-2</v>
      </c>
      <c r="F67" t="e">
        <f t="shared" si="22"/>
        <v>#DIV/0!</v>
      </c>
      <c r="G67"/>
      <c r="H67">
        <f>'GC data'!AZ$23</f>
        <v>5.007812125957475</v>
      </c>
      <c r="J67" s="54">
        <f t="shared" si="18"/>
        <v>0</v>
      </c>
      <c r="L67" s="55">
        <f t="shared" si="23"/>
        <v>0</v>
      </c>
      <c r="N67" s="5" t="e">
        <f t="shared" si="24"/>
        <v>#DIV/0!</v>
      </c>
    </row>
    <row r="68" spans="1:14" s="5" customFormat="1" x14ac:dyDescent="0.2">
      <c r="A68" s="58"/>
      <c r="B68">
        <v>11</v>
      </c>
      <c r="C68"/>
      <c r="D68"/>
      <c r="E68" s="5">
        <f t="shared" si="21"/>
        <v>1.1939524999999999E-2</v>
      </c>
      <c r="F68" t="e">
        <f t="shared" si="22"/>
        <v>#DIV/0!</v>
      </c>
      <c r="G68"/>
      <c r="H68">
        <f>'GC data'!BA$23</f>
        <v>9.3579726215858638</v>
      </c>
      <c r="J68" s="54">
        <f t="shared" si="18"/>
        <v>0</v>
      </c>
      <c r="L68" s="55">
        <f t="shared" si="23"/>
        <v>0</v>
      </c>
      <c r="N68" s="5" t="e">
        <f t="shared" si="24"/>
        <v>#DIV/0!</v>
      </c>
    </row>
    <row r="69" spans="1:14" s="5" customFormat="1" x14ac:dyDescent="0.2">
      <c r="A69" s="58"/>
      <c r="B69" s="59">
        <v>12</v>
      </c>
      <c r="C69" s="59"/>
      <c r="D69"/>
      <c r="E69" s="5">
        <f t="shared" si="21"/>
        <v>1.1939524999999999E-2</v>
      </c>
      <c r="F69" t="e">
        <f t="shared" si="22"/>
        <v>#DIV/0!</v>
      </c>
      <c r="G69"/>
      <c r="H69">
        <f>'GC data'!BB$23</f>
        <v>11.030425125920752</v>
      </c>
      <c r="J69" s="54">
        <f t="shared" si="18"/>
        <v>0</v>
      </c>
      <c r="L69" s="55">
        <f t="shared" si="23"/>
        <v>0</v>
      </c>
      <c r="N69" s="5" t="e">
        <f t="shared" si="24"/>
        <v>#DIV/0!</v>
      </c>
    </row>
    <row r="70" spans="1:14" s="5" customFormat="1" x14ac:dyDescent="0.2">
      <c r="A70" s="58"/>
      <c r="B70">
        <v>13</v>
      </c>
      <c r="C70"/>
      <c r="D70"/>
      <c r="E70" s="5">
        <f t="shared" si="21"/>
        <v>1.1939524999999999E-2</v>
      </c>
      <c r="F70" t="e">
        <f t="shared" si="22"/>
        <v>#DIV/0!</v>
      </c>
      <c r="G70"/>
      <c r="H70">
        <f>'GC data'!BC$23</f>
        <v>4.8919339781077307</v>
      </c>
      <c r="J70" s="54">
        <f t="shared" si="18"/>
        <v>0</v>
      </c>
      <c r="L70" s="55">
        <f t="shared" si="23"/>
        <v>0</v>
      </c>
      <c r="N70" s="5" t="e">
        <f t="shared" si="24"/>
        <v>#DIV/0!</v>
      </c>
    </row>
    <row r="71" spans="1:14" s="5" customFormat="1" x14ac:dyDescent="0.2">
      <c r="A71" s="58"/>
      <c r="B71">
        <v>14</v>
      </c>
      <c r="C71"/>
      <c r="D71"/>
      <c r="E71" s="5">
        <f t="shared" si="21"/>
        <v>1.1939524999999999E-2</v>
      </c>
      <c r="F71" t="e">
        <f t="shared" si="22"/>
        <v>#DIV/0!</v>
      </c>
      <c r="G71"/>
      <c r="H71">
        <f>'GC data'!BD$23</f>
        <v>8.6447514158730758</v>
      </c>
      <c r="J71" s="54">
        <f t="shared" si="18"/>
        <v>0</v>
      </c>
      <c r="L71" s="55">
        <f t="shared" si="23"/>
        <v>0</v>
      </c>
      <c r="N71" s="5" t="e">
        <f t="shared" si="24"/>
        <v>#DIV/0!</v>
      </c>
    </row>
    <row r="72" spans="1:14" s="5" customFormat="1" x14ac:dyDescent="0.2">
      <c r="A72" s="58"/>
      <c r="B72" s="59">
        <v>15</v>
      </c>
      <c r="C72" s="59"/>
      <c r="D72"/>
      <c r="E72" s="5">
        <f t="shared" si="21"/>
        <v>1.1939524999999999E-2</v>
      </c>
      <c r="F72" t="e">
        <f t="shared" si="22"/>
        <v>#DIV/0!</v>
      </c>
      <c r="G72"/>
      <c r="H72">
        <f>'GC data'!BE$23</f>
        <v>11.119612171600547</v>
      </c>
      <c r="J72" s="54">
        <f t="shared" si="18"/>
        <v>0</v>
      </c>
      <c r="L72" s="55">
        <f t="shared" si="23"/>
        <v>0</v>
      </c>
      <c r="N72" s="5" t="e">
        <f t="shared" si="24"/>
        <v>#DIV/0!</v>
      </c>
    </row>
    <row r="73" spans="1:14" s="5" customFormat="1" x14ac:dyDescent="0.2">
      <c r="A73" s="58"/>
      <c r="B73">
        <v>16</v>
      </c>
      <c r="C73"/>
      <c r="D73"/>
      <c r="E73" s="5">
        <f t="shared" si="21"/>
        <v>1.1939524999999999E-2</v>
      </c>
      <c r="F73" t="e">
        <f t="shared" si="22"/>
        <v>#DIV/0!</v>
      </c>
      <c r="G73"/>
      <c r="H73">
        <f>'GC data'!BF$23</f>
        <v>4.9384861785296392</v>
      </c>
      <c r="J73" s="54">
        <f t="shared" si="18"/>
        <v>0</v>
      </c>
      <c r="L73" s="55">
        <f t="shared" si="23"/>
        <v>0</v>
      </c>
      <c r="N73" s="5" t="e">
        <f t="shared" si="24"/>
        <v>#DIV/0!</v>
      </c>
    </row>
    <row r="74" spans="1:14" s="5" customFormat="1" x14ac:dyDescent="0.2">
      <c r="A74" s="58"/>
      <c r="B74">
        <v>17</v>
      </c>
      <c r="C74"/>
      <c r="D74"/>
      <c r="E74" s="5">
        <f t="shared" si="21"/>
        <v>1.1939524999999999E-2</v>
      </c>
      <c r="F74" t="e">
        <f t="shared" si="22"/>
        <v>#DIV/0!</v>
      </c>
      <c r="G74"/>
      <c r="H74">
        <f>'GC data'!BG$23</f>
        <v>9.7150973154691851</v>
      </c>
      <c r="J74" s="54">
        <f t="shared" si="18"/>
        <v>0</v>
      </c>
      <c r="L74" s="55">
        <f t="shared" si="23"/>
        <v>0</v>
      </c>
      <c r="N74" s="5" t="e">
        <f t="shared" si="24"/>
        <v>#DIV/0!</v>
      </c>
    </row>
    <row r="75" spans="1:14" s="5" customFormat="1" x14ac:dyDescent="0.2">
      <c r="A75" s="58"/>
      <c r="B75">
        <v>18</v>
      </c>
      <c r="C75"/>
      <c r="D75"/>
      <c r="E75" s="5">
        <f t="shared" si="21"/>
        <v>1.1939524999999999E-2</v>
      </c>
      <c r="F75" t="e">
        <f t="shared" si="22"/>
        <v>#DIV/0!</v>
      </c>
      <c r="G75"/>
      <c r="H75" t="e">
        <f>'GC data'!#REF!</f>
        <v>#REF!</v>
      </c>
      <c r="J75" s="54">
        <f t="shared" si="18"/>
        <v>0</v>
      </c>
      <c r="L75" s="55" t="e">
        <f t="shared" si="23"/>
        <v>#REF!</v>
      </c>
      <c r="N75" s="5" t="e">
        <f t="shared" si="24"/>
        <v>#REF!</v>
      </c>
    </row>
    <row r="76" spans="1:14" s="5" customFormat="1" x14ac:dyDescent="0.2">
      <c r="A76"/>
      <c r="B76"/>
      <c r="C76"/>
      <c r="D76"/>
      <c r="E76"/>
      <c r="F76"/>
      <c r="G76"/>
      <c r="H76"/>
      <c r="J76" s="54"/>
    </row>
    <row r="77" spans="1:14" s="5" customFormat="1" x14ac:dyDescent="0.2">
      <c r="A77"/>
      <c r="B77"/>
      <c r="C77"/>
      <c r="D77"/>
      <c r="E77"/>
      <c r="F77"/>
      <c r="G77"/>
      <c r="H77"/>
    </row>
  </sheetData>
  <protectedRanges>
    <protectedRange sqref="A14:A18 A30:A34 A44:A48 A4:A8 A66:A70 A56:A60" name="Range2_1"/>
    <protectedRange sqref="A49:A53 A19:A25 A35:A41 A9:A11 A71:A75 A61:A63" name="Range2_1_17"/>
  </protectedRange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 data</vt:lpstr>
      <vt:lpstr>TTRs 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lhodson</dc:creator>
  <cp:lastModifiedBy>Felix Westcott</cp:lastModifiedBy>
  <cp:lastPrinted>2018-12-07T14:07:54Z</cp:lastPrinted>
  <dcterms:created xsi:type="dcterms:W3CDTF">2010-01-02T13:53:33Z</dcterms:created>
  <dcterms:modified xsi:type="dcterms:W3CDTF">2022-07-29T13:41:47Z</dcterms:modified>
</cp:coreProperties>
</file>