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1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1420" yWindow="520" windowWidth="24880" windowHeight="15540" tabRatio="500" activeTab="1"/>
  </bookViews>
  <sheets>
    <sheet name="Sheet1" sheetId="14" r:id="rId1"/>
    <sheet name="Germany_ESS" sheetId="3" r:id="rId2"/>
    <sheet name="Germany_ESS_staking" sheetId="10" r:id="rId3"/>
    <sheet name="Germany_ESS_multitasking" sheetId="4" r:id="rId4"/>
    <sheet name="PJM_ESS_New" sheetId="11" r:id="rId5"/>
    <sheet name="PJM_ESS" sheetId="6" r:id="rId6"/>
    <sheet name="NSW_ESS_new" sheetId="12" r:id="rId7"/>
    <sheet name="NSW_ESS" sheetId="7" r:id="rId8"/>
    <sheet name="Germany_EV" sheetId="5" r:id="rId9"/>
    <sheet name="Germany_EV_new" sheetId="13" r:id="rId10"/>
    <sheet name="PJM_EV" sheetId="8" r:id="rId11"/>
    <sheet name="NSW_EV" sheetId="9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B26" i="3"/>
  <c r="B5" i="14"/>
  <c r="B30" i="10"/>
  <c r="J29" i="10"/>
  <c r="H29" i="10"/>
  <c r="J35" i="3"/>
  <c r="H35" i="3"/>
  <c r="F35" i="3"/>
  <c r="D35" i="3"/>
  <c r="B35" i="3"/>
  <c r="H13" i="11"/>
  <c r="H9" i="11"/>
  <c r="H11" i="11"/>
  <c r="R4" i="11"/>
  <c r="S4" i="11"/>
  <c r="T4" i="11"/>
  <c r="U4" i="11"/>
  <c r="V4" i="11"/>
  <c r="N4" i="11"/>
  <c r="O4" i="11"/>
  <c r="P4" i="11"/>
  <c r="Q4" i="11"/>
  <c r="M4" i="11"/>
  <c r="L3" i="11"/>
  <c r="G13" i="13"/>
  <c r="E7" i="8"/>
  <c r="E8" i="8"/>
  <c r="E9" i="8"/>
  <c r="E11" i="8"/>
  <c r="E12" i="8"/>
  <c r="E13" i="8"/>
  <c r="E15" i="8"/>
  <c r="E16" i="8"/>
  <c r="E17" i="8"/>
  <c r="E17" i="13"/>
  <c r="D17" i="13"/>
  <c r="C17" i="13"/>
  <c r="B17" i="13"/>
  <c r="E16" i="13"/>
  <c r="D16" i="13"/>
  <c r="C16" i="13"/>
  <c r="B16" i="13"/>
  <c r="E15" i="13"/>
  <c r="D15" i="13"/>
  <c r="C15" i="13"/>
  <c r="B15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9" i="13"/>
  <c r="D9" i="13"/>
  <c r="C9" i="13"/>
  <c r="B9" i="13"/>
  <c r="E8" i="13"/>
  <c r="D8" i="13"/>
  <c r="C8" i="13"/>
  <c r="B8" i="13"/>
  <c r="E7" i="13"/>
  <c r="D7" i="13"/>
  <c r="C7" i="13"/>
  <c r="B7" i="13"/>
  <c r="D17" i="8"/>
  <c r="C17" i="8"/>
  <c r="B17" i="8"/>
  <c r="D13" i="8"/>
  <c r="C13" i="8"/>
  <c r="B13" i="8"/>
  <c r="D9" i="8"/>
  <c r="B9" i="8"/>
  <c r="C9" i="8"/>
  <c r="D16" i="8"/>
  <c r="C16" i="8"/>
  <c r="B16" i="8"/>
  <c r="D12" i="8"/>
  <c r="C12" i="8"/>
  <c r="B12" i="8"/>
  <c r="D8" i="8"/>
  <c r="B8" i="8"/>
  <c r="C8" i="8"/>
  <c r="E29" i="9"/>
  <c r="E31" i="9"/>
  <c r="E25" i="9"/>
  <c r="E26" i="9"/>
  <c r="E27" i="9"/>
  <c r="E22" i="9"/>
  <c r="E23" i="9"/>
  <c r="E21" i="9"/>
  <c r="B17" i="9"/>
  <c r="B13" i="9"/>
  <c r="B9" i="9"/>
  <c r="B16" i="9"/>
  <c r="B15" i="9"/>
  <c r="B12" i="9"/>
  <c r="B11" i="9"/>
  <c r="B8" i="9"/>
  <c r="B7" i="9"/>
  <c r="D15" i="8"/>
  <c r="C15" i="8"/>
  <c r="B15" i="8"/>
  <c r="D11" i="8"/>
  <c r="C11" i="8"/>
  <c r="B11" i="8"/>
  <c r="C7" i="8"/>
  <c r="D7" i="8"/>
  <c r="B7" i="8"/>
  <c r="E17" i="5"/>
  <c r="D17" i="5"/>
  <c r="C17" i="5"/>
  <c r="B17" i="5"/>
  <c r="E16" i="5"/>
  <c r="D16" i="5"/>
  <c r="C16" i="5"/>
  <c r="B16" i="5"/>
  <c r="E15" i="5"/>
  <c r="D15" i="5"/>
  <c r="C15" i="5"/>
  <c r="B15" i="5"/>
  <c r="E13" i="5"/>
  <c r="D13" i="5"/>
  <c r="C13" i="5"/>
  <c r="B13" i="5"/>
  <c r="E12" i="5"/>
  <c r="D12" i="5"/>
  <c r="C12" i="5"/>
  <c r="B12" i="5"/>
  <c r="E11" i="5"/>
  <c r="D11" i="5"/>
  <c r="C11" i="5"/>
  <c r="B11" i="5"/>
  <c r="C8" i="5"/>
  <c r="D8" i="5"/>
  <c r="E8" i="5"/>
  <c r="B8" i="5"/>
  <c r="C9" i="5"/>
  <c r="D9" i="5"/>
  <c r="E9" i="5"/>
  <c r="B9" i="5"/>
  <c r="C7" i="5"/>
  <c r="D7" i="5"/>
  <c r="E7" i="5"/>
  <c r="B7" i="5"/>
  <c r="B21" i="12"/>
  <c r="B20" i="12"/>
  <c r="B19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J34" i="12"/>
  <c r="H34" i="12"/>
  <c r="F34" i="12"/>
  <c r="D34" i="12"/>
  <c r="B34" i="12"/>
  <c r="J32" i="12"/>
  <c r="K33" i="12"/>
  <c r="J33" i="12"/>
  <c r="H32" i="12"/>
  <c r="I33" i="12"/>
  <c r="H33" i="12"/>
  <c r="F32" i="12"/>
  <c r="G33" i="12"/>
  <c r="F33" i="12"/>
  <c r="D32" i="12"/>
  <c r="E33" i="12"/>
  <c r="D33" i="12"/>
  <c r="B32" i="12"/>
  <c r="C33" i="12"/>
  <c r="B33" i="12"/>
  <c r="J30" i="12"/>
  <c r="J31" i="12"/>
  <c r="K31" i="12"/>
  <c r="H30" i="12"/>
  <c r="H31" i="12"/>
  <c r="I31" i="12"/>
  <c r="F30" i="12"/>
  <c r="F31" i="12"/>
  <c r="G31" i="12"/>
  <c r="D30" i="12"/>
  <c r="D31" i="12"/>
  <c r="E31" i="12"/>
  <c r="B30" i="12"/>
  <c r="B31" i="12"/>
  <c r="C31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G27" i="11"/>
  <c r="G26" i="11"/>
  <c r="G25" i="11"/>
  <c r="D43" i="11"/>
  <c r="D41" i="11"/>
  <c r="D42" i="11"/>
  <c r="D40" i="11"/>
  <c r="C43" i="11"/>
  <c r="C42" i="11"/>
  <c r="C41" i="11"/>
  <c r="C40" i="11"/>
  <c r="M33" i="11"/>
  <c r="L33" i="11"/>
  <c r="L31" i="11"/>
  <c r="M31" i="11"/>
  <c r="L34" i="11"/>
  <c r="L32" i="11"/>
  <c r="L30" i="11"/>
  <c r="B43" i="11"/>
  <c r="B42" i="11"/>
  <c r="B41" i="11"/>
  <c r="B40" i="11"/>
  <c r="J34" i="11"/>
  <c r="H34" i="11"/>
  <c r="F34" i="11"/>
  <c r="D34" i="11"/>
  <c r="B34" i="11"/>
  <c r="J32" i="11"/>
  <c r="K33" i="11"/>
  <c r="J33" i="11"/>
  <c r="H32" i="11"/>
  <c r="I33" i="11"/>
  <c r="H33" i="11"/>
  <c r="F32" i="11"/>
  <c r="G33" i="11"/>
  <c r="F33" i="11"/>
  <c r="D32" i="11"/>
  <c r="E33" i="11"/>
  <c r="D33" i="11"/>
  <c r="B32" i="11"/>
  <c r="C33" i="11"/>
  <c r="B33" i="11"/>
  <c r="J30" i="11"/>
  <c r="J31" i="11"/>
  <c r="K31" i="11"/>
  <c r="H30" i="11"/>
  <c r="H31" i="11"/>
  <c r="I31" i="11"/>
  <c r="F30" i="11"/>
  <c r="F31" i="11"/>
  <c r="G31" i="11"/>
  <c r="D30" i="11"/>
  <c r="D31" i="11"/>
  <c r="E31" i="11"/>
  <c r="B30" i="11"/>
  <c r="B31" i="11"/>
  <c r="C31" i="11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D43" i="10"/>
  <c r="C43" i="10"/>
  <c r="B43" i="10"/>
  <c r="D42" i="10"/>
  <c r="C42" i="10"/>
  <c r="B42" i="10"/>
  <c r="D41" i="10"/>
  <c r="C41" i="10"/>
  <c r="B41" i="10"/>
  <c r="D40" i="10"/>
  <c r="C40" i="10"/>
  <c r="B40" i="10"/>
  <c r="J34" i="10"/>
  <c r="H34" i="10"/>
  <c r="F34" i="10"/>
  <c r="D34" i="10"/>
  <c r="B34" i="10"/>
  <c r="J32" i="10"/>
  <c r="K33" i="10"/>
  <c r="J33" i="10"/>
  <c r="H32" i="10"/>
  <c r="I33" i="10"/>
  <c r="H33" i="10"/>
  <c r="F32" i="10"/>
  <c r="G33" i="10"/>
  <c r="F33" i="10"/>
  <c r="D32" i="10"/>
  <c r="E33" i="10"/>
  <c r="D33" i="10"/>
  <c r="B32" i="10"/>
  <c r="C33" i="10"/>
  <c r="B33" i="10"/>
  <c r="J30" i="10"/>
  <c r="J31" i="10"/>
  <c r="K31" i="10"/>
  <c r="H30" i="10"/>
  <c r="H31" i="10"/>
  <c r="I31" i="10"/>
  <c r="F30" i="10"/>
  <c r="F31" i="10"/>
  <c r="G31" i="10"/>
  <c r="D30" i="10"/>
  <c r="D31" i="10"/>
  <c r="E31" i="10"/>
  <c r="B31" i="10"/>
  <c r="C31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B43" i="3"/>
  <c r="B42" i="3"/>
  <c r="D43" i="3"/>
  <c r="J31" i="3"/>
  <c r="D31" i="3"/>
  <c r="K33" i="3"/>
  <c r="J33" i="3"/>
  <c r="I33" i="3"/>
  <c r="H33" i="3"/>
  <c r="G33" i="3"/>
  <c r="F33" i="3"/>
  <c r="E33" i="3"/>
  <c r="D33" i="3"/>
  <c r="C33" i="3"/>
  <c r="B33" i="3"/>
  <c r="B31" i="3"/>
  <c r="H31" i="3"/>
  <c r="F31" i="3"/>
  <c r="K31" i="3"/>
  <c r="I31" i="3"/>
  <c r="G31" i="3"/>
  <c r="E31" i="3"/>
  <c r="C31" i="3"/>
  <c r="B32" i="3"/>
  <c r="D32" i="3"/>
  <c r="F32" i="3"/>
  <c r="H32" i="3"/>
  <c r="J32" i="3"/>
  <c r="B34" i="3"/>
  <c r="D34" i="3"/>
  <c r="F34" i="3"/>
  <c r="H34" i="3"/>
  <c r="J34" i="3"/>
  <c r="D30" i="3"/>
  <c r="F30" i="3"/>
  <c r="H30" i="3"/>
  <c r="J30" i="3"/>
  <c r="B30" i="3"/>
  <c r="D41" i="3"/>
  <c r="D42" i="3"/>
  <c r="D40" i="3"/>
  <c r="C43" i="3"/>
  <c r="C41" i="3"/>
  <c r="C42" i="3"/>
  <c r="C40" i="3"/>
  <c r="B41" i="3"/>
  <c r="B40" i="3"/>
  <c r="B27" i="3"/>
  <c r="C27" i="3"/>
  <c r="D27" i="3"/>
  <c r="E27" i="3"/>
  <c r="F27" i="3"/>
  <c r="C25" i="3"/>
  <c r="D25" i="3"/>
  <c r="E25" i="3"/>
  <c r="F25" i="3"/>
  <c r="B25" i="3"/>
  <c r="B10" i="9"/>
  <c r="B14" i="9"/>
  <c r="B18" i="9"/>
</calcChain>
</file>

<file path=xl/sharedStrings.xml><?xml version="1.0" encoding="utf-8"?>
<sst xmlns="http://schemas.openxmlformats.org/spreadsheetml/2006/main" count="262" uniqueCount="41">
  <si>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</si>
  <si>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</si>
  <si>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</si>
  <si>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</si>
  <si>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</si>
  <si>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</si>
  <si>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</si>
  <si>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</si>
  <si>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</si>
  <si>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</si>
  <si>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</si>
  <si>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</si>
  <si>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</si>
  <si>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</si>
  <si>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</si>
  <si>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</si>
  <si>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</si>
  <si>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</si>
  <si>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</si>
  <si>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</si>
  <si>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Revenue</t>
  </si>
  <si>
    <t>Implicit charging cost</t>
  </si>
  <si>
    <t>Proft</t>
  </si>
  <si>
    <t>kW/MW</t>
  </si>
  <si>
    <t>USD/(a-MW consumption)</t>
  </si>
  <si>
    <t>USD/(a-kW ESS)</t>
  </si>
  <si>
    <t>Operating Profit</t>
  </si>
  <si>
    <t>Proit</t>
  </si>
  <si>
    <t>Operating Cost</t>
  </si>
  <si>
    <t>Fixed Cost</t>
  </si>
  <si>
    <t>Profit</t>
  </si>
  <si>
    <t>max. Revenue</t>
  </si>
  <si>
    <t>max. profitable size</t>
  </si>
  <si>
    <t>max. profit</t>
  </si>
  <si>
    <t>DA+RT+SCR+PCR</t>
  </si>
  <si>
    <t>Profitability ratio</t>
  </si>
  <si>
    <t>PJM</t>
  </si>
  <si>
    <t>DE</t>
  </si>
  <si>
    <t>NSW</t>
  </si>
  <si>
    <t>FCAS</t>
  </si>
  <si>
    <t>System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</si>
</sst>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5" formatCode="0.000"/>
    <numFmt numFmtId="166" formatCode="_ * #\ ##0_ ;_ * \-#\ 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37" applyFont="1"/>
    <xf numFmtId="166" fontId="0" fillId="0" borderId="0" xfId="37" applyNumberFormat="1" applyFont="1"/>
  </cellXfs>
  <cellStyles count="64">
    <cellStyle name="Comma" xfId="3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2608.0</c:v>
                </c:pt>
                <c:pt idx="1">
                  <c:v>4041.0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1">
                  <c:v>2029.0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Sheet1!$B$5:$D$5</c:f>
              <c:numCache>
                <c:formatCode>General</c:formatCode>
                <c:ptCount val="3"/>
                <c:pt idx="0">
                  <c:v>3725.0</c:v>
                </c:pt>
                <c:pt idx="2">
                  <c:v>109301.0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0329792"/>
        <c:axId val="1638581232"/>
      </c:barChart>
      <c:catAx>
        <c:axId val="16403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81232"/>
        <c:crosses val="autoZero"/>
        <c:auto val="1"/>
        <c:lblAlgn val="ctr"/>
        <c:lblOffset val="100"/>
        <c:noMultiLvlLbl val="0"/>
      </c:catAx>
      <c:valAx>
        <c:axId val="16385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Germany_ESS!$C$40:$D$40</c:f>
              <c:numCache>
                <c:formatCode>0</c:formatCode>
                <c:ptCount val="2"/>
                <c:pt idx="0">
                  <c:v>439.6496330616524</c:v>
                </c:pt>
                <c:pt idx="1">
                  <c:v>287.4632216172343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Germany_ESS!$C$41:$D$41</c:f>
              <c:numCache>
                <c:formatCode>0</c:formatCode>
                <c:ptCount val="2"/>
                <c:pt idx="0">
                  <c:v>355.1016267036424</c:v>
                </c:pt>
                <c:pt idx="1">
                  <c:v>236.7344178024282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Germany_ESS!$C$42:$D$42</c:f>
              <c:numCache>
                <c:formatCode>0</c:formatCode>
                <c:ptCount val="2"/>
                <c:pt idx="0">
                  <c:v>0.0</c:v>
                </c:pt>
                <c:pt idx="1">
                  <c:v>16.90960127160202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368176"/>
        <c:axId val="1939199440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Germany_ESS!$C$43:$D$43</c:f>
              <c:numCache>
                <c:formatCode>0</c:formatCode>
                <c:ptCount val="2"/>
                <c:pt idx="0">
                  <c:v>1.014576076296121</c:v>
                </c:pt>
                <c:pt idx="1">
                  <c:v>0.879299266123305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39324272"/>
        <c:axId val="1939370112"/>
      </c:barChart>
      <c:catAx>
        <c:axId val="19393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199440"/>
        <c:crosses val="autoZero"/>
        <c:auto val="1"/>
        <c:lblAlgn val="ctr"/>
        <c:lblOffset val="100"/>
        <c:noMultiLvlLbl val="0"/>
      </c:catAx>
      <c:valAx>
        <c:axId val="1939199440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368176"/>
        <c:crosses val="autoZero"/>
        <c:crossBetween val="between"/>
        <c:majorUnit val="200.0"/>
      </c:valAx>
      <c:valAx>
        <c:axId val="1939370112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324272"/>
        <c:crosses val="max"/>
        <c:crossBetween val="between"/>
        <c:majorUnit val="0.4"/>
      </c:valAx>
      <c:catAx>
        <c:axId val="193932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3701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DA+ID+SCR</a:t>
            </a:r>
          </a:p>
        </c:rich>
      </c:tx>
      <c:layout>
        <c:manualLayout>
          <c:xMode val="edge"/>
          <c:yMode val="edge"/>
          <c:x val="0.258472222222222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Germany_ESS_staking!$J$30:$J$34</c:f>
              <c:numCache>
                <c:formatCode>0</c:formatCode>
                <c:ptCount val="5"/>
                <c:pt idx="0">
                  <c:v>54.4872407506953</c:v>
                </c:pt>
                <c:pt idx="1">
                  <c:v>45.7398015144387</c:v>
                </c:pt>
                <c:pt idx="2">
                  <c:v>45.7398015144387</c:v>
                </c:pt>
                <c:pt idx="3">
                  <c:v>-210.103751321077</c:v>
                </c:pt>
                <c:pt idx="4">
                  <c:v>-210.103751321077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Germany_ESS_staking!$K$30:$K$34</c:f>
              <c:numCache>
                <c:formatCode>0</c:formatCode>
                <c:ptCount val="5"/>
                <c:pt idx="1">
                  <c:v>8.747439236256603</c:v>
                </c:pt>
                <c:pt idx="3">
                  <c:v>45.7398015144387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9283696"/>
        <c:axId val="1939308416"/>
      </c:barChart>
      <c:catAx>
        <c:axId val="1939283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9308416"/>
        <c:crosses val="autoZero"/>
        <c:auto val="1"/>
        <c:lblAlgn val="ctr"/>
        <c:lblOffset val="100"/>
        <c:noMultiLvlLbl val="0"/>
      </c:catAx>
      <c:valAx>
        <c:axId val="193930841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2836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490.3784368764585</c:v>
                </c:pt>
                <c:pt idx="3">
                  <c:v>6425.648483208766</c:v>
                </c:pt>
                <c:pt idx="4">
                  <c:v>8725.35425614664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490.3784368764585</c:v>
                </c:pt>
                <c:pt idx="3">
                  <c:v>2654.807399641516</c:v>
                </c:pt>
                <c:pt idx="4">
                  <c:v>4988.332375122594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-21948.66245053942</c:v>
                </c:pt>
                <c:pt idx="3">
                  <c:v>-558338.124387027</c:v>
                </c:pt>
                <c:pt idx="4">
                  <c:v>-443809.3949744665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495408"/>
        <c:axId val="1939397312"/>
      </c:barChart>
      <c:catAx>
        <c:axId val="1939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397312"/>
        <c:crosses val="autoZero"/>
        <c:auto val="1"/>
        <c:lblAlgn val="ctr"/>
        <c:lblOffset val="100"/>
        <c:noMultiLvlLbl val="0"/>
      </c:catAx>
      <c:valAx>
        <c:axId val="1939397312"/>
        <c:scaling>
          <c:orientation val="minMax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495408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952318460192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Germany_ESS_staking!$H$30:$H$34</c:f>
              <c:numCache>
                <c:formatCode>0</c:formatCode>
                <c:ptCount val="5"/>
                <c:pt idx="0">
                  <c:v>22.4459224925147</c:v>
                </c:pt>
                <c:pt idx="1">
                  <c:v>9.78312895084804</c:v>
                </c:pt>
                <c:pt idx="2">
                  <c:v>9.78312895084804</c:v>
                </c:pt>
                <c:pt idx="3">
                  <c:v>-246.060423884668</c:v>
                </c:pt>
                <c:pt idx="4">
                  <c:v>-246.060423884668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Germany_ESS_staking!$I$30:$I$34</c:f>
              <c:numCache>
                <c:formatCode>0</c:formatCode>
                <c:ptCount val="5"/>
                <c:pt idx="1">
                  <c:v>12.66279354166666</c:v>
                </c:pt>
                <c:pt idx="3">
                  <c:v>9.78312895084804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5869312"/>
        <c:axId val="1846924880"/>
      </c:barChart>
      <c:catAx>
        <c:axId val="1925869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846924880"/>
        <c:crosses val="autoZero"/>
        <c:auto val="1"/>
        <c:lblAlgn val="ctr"/>
        <c:lblOffset val="100"/>
        <c:noMultiLvlLbl val="0"/>
      </c:catAx>
      <c:valAx>
        <c:axId val="1846924880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5869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9511712"/>
        <c:axId val="1939515696"/>
      </c:barChart>
      <c:catAx>
        <c:axId val="1939511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9515696"/>
        <c:crosses val="autoZero"/>
        <c:auto val="1"/>
        <c:lblAlgn val="ctr"/>
        <c:lblOffset val="100"/>
        <c:noMultiLvlLbl val="0"/>
      </c:catAx>
      <c:valAx>
        <c:axId val="1939515696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511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9577968"/>
        <c:axId val="1939582032"/>
      </c:barChart>
      <c:catAx>
        <c:axId val="1939577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9582032"/>
        <c:crosses val="autoZero"/>
        <c:auto val="1"/>
        <c:lblAlgn val="ctr"/>
        <c:lblOffset val="100"/>
        <c:noMultiLvlLbl val="0"/>
      </c:catAx>
      <c:valAx>
        <c:axId val="193958203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577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Germany_ESS_staking!$F$30:$F$34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Germany_ESS_staking!$G$30:$G$34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9640864"/>
        <c:axId val="1939644928"/>
      </c:barChart>
      <c:catAx>
        <c:axId val="1939640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9644928"/>
        <c:crosses val="autoZero"/>
        <c:auto val="1"/>
        <c:lblAlgn val="ctr"/>
        <c:lblOffset val="100"/>
        <c:noMultiLvlLbl val="0"/>
      </c:catAx>
      <c:valAx>
        <c:axId val="193964492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640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Germany_ESS_staking!$F$67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Germany_ESS_staking!$G$67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Germany_ESS_staking!$H$67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Germany_ESS_staking!$I$67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Germany_ESS_staking!$J$67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19152"/>
        <c:axId val="1939723648"/>
      </c:barChart>
      <c:catAx>
        <c:axId val="19397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23648"/>
        <c:crosses val="autoZero"/>
        <c:auto val="1"/>
        <c:lblAlgn val="ctr"/>
        <c:lblOffset val="100"/>
        <c:noMultiLvlLbl val="0"/>
      </c:catAx>
      <c:valAx>
        <c:axId val="19397236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99840"/>
        <c:axId val="1939804464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39820832"/>
        <c:axId val="1939812640"/>
      </c:barChart>
      <c:catAx>
        <c:axId val="19397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804464"/>
        <c:crosses val="autoZero"/>
        <c:auto val="1"/>
        <c:lblAlgn val="ctr"/>
        <c:lblOffset val="100"/>
        <c:noMultiLvlLbl val="0"/>
      </c:catAx>
      <c:valAx>
        <c:axId val="1939804464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799840"/>
        <c:crosses val="autoZero"/>
        <c:crossBetween val="between"/>
        <c:majorUnit val="200.0"/>
      </c:valAx>
      <c:valAx>
        <c:axId val="1939812640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9820832"/>
        <c:crosses val="max"/>
        <c:crossBetween val="between"/>
        <c:majorUnit val="0.4"/>
      </c:valAx>
      <c:catAx>
        <c:axId val="19398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8126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0975632"/>
        <c:axId val="1940979440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0988352"/>
        <c:axId val="1940984032"/>
      </c:barChart>
      <c:catAx>
        <c:axId val="1940975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0979440"/>
        <c:crosses val="autoZero"/>
        <c:auto val="1"/>
        <c:lblAlgn val="ctr"/>
        <c:lblOffset val="100"/>
        <c:noMultiLvlLbl val="0"/>
      </c:catAx>
      <c:valAx>
        <c:axId val="194097944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75632"/>
        <c:crosses val="autoZero"/>
        <c:crossBetween val="between"/>
      </c:valAx>
      <c:valAx>
        <c:axId val="1940984032"/>
        <c:scaling>
          <c:orientation val="minMax"/>
          <c:max val="160000.0"/>
          <c:min val="-40000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88352"/>
        <c:crosses val="max"/>
        <c:crossBetween val="between"/>
      </c:valAx>
      <c:catAx>
        <c:axId val="194098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09840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Sheet1!$B$20:$D$20</c:f>
              <c:numCache>
                <c:formatCode>General</c:formatCode>
                <c:ptCount val="3"/>
                <c:pt idx="0">
                  <c:v>0.0</c:v>
                </c:pt>
                <c:pt idx="1">
                  <c:v>1522.0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Sheet1!$B$21:$D$21</c:f>
              <c:numCache>
                <c:formatCode>General</c:formatCode>
                <c:ptCount val="3"/>
                <c:pt idx="0">
                  <c:v>0.0</c:v>
                </c:pt>
                <c:pt idx="1">
                  <c:v>490.0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Sheet1!$B$22:$D$22</c:f>
              <c:numCache>
                <c:formatCode>General</c:formatCode>
                <c:ptCount val="3"/>
                <c:pt idx="0">
                  <c:v>513.0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Sheet1!$B$23:$D$23</c:f>
              <c:numCache>
                <c:formatCode>General</c:formatCode>
                <c:ptCount val="3"/>
                <c:pt idx="0">
                  <c:v>342.0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Sheet1!$B$24:$D$24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2933.0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587984"/>
        <c:axId val="1654791872"/>
      </c:barChart>
      <c:catAx>
        <c:axId val="165558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91872"/>
        <c:crosses val="autoZero"/>
        <c:auto val="1"/>
        <c:lblAlgn val="ctr"/>
        <c:lblOffset val="100"/>
        <c:noMultiLvlLbl val="0"/>
      </c:catAx>
      <c:valAx>
        <c:axId val="16547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4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076896"/>
        <c:axId val="1941081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1097776"/>
        <c:axId val="1941089568"/>
      </c:barChart>
      <c:catAx>
        <c:axId val="19410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081456"/>
        <c:crosses val="autoZero"/>
        <c:auto val="1"/>
        <c:lblAlgn val="ctr"/>
        <c:lblOffset val="100"/>
        <c:noMultiLvlLbl val="0"/>
      </c:catAx>
      <c:valAx>
        <c:axId val="194108145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076896"/>
        <c:crosses val="autoZero"/>
        <c:crossBetween val="between"/>
        <c:majorUnit val="200.0"/>
      </c:valAx>
      <c:valAx>
        <c:axId val="1941089568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097776"/>
        <c:crosses val="max"/>
        <c:crossBetween val="between"/>
        <c:majorUnit val="50000.0"/>
      </c:valAx>
      <c:catAx>
        <c:axId val="194109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0895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85744"/>
        <c:axId val="194119035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1199040"/>
        <c:axId val="1941194720"/>
      </c:barChart>
      <c:catAx>
        <c:axId val="1941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90352"/>
        <c:crosses val="autoZero"/>
        <c:auto val="1"/>
        <c:lblAlgn val="ctr"/>
        <c:lblOffset val="100"/>
        <c:noMultiLvlLbl val="0"/>
      </c:catAx>
      <c:valAx>
        <c:axId val="194119035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85744"/>
        <c:crosses val="autoZero"/>
        <c:crossBetween val="between"/>
      </c:valAx>
      <c:valAx>
        <c:axId val="194119472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99040"/>
        <c:crosses val="max"/>
        <c:crossBetween val="between"/>
        <c:majorUnit val="30000.0"/>
      </c:valAx>
      <c:catAx>
        <c:axId val="19411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1947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295296"/>
        <c:axId val="19412998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1316448"/>
        <c:axId val="1941307968"/>
      </c:barChart>
      <c:catAx>
        <c:axId val="19412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299824"/>
        <c:crosses val="autoZero"/>
        <c:auto val="1"/>
        <c:lblAlgn val="ctr"/>
        <c:lblOffset val="100"/>
        <c:noMultiLvlLbl val="0"/>
      </c:catAx>
      <c:valAx>
        <c:axId val="194129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295296"/>
        <c:crosses val="autoZero"/>
        <c:crossBetween val="between"/>
        <c:majorUnit val="10.0"/>
      </c:valAx>
      <c:valAx>
        <c:axId val="194130796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316448"/>
        <c:crosses val="max"/>
        <c:crossBetween val="between"/>
        <c:majorUnit val="20.0"/>
      </c:valAx>
      <c:catAx>
        <c:axId val="19413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307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404896"/>
        <c:axId val="19414094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1426048"/>
        <c:axId val="1941417568"/>
      </c:barChart>
      <c:catAx>
        <c:axId val="1941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409424"/>
        <c:crosses val="autoZero"/>
        <c:auto val="1"/>
        <c:lblAlgn val="ctr"/>
        <c:lblOffset val="100"/>
        <c:noMultiLvlLbl val="0"/>
      </c:catAx>
      <c:valAx>
        <c:axId val="1941409424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404896"/>
        <c:crosses val="autoZero"/>
        <c:crossBetween val="between"/>
        <c:majorUnit val="10.0"/>
      </c:valAx>
      <c:valAx>
        <c:axId val="194141756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426048"/>
        <c:crosses val="max"/>
        <c:crossBetween val="between"/>
        <c:majorUnit val="20.0"/>
      </c:valAx>
      <c:catAx>
        <c:axId val="1941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4175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4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518064"/>
        <c:axId val="19415225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1538944"/>
        <c:axId val="1941530736"/>
      </c:barChart>
      <c:catAx>
        <c:axId val="1941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522592"/>
        <c:crosses val="autoZero"/>
        <c:auto val="1"/>
        <c:lblAlgn val="ctr"/>
        <c:lblOffset val="100"/>
        <c:noMultiLvlLbl val="0"/>
      </c:catAx>
      <c:valAx>
        <c:axId val="194152259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518064"/>
        <c:crosses val="autoZero"/>
        <c:crossBetween val="between"/>
      </c:valAx>
      <c:valAx>
        <c:axId val="1941530736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538944"/>
        <c:crosses val="max"/>
        <c:crossBetween val="between"/>
        <c:majorUnit val="2.8"/>
      </c:valAx>
      <c:catAx>
        <c:axId val="19415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5307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DA+RT+RegD</a:t>
            </a:r>
          </a:p>
        </c:rich>
      </c:tx>
      <c:layout>
        <c:manualLayout>
          <c:xMode val="edge"/>
          <c:yMode val="edge"/>
          <c:x val="0.242986111111111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PJM_ESS_New!$J$30:$J$34</c:f>
              <c:numCache>
                <c:formatCode>0</c:formatCode>
                <c:ptCount val="5"/>
                <c:pt idx="0">
                  <c:v>281.357194650528</c:v>
                </c:pt>
                <c:pt idx="1">
                  <c:v>276.337192218824</c:v>
                </c:pt>
                <c:pt idx="2">
                  <c:v>276.337192218824</c:v>
                </c:pt>
                <c:pt idx="3">
                  <c:v>20.4936393833074</c:v>
                </c:pt>
                <c:pt idx="4">
                  <c:v>20.4936393833074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PJM_ESS_New!$K$30:$K$34</c:f>
              <c:numCache>
                <c:formatCode>0</c:formatCode>
                <c:ptCount val="5"/>
                <c:pt idx="1">
                  <c:v>5.020002431703972</c:v>
                </c:pt>
                <c:pt idx="3">
                  <c:v>255.8435528355166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1628912"/>
        <c:axId val="1941632976"/>
      </c:barChart>
      <c:catAx>
        <c:axId val="194162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1632976"/>
        <c:crosses val="autoZero"/>
        <c:auto val="1"/>
        <c:lblAlgn val="ctr"/>
        <c:lblOffset val="100"/>
        <c:noMultiLvlLbl val="0"/>
      </c:catAx>
      <c:valAx>
        <c:axId val="194163297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6289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PJM_ESS_New!$B$25:$G$25</c:f>
              <c:numCache>
                <c:formatCode>_ * #\ ##0_ ;_ * \-#\ ##0_ ;_ * "-"??_ ;_ @_ </c:formatCode>
                <c:ptCount val="6"/>
                <c:pt idx="0">
                  <c:v>2608.408415249507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6333.078947068673</c:v>
                </c:pt>
                <c:pt idx="4">
                  <c:v>6857.038716070758</c:v>
                </c:pt>
                <c:pt idx="5">
                  <c:v>6800.086567266183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PJM_ESS_New!$B$26:$G$26</c:f>
              <c:numCache>
                <c:formatCode>_ * #\ ##0_ ;_ * \-#\ ##0_ ;_ * "-"??_ ;_ @_ </c:formatCode>
                <c:ptCount val="6"/>
                <c:pt idx="0">
                  <c:v>899.8439511122755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2790.655291424146</c:v>
                </c:pt>
                <c:pt idx="4">
                  <c:v>3314.61506042623</c:v>
                </c:pt>
                <c:pt idx="5">
                  <c:v>3280.443771143485</c:v>
                </c:pt>
              </c:numCache>
            </c:numRef>
          </c:val>
        </c:ser>
        <c:ser>
          <c:idx val="2"/>
          <c:order val="2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PJM_ESS_New!$B$27:$G$27</c:f>
              <c:numCache>
                <c:formatCode>_ * #\ ##0_ ;_ * \-#\ ##0_ ;_ * "-"??_ ;_ @_ </c:formatCode>
                <c:ptCount val="6"/>
                <c:pt idx="0">
                  <c:v>-131684.7584659369</c:v>
                </c:pt>
                <c:pt idx="1">
                  <c:v>0.0</c:v>
                </c:pt>
                <c:pt idx="2">
                  <c:v>-1868.03048079004</c:v>
                </c:pt>
                <c:pt idx="3">
                  <c:v>-218183.6820703245</c:v>
                </c:pt>
                <c:pt idx="4">
                  <c:v>-217659.7223013224</c:v>
                </c:pt>
                <c:pt idx="5">
                  <c:v>-217693.8935906052</c:v>
                </c:pt>
              </c:numCache>
            </c:numRef>
          </c:val>
        </c:ser>
        <c:ser>
          <c:idx val="3"/>
          <c:order val="3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732000"/>
        <c:axId val="1941736480"/>
      </c:barChart>
      <c:catAx>
        <c:axId val="19417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736480"/>
        <c:crosses val="autoZero"/>
        <c:auto val="1"/>
        <c:lblAlgn val="ctr"/>
        <c:lblOffset val="100"/>
        <c:noMultiLvlLbl val="0"/>
      </c:catAx>
      <c:valAx>
        <c:axId val="1941736480"/>
        <c:scaling>
          <c:orientation val="minMax"/>
          <c:min val="-4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732000"/>
        <c:crosses val="autoZero"/>
        <c:crossBetween val="between"/>
        <c:majorUnit val="4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1841207349081"/>
          <c:y val="0.0694444444444444"/>
          <c:w val="0.243158792650919"/>
          <c:h val="0.2717450422863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PJM_ESS_New!$H$30:$H$34</c:f>
              <c:numCache>
                <c:formatCode>0</c:formatCode>
                <c:ptCount val="5"/>
                <c:pt idx="0">
                  <c:v>34.3247154369701</c:v>
                </c:pt>
                <c:pt idx="1">
                  <c:v>16.8889477286368</c:v>
                </c:pt>
                <c:pt idx="2">
                  <c:v>16.8889477286368</c:v>
                </c:pt>
                <c:pt idx="3">
                  <c:v>-238.954605106879</c:v>
                </c:pt>
                <c:pt idx="4">
                  <c:v>-238.954605106879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PJM_ESS_New!$I$30:$I$34</c:f>
              <c:numCache>
                <c:formatCode>0</c:formatCode>
                <c:ptCount val="5"/>
                <c:pt idx="1">
                  <c:v>17.43576770833329</c:v>
                </c:pt>
                <c:pt idx="3">
                  <c:v>16.8889477286368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1789648"/>
        <c:axId val="1941793712"/>
      </c:barChart>
      <c:catAx>
        <c:axId val="194178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1793712"/>
        <c:crosses val="autoZero"/>
        <c:auto val="1"/>
        <c:lblAlgn val="ctr"/>
        <c:lblOffset val="100"/>
        <c:noMultiLvlLbl val="0"/>
      </c:catAx>
      <c:valAx>
        <c:axId val="194179371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789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PJM_ESS_New!$B$30:$B$34</c:f>
              <c:numCache>
                <c:formatCode>0</c:formatCode>
                <c:ptCount val="5"/>
                <c:pt idx="0">
                  <c:v>15.8609134033256</c:v>
                </c:pt>
                <c:pt idx="1">
                  <c:v>5.90011965332556</c:v>
                </c:pt>
                <c:pt idx="2">
                  <c:v>5.90011965332556</c:v>
                </c:pt>
                <c:pt idx="3">
                  <c:v>-249.943433182191</c:v>
                </c:pt>
                <c:pt idx="4">
                  <c:v>-249.943433182191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PJM_ESS_New!$C$30:$C$34</c:f>
              <c:numCache>
                <c:formatCode>0</c:formatCode>
                <c:ptCount val="5"/>
                <c:pt idx="1">
                  <c:v>9.96079375000004</c:v>
                </c:pt>
                <c:pt idx="3">
                  <c:v>5.90011965332556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1856096"/>
        <c:axId val="1941860160"/>
      </c:barChart>
      <c:catAx>
        <c:axId val="1941856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1860160"/>
        <c:crosses val="autoZero"/>
        <c:auto val="1"/>
        <c:lblAlgn val="ctr"/>
        <c:lblOffset val="100"/>
        <c:noMultiLvlLbl val="0"/>
      </c:catAx>
      <c:valAx>
        <c:axId val="1941860160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85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RegA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PJM_ESS_New!$F$30:$F$34</c:f>
              <c:numCache>
                <c:formatCode>0</c:formatCode>
                <c:ptCount val="5"/>
                <c:pt idx="0">
                  <c:v>121.577484703552</c:v>
                </c:pt>
                <c:pt idx="1">
                  <c:v>121.563396835328</c:v>
                </c:pt>
                <c:pt idx="2">
                  <c:v>121.563396835328</c:v>
                </c:pt>
                <c:pt idx="3">
                  <c:v>-134.280156000188</c:v>
                </c:pt>
                <c:pt idx="4">
                  <c:v>-134.280156000188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PJM_ESS_New!$G$30:$G$34</c:f>
              <c:numCache>
                <c:formatCode>0</c:formatCode>
                <c:ptCount val="5"/>
                <c:pt idx="1">
                  <c:v>0.0140878682239816</c:v>
                </c:pt>
                <c:pt idx="3">
                  <c:v>121.563396835328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1919264"/>
        <c:axId val="1941923328"/>
      </c:barChart>
      <c:catAx>
        <c:axId val="194191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1923328"/>
        <c:crosses val="autoZero"/>
        <c:auto val="1"/>
        <c:lblAlgn val="ctr"/>
        <c:lblOffset val="100"/>
        <c:noMultiLvlLbl val="0"/>
      </c:catAx>
      <c:valAx>
        <c:axId val="194192332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1919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Germany_ESS!$J$30:$J$34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Germany_ESS!$K$30:$K$34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8703312"/>
        <c:axId val="1938598368"/>
      </c:barChart>
      <c:catAx>
        <c:axId val="192870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8598368"/>
        <c:crosses val="autoZero"/>
        <c:auto val="1"/>
        <c:lblAlgn val="ctr"/>
        <c:lblOffset val="100"/>
        <c:noMultiLvlLbl val="0"/>
      </c:catAx>
      <c:valAx>
        <c:axId val="193859836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8703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PJM_ESS_New!$F$67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PJM_ESS_New!$G$67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PJM_ESS_New!$H$67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PJM_ESS_New!$I$67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PJM_ESS_New!$J$67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017744"/>
        <c:axId val="1942022240"/>
      </c:barChart>
      <c:catAx>
        <c:axId val="19420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22240"/>
        <c:crosses val="autoZero"/>
        <c:auto val="1"/>
        <c:lblAlgn val="ctr"/>
        <c:lblOffset val="100"/>
        <c:noMultiLvlLbl val="0"/>
      </c:catAx>
      <c:valAx>
        <c:axId val="19420222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PJM_ESS_New!$C$40:$D$40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PJM_ESS_New!$C$41:$D$41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11.39042976091488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098304"/>
        <c:axId val="1942102928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PJM_ESS_New!$C$43:$D$43</c:f>
              <c:numCache>
                <c:formatCode>0</c:formatCode>
                <c:ptCount val="2"/>
                <c:pt idx="0">
                  <c:v>1.754126183180891</c:v>
                </c:pt>
                <c:pt idx="1">
                  <c:v>1.731345323659062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42119296"/>
        <c:axId val="1942111104"/>
      </c:barChart>
      <c:catAx>
        <c:axId val="1942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102928"/>
        <c:crosses val="autoZero"/>
        <c:auto val="1"/>
        <c:lblAlgn val="ctr"/>
        <c:lblOffset val="100"/>
        <c:noMultiLvlLbl val="0"/>
      </c:catAx>
      <c:valAx>
        <c:axId val="1942102928"/>
        <c:scaling>
          <c:orientation val="minMax"/>
          <c:max val="7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098304"/>
        <c:crosses val="autoZero"/>
        <c:crossBetween val="between"/>
        <c:majorUnit val="250.0"/>
      </c:valAx>
      <c:valAx>
        <c:axId val="1942111104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119296"/>
        <c:crosses val="max"/>
        <c:crossBetween val="between"/>
        <c:majorUnit val="1.0"/>
      </c:valAx>
      <c:catAx>
        <c:axId val="19421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111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9703412073491"/>
          <c:y val="0.0792366579177603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PJM_ESS_New!$D$30:$D$34</c:f>
              <c:numCache>
                <c:formatCode>0</c:formatCode>
                <c:ptCount val="5"/>
                <c:pt idx="0">
                  <c:v>266.938994748121</c:v>
                </c:pt>
                <c:pt idx="1">
                  <c:v>266.928978526844</c:v>
                </c:pt>
                <c:pt idx="2">
                  <c:v>266.928978526844</c:v>
                </c:pt>
                <c:pt idx="3">
                  <c:v>11.0854256913276</c:v>
                </c:pt>
                <c:pt idx="4">
                  <c:v>11.0854256913276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PJM_ESS_New!$E$30:$E$34</c:f>
              <c:numCache>
                <c:formatCode>0</c:formatCode>
                <c:ptCount val="5"/>
                <c:pt idx="1">
                  <c:v>0.0100162212769987</c:v>
                </c:pt>
                <c:pt idx="3">
                  <c:v>255.8435528355164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2169248"/>
        <c:axId val="1942173312"/>
      </c:barChart>
      <c:catAx>
        <c:axId val="194216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2173312"/>
        <c:crosses val="autoZero"/>
        <c:auto val="1"/>
        <c:lblAlgn val="ctr"/>
        <c:lblOffset val="100"/>
        <c:noMultiLvlLbl val="0"/>
      </c:catAx>
      <c:valAx>
        <c:axId val="194217331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1692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DA+RT+RegA</a:t>
            </a:r>
          </a:p>
        </c:rich>
      </c:tx>
      <c:layout>
        <c:manualLayout>
          <c:xMode val="edge"/>
          <c:yMode val="edge"/>
          <c:x val="0.248333333333333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PJM_ESS_New!$L$30:$L$34</c:f>
              <c:numCache>
                <c:formatCode>0</c:formatCode>
                <c:ptCount val="5"/>
                <c:pt idx="0">
                  <c:v>195.289750367884</c:v>
                </c:pt>
                <c:pt idx="1">
                  <c:v>175.889733248698</c:v>
                </c:pt>
                <c:pt idx="2">
                  <c:v>175.889733248698</c:v>
                </c:pt>
                <c:pt idx="3">
                  <c:v>-79.9538195868181</c:v>
                </c:pt>
                <c:pt idx="4">
                  <c:v>-79.9538195868181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PJM_ESS_New!$M$30:$M$34</c:f>
              <c:numCache>
                <c:formatCode>0</c:formatCode>
                <c:ptCount val="5"/>
                <c:pt idx="1">
                  <c:v>19.400017119186</c:v>
                </c:pt>
                <c:pt idx="3">
                  <c:v>175.889733248698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2231408"/>
        <c:axId val="1942235472"/>
      </c:barChart>
      <c:catAx>
        <c:axId val="194223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2235472"/>
        <c:crosses val="autoZero"/>
        <c:auto val="1"/>
        <c:lblAlgn val="ctr"/>
        <c:lblOffset val="100"/>
        <c:noMultiLvlLbl val="0"/>
      </c:catAx>
      <c:valAx>
        <c:axId val="194223547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2314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363088"/>
        <c:axId val="1942366960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2375872"/>
        <c:axId val="1942371552"/>
      </c:barChart>
      <c:catAx>
        <c:axId val="1942363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2366960"/>
        <c:crosses val="autoZero"/>
        <c:auto val="1"/>
        <c:lblAlgn val="ctr"/>
        <c:lblOffset val="100"/>
        <c:noMultiLvlLbl val="0"/>
      </c:catAx>
      <c:valAx>
        <c:axId val="194236696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63088"/>
        <c:crosses val="autoZero"/>
        <c:crossBetween val="between"/>
      </c:valAx>
      <c:valAx>
        <c:axId val="194237155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75872"/>
        <c:crosses val="max"/>
        <c:crossBetween val="between"/>
      </c:valAx>
      <c:catAx>
        <c:axId val="194237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23715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476704"/>
        <c:axId val="19424811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2497776"/>
        <c:axId val="1942489296"/>
      </c:barChart>
      <c:catAx>
        <c:axId val="19424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481184"/>
        <c:crosses val="autoZero"/>
        <c:auto val="1"/>
        <c:lblAlgn val="ctr"/>
        <c:lblOffset val="100"/>
        <c:noMultiLvlLbl val="0"/>
      </c:catAx>
      <c:valAx>
        <c:axId val="1942481184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476704"/>
        <c:crosses val="autoZero"/>
        <c:crossBetween val="between"/>
        <c:majorUnit val="200.0"/>
      </c:valAx>
      <c:valAx>
        <c:axId val="194248929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497776"/>
        <c:crosses val="max"/>
        <c:crossBetween val="between"/>
        <c:majorUnit val="20000.0"/>
      </c:valAx>
      <c:catAx>
        <c:axId val="194249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489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580144"/>
        <c:axId val="1942584816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2593504"/>
        <c:axId val="1942589184"/>
      </c:barChart>
      <c:catAx>
        <c:axId val="19425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4816"/>
        <c:crosses val="autoZero"/>
        <c:auto val="1"/>
        <c:lblAlgn val="ctr"/>
        <c:lblOffset val="100"/>
        <c:noMultiLvlLbl val="0"/>
      </c:catAx>
      <c:valAx>
        <c:axId val="1942584816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0144"/>
        <c:crosses val="autoZero"/>
        <c:crossBetween val="between"/>
      </c:valAx>
      <c:valAx>
        <c:axId val="194258918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93504"/>
        <c:crosses val="max"/>
        <c:crossBetween val="between"/>
        <c:majorUnit val="30000.0"/>
      </c:valAx>
      <c:catAx>
        <c:axId val="194259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5891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714144"/>
        <c:axId val="19257171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25921408"/>
        <c:axId val="1925815440"/>
      </c:barChart>
      <c:catAx>
        <c:axId val="19257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5717136"/>
        <c:crosses val="autoZero"/>
        <c:auto val="1"/>
        <c:lblAlgn val="ctr"/>
        <c:lblOffset val="100"/>
        <c:noMultiLvlLbl val="0"/>
      </c:catAx>
      <c:valAx>
        <c:axId val="192571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5714144"/>
        <c:crosses val="autoZero"/>
        <c:crossBetween val="between"/>
        <c:majorUnit val="20.0"/>
      </c:valAx>
      <c:valAx>
        <c:axId val="1925815440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5921408"/>
        <c:crosses val="max"/>
        <c:crossBetween val="between"/>
      </c:valAx>
      <c:catAx>
        <c:axId val="19259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815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0544512"/>
        <c:axId val="19405488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0565568"/>
        <c:axId val="1940557376"/>
      </c:barChart>
      <c:catAx>
        <c:axId val="1940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548896"/>
        <c:crosses val="autoZero"/>
        <c:auto val="1"/>
        <c:lblAlgn val="ctr"/>
        <c:lblOffset val="100"/>
        <c:noMultiLvlLbl val="0"/>
      </c:catAx>
      <c:valAx>
        <c:axId val="1940548896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544512"/>
        <c:crosses val="autoZero"/>
        <c:crossBetween val="between"/>
        <c:majorUnit val="20.0"/>
      </c:valAx>
      <c:valAx>
        <c:axId val="194055737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565568"/>
        <c:crosses val="max"/>
        <c:crossBetween val="between"/>
      </c:valAx>
      <c:catAx>
        <c:axId val="194056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5573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4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0687984"/>
        <c:axId val="194069248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0709088"/>
        <c:axId val="1940700624"/>
      </c:barChart>
      <c:catAx>
        <c:axId val="19406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692480"/>
        <c:crosses val="autoZero"/>
        <c:auto val="1"/>
        <c:lblAlgn val="ctr"/>
        <c:lblOffset val="100"/>
        <c:noMultiLvlLbl val="0"/>
      </c:catAx>
      <c:valAx>
        <c:axId val="1940692480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687984"/>
        <c:crosses val="autoZero"/>
        <c:crossBetween val="between"/>
        <c:majorUnit val="0.2"/>
      </c:valAx>
      <c:valAx>
        <c:axId val="194070062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709088"/>
        <c:crosses val="max"/>
        <c:crossBetween val="between"/>
        <c:majorUnit val="1.9"/>
      </c:valAx>
      <c:catAx>
        <c:axId val="19407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7006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3872.298691196861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79936"/>
        <c:axId val="1929284800"/>
      </c:barChart>
      <c:barChart>
        <c:barDir val="col"/>
        <c:grouping val="clustered"/>
        <c:varyColors val="0"/>
        <c:ser>
          <c:idx val="1"/>
          <c:order val="1"/>
          <c:tx>
            <c:v>Operating Profit</c:v>
          </c:tx>
          <c:spPr>
            <a:solidFill>
              <a:schemeClr val="bg2">
                <a:alpha val="2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Germany_ESS!$B$26:$F$26</c:f>
              <c:numCache>
                <c:formatCode>_ * #\ ##0_ ;_ * \-#\ ##0_ ;_ * "-"??_ ;_ @_ </c:formatCode>
                <c:ptCount val="5"/>
                <c:pt idx="0">
                  <c:v>1315.651526936995</c:v>
                </c:pt>
                <c:pt idx="1">
                  <c:v>438.5505089789983</c:v>
                </c:pt>
                <c:pt idx="2">
                  <c:v>87.71010179579965</c:v>
                </c:pt>
                <c:pt idx="3">
                  <c:v>13.15566978930637</c:v>
                </c:pt>
                <c:pt idx="4">
                  <c:v>87.71010179579965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654939328"/>
        <c:axId val="1656683456"/>
      </c:barChart>
      <c:catAx>
        <c:axId val="1929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9284800"/>
        <c:crosses val="autoZero"/>
        <c:auto val="1"/>
        <c:lblAlgn val="ctr"/>
        <c:lblOffset val="100"/>
        <c:noMultiLvlLbl val="0"/>
      </c:catAx>
      <c:valAx>
        <c:axId val="192928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_ * #\ ##0_ ;_ * \-#\ ##0_ ;_ * &quot;-&quot;??_ ;_ @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9279936"/>
        <c:crosses val="autoZero"/>
        <c:crossBetween val="between"/>
      </c:valAx>
      <c:valAx>
        <c:axId val="165668345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54939328"/>
        <c:crosses val="max"/>
        <c:crossBetween val="between"/>
      </c:valAx>
      <c:catAx>
        <c:axId val="16549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683456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NSW_ESS_new!$B$25</c:f>
              <c:numCache>
                <c:formatCode>_ * #\ ##0_ ;_ * \-#\ ##0_ ;_ * "-"??_ ;_ @_ </c:formatCode>
                <c:ptCount val="1"/>
                <c:pt idx="0">
                  <c:v>109300.5765856104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NSW_ESS_new!$B$26</c:f>
              <c:numCache>
                <c:formatCode>_ * #\ ##0_ ;_ * \-#\ ##0_ ;_ * "-"??_ ;_ @_ </c:formatCode>
                <c:ptCount val="1"/>
                <c:pt idx="0">
                  <c:v>74454.75056405113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NSW_ESS_new!$B$27</c:f>
              <c:numCache>
                <c:formatCode>_ * #\ ##0_ ;_ * \-#\ ##0_ ;_ * "-"??_ ;_ @_ </c:formatCode>
                <c:ptCount val="1"/>
                <c:pt idx="0">
                  <c:v>-1.00438706442717E6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60416"/>
        <c:axId val="1940765248"/>
      </c:barChart>
      <c:catAx>
        <c:axId val="19407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765248"/>
        <c:crosses val="autoZero"/>
        <c:auto val="1"/>
        <c:lblAlgn val="ctr"/>
        <c:lblOffset val="100"/>
        <c:noMultiLvlLbl val="0"/>
      </c:catAx>
      <c:valAx>
        <c:axId val="1940765248"/>
        <c:scaling>
          <c:orientation val="minMax"/>
          <c:max val="150000.0"/>
          <c:min val="-5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1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_ * #\ ##0_ ;_ * \-#\ ##0_ ;_ * &quot;-&quot;??_ ;_ @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760416"/>
        <c:crosses val="autoZero"/>
        <c:crossBetween val="between"/>
        <c:majorUnit val="50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RT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73490813648"/>
          <c:y val="0.0175069991251094"/>
          <c:w val="0.8627981189851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NSW_ESS_new!$B$30:$B$34</c:f>
              <c:numCache>
                <c:formatCode>0</c:formatCode>
                <c:ptCount val="5"/>
                <c:pt idx="0">
                  <c:v>82.85714285714285</c:v>
                </c:pt>
                <c:pt idx="1">
                  <c:v>56.8452380952381</c:v>
                </c:pt>
                <c:pt idx="2">
                  <c:v>56.8452380952381</c:v>
                </c:pt>
                <c:pt idx="3">
                  <c:v>-199.3154761904762</c:v>
                </c:pt>
                <c:pt idx="4">
                  <c:v>-199.3154761904762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NSW_ESS_new!$C$30:$C$34</c:f>
              <c:numCache>
                <c:formatCode>0</c:formatCode>
                <c:ptCount val="5"/>
                <c:pt idx="1">
                  <c:v>26.01190476190474</c:v>
                </c:pt>
                <c:pt idx="3">
                  <c:v>56.8452380952381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40868064"/>
        <c:axId val="1940872128"/>
      </c:barChart>
      <c:catAx>
        <c:axId val="194086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40872128"/>
        <c:crosses val="autoZero"/>
        <c:auto val="1"/>
        <c:lblAlgn val="ctr"/>
        <c:lblOffset val="100"/>
        <c:noMultiLvlLbl val="0"/>
      </c:catAx>
      <c:valAx>
        <c:axId val="1940872128"/>
        <c:scaling>
          <c:orientation val="minMax"/>
          <c:max val="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USD/(a-kW 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0868064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NSW_ESS_new!$F$67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NSW_ESS_new!$G$67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NSW_ESS_new!$H$67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NSW_ESS_new!$I$67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NSW_ESS_new!$J$67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632448"/>
        <c:axId val="1942636944"/>
      </c:barChart>
      <c:catAx>
        <c:axId val="19426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36944"/>
        <c:crosses val="autoZero"/>
        <c:auto val="1"/>
        <c:lblAlgn val="ctr"/>
        <c:lblOffset val="100"/>
        <c:noMultiLvlLbl val="0"/>
      </c:catAx>
      <c:valAx>
        <c:axId val="19426369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83054892601432"/>
          <c:y val="0.781987529336611"/>
          <c:w val="0.62598030556443"/>
          <c:h val="0.12630171228596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755088"/>
        <c:axId val="194275971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42776080"/>
        <c:axId val="1942767888"/>
      </c:barChart>
      <c:catAx>
        <c:axId val="19427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759712"/>
        <c:crosses val="autoZero"/>
        <c:auto val="1"/>
        <c:lblAlgn val="ctr"/>
        <c:lblOffset val="100"/>
        <c:noMultiLvlLbl val="0"/>
      </c:catAx>
      <c:valAx>
        <c:axId val="1942759712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755088"/>
        <c:crosses val="autoZero"/>
        <c:crossBetween val="between"/>
        <c:majorUnit val="200.0"/>
      </c:valAx>
      <c:valAx>
        <c:axId val="1942767888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776080"/>
        <c:crosses val="max"/>
        <c:crossBetween val="between"/>
        <c:majorUnit val="0.4"/>
      </c:valAx>
      <c:catAx>
        <c:axId val="194277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7678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897584"/>
        <c:axId val="19429021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2918432"/>
        <c:axId val="1942910224"/>
      </c:barChart>
      <c:catAx>
        <c:axId val="19428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902112"/>
        <c:crosses val="autoZero"/>
        <c:auto val="1"/>
        <c:lblAlgn val="ctr"/>
        <c:lblOffset val="100"/>
        <c:noMultiLvlLbl val="0"/>
      </c:catAx>
      <c:valAx>
        <c:axId val="1942902112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897584"/>
        <c:crosses val="autoZero"/>
        <c:crossBetween val="between"/>
        <c:majorUnit val="1000.0"/>
      </c:valAx>
      <c:valAx>
        <c:axId val="1942910224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2918432"/>
        <c:crosses val="max"/>
        <c:crossBetween val="between"/>
        <c:majorUnit val="40000.0"/>
      </c:valAx>
      <c:catAx>
        <c:axId val="19429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9102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065296"/>
        <c:axId val="1944069936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4078624"/>
        <c:axId val="1944074304"/>
      </c:barChart>
      <c:catAx>
        <c:axId val="1944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9936"/>
        <c:crosses val="autoZero"/>
        <c:auto val="1"/>
        <c:lblAlgn val="ctr"/>
        <c:lblOffset val="100"/>
        <c:noMultiLvlLbl val="0"/>
      </c:catAx>
      <c:valAx>
        <c:axId val="1944069936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65296"/>
        <c:crosses val="autoZero"/>
        <c:crossBetween val="between"/>
      </c:valAx>
      <c:valAx>
        <c:axId val="194407430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78624"/>
        <c:crosses val="max"/>
        <c:crossBetween val="between"/>
        <c:majorUnit val="30000.0"/>
      </c:valAx>
      <c:catAx>
        <c:axId val="19440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0743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042768"/>
        <c:axId val="1943046640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3055552"/>
        <c:axId val="1943051232"/>
      </c:barChart>
      <c:catAx>
        <c:axId val="194304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3046640"/>
        <c:crosses val="autoZero"/>
        <c:auto val="1"/>
        <c:lblAlgn val="ctr"/>
        <c:lblOffset val="100"/>
        <c:noMultiLvlLbl val="0"/>
      </c:catAx>
      <c:valAx>
        <c:axId val="194304664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2768"/>
        <c:crosses val="autoZero"/>
        <c:crossBetween val="between"/>
      </c:valAx>
      <c:valAx>
        <c:axId val="194305123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55552"/>
        <c:crosses val="max"/>
        <c:crossBetween val="between"/>
      </c:valAx>
      <c:catAx>
        <c:axId val="194305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30512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185936"/>
        <c:axId val="19431904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3207056"/>
        <c:axId val="1943198576"/>
      </c:barChart>
      <c:catAx>
        <c:axId val="19431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190432"/>
        <c:crosses val="autoZero"/>
        <c:auto val="1"/>
        <c:lblAlgn val="ctr"/>
        <c:lblOffset val="100"/>
        <c:noMultiLvlLbl val="0"/>
      </c:catAx>
      <c:valAx>
        <c:axId val="194319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185936"/>
        <c:crosses val="autoZero"/>
        <c:crossBetween val="between"/>
        <c:majorUnit val="20.0"/>
      </c:valAx>
      <c:valAx>
        <c:axId val="1943198576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207056"/>
        <c:crosses val="max"/>
        <c:crossBetween val="between"/>
      </c:valAx>
      <c:catAx>
        <c:axId val="19432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198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292224"/>
        <c:axId val="19432967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3313344"/>
        <c:axId val="1943304864"/>
      </c:barChart>
      <c:catAx>
        <c:axId val="19432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296720"/>
        <c:crosses val="autoZero"/>
        <c:auto val="1"/>
        <c:lblAlgn val="ctr"/>
        <c:lblOffset val="100"/>
        <c:noMultiLvlLbl val="0"/>
      </c:catAx>
      <c:valAx>
        <c:axId val="1943296720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292224"/>
        <c:crosses val="autoZero"/>
        <c:crossBetween val="between"/>
        <c:majorUnit val="20.0"/>
      </c:valAx>
      <c:valAx>
        <c:axId val="1943304864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313344"/>
        <c:crosses val="max"/>
        <c:crossBetween val="between"/>
      </c:valAx>
      <c:catAx>
        <c:axId val="19433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3048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398176"/>
        <c:axId val="194340267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943419296"/>
        <c:axId val="1943410816"/>
      </c:barChart>
      <c:catAx>
        <c:axId val="19433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402672"/>
        <c:crosses val="autoZero"/>
        <c:auto val="1"/>
        <c:lblAlgn val="ctr"/>
        <c:lblOffset val="100"/>
        <c:noMultiLvlLbl val="0"/>
      </c:catAx>
      <c:valAx>
        <c:axId val="194340267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398176"/>
        <c:crosses val="autoZero"/>
        <c:crossBetween val="between"/>
        <c:majorUnit val="0.2"/>
      </c:valAx>
      <c:valAx>
        <c:axId val="1943410816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419296"/>
        <c:crosses val="max"/>
        <c:crossBetween val="between"/>
        <c:majorUnit val="1.9"/>
      </c:valAx>
      <c:catAx>
        <c:axId val="19434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4108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PCR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Germany_ESS!$H$30:$H$34</c:f>
              <c:numCache>
                <c:formatCode>0</c:formatCode>
                <c:ptCount val="5"/>
                <c:pt idx="0">
                  <c:v>153.92734457616</c:v>
                </c:pt>
                <c:pt idx="1">
                  <c:v>153.92734457616</c:v>
                </c:pt>
                <c:pt idx="2">
                  <c:v>153.92734457616</c:v>
                </c:pt>
                <c:pt idx="3">
                  <c:v>-101.916208259356</c:v>
                </c:pt>
                <c:pt idx="4">
                  <c:v>-101.916208259356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Germany_ESS!$I$30:$I$34</c:f>
              <c:numCache>
                <c:formatCode>0</c:formatCode>
                <c:ptCount val="5"/>
                <c:pt idx="1">
                  <c:v>0.0</c:v>
                </c:pt>
                <c:pt idx="3">
                  <c:v>153.92734457616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8880080"/>
        <c:axId val="1929301952"/>
      </c:barChart>
      <c:catAx>
        <c:axId val="193888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9301952"/>
        <c:crosses val="autoZero"/>
        <c:auto val="1"/>
        <c:lblAlgn val="ctr"/>
        <c:lblOffset val="100"/>
        <c:noMultiLvlLbl val="0"/>
      </c:catAx>
      <c:valAx>
        <c:axId val="192930195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38880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90416"/>
        <c:axId val="1944195168"/>
      </c:barChart>
      <c:catAx>
        <c:axId val="19441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195168"/>
        <c:crosses val="autoZero"/>
        <c:auto val="1"/>
        <c:lblAlgn val="ctr"/>
        <c:lblOffset val="100"/>
        <c:noMultiLvlLbl val="0"/>
      </c:catAx>
      <c:valAx>
        <c:axId val="19441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1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297264"/>
        <c:axId val="1944301856"/>
      </c:barChart>
      <c:catAx>
        <c:axId val="19442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301856"/>
        <c:crosses val="autoZero"/>
        <c:auto val="1"/>
        <c:lblAlgn val="ctr"/>
        <c:lblOffset val="100"/>
        <c:noMultiLvlLbl val="0"/>
      </c:catAx>
      <c:valAx>
        <c:axId val="1944301856"/>
        <c:scaling>
          <c:orientation val="minMax"/>
          <c:max val="1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</a:t>
                </a:r>
                <a:r>
                  <a:rPr lang="en-US" baseline="0"/>
                  <a:t> consumption)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297264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1262626262626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178.820089158377</c:v>
                </c:pt>
                <c:pt idx="1">
                  <c:v>390.0582245883543</c:v>
                </c:pt>
                <c:pt idx="2">
                  <c:v>754.3438116473604</c:v>
                </c:pt>
                <c:pt idx="3">
                  <c:v>1375.733824413247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83869203849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53817308441685E-17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3817308441685E-17"/>
                  <c:y val="0.03076781595482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-178.5897479362393</c:v>
                </c:pt>
                <c:pt idx="1">
                  <c:v>-178.5897479362393</c:v>
                </c:pt>
                <c:pt idx="2">
                  <c:v>-178.5897479362393</c:v>
                </c:pt>
                <c:pt idx="3">
                  <c:v>-178.5897479362393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144.4275746645977</c:v>
                </c:pt>
                <c:pt idx="1">
                  <c:v>358.4931068287393</c:v>
                </c:pt>
                <c:pt idx="2">
                  <c:v>722.778693887747</c:v>
                </c:pt>
                <c:pt idx="3">
                  <c:v>1344.168706653634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405920"/>
        <c:axId val="1944410352"/>
      </c:barChart>
      <c:catAx>
        <c:axId val="19444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410352"/>
        <c:crosses val="autoZero"/>
        <c:auto val="1"/>
        <c:lblAlgn val="ctr"/>
        <c:lblOffset val="100"/>
        <c:noMultiLvlLbl val="0"/>
      </c:catAx>
      <c:valAx>
        <c:axId val="1944410352"/>
        <c:scaling>
          <c:orientation val="minMax"/>
          <c:min val="-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405920"/>
        <c:crosses val="autoZero"/>
        <c:crossBetween val="between"/>
        <c:majorUnit val="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1001.151565901728</c:v>
                </c:pt>
                <c:pt idx="1">
                  <c:v>1892.644283578664</c:v>
                </c:pt>
                <c:pt idx="2">
                  <c:v>3450.051148420711</c:v>
                </c:pt>
                <c:pt idx="3">
                  <c:v>4749.02567383131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-1223.338960237897</c:v>
                </c:pt>
                <c:pt idx="1">
                  <c:v>-1223.338960237897</c:v>
                </c:pt>
                <c:pt idx="2">
                  <c:v>-1223.338960237897</c:v>
                </c:pt>
                <c:pt idx="3">
                  <c:v>-1223.338960237897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762.2365184925806</c:v>
                </c:pt>
                <c:pt idx="1">
                  <c:v>1676.423370642383</c:v>
                </c:pt>
                <c:pt idx="2">
                  <c:v>3233.83023548443</c:v>
                </c:pt>
                <c:pt idx="3">
                  <c:v>4532.804760895046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499536"/>
        <c:axId val="1944504128"/>
      </c:barChart>
      <c:catAx>
        <c:axId val="1944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504128"/>
        <c:crosses val="autoZero"/>
        <c:auto val="1"/>
        <c:lblAlgn val="ctr"/>
        <c:lblOffset val="100"/>
        <c:noMultiLvlLbl val="0"/>
      </c:catAx>
      <c:valAx>
        <c:axId val="1944504128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499536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Germany_EV_new!$B$10:$E$10</c:f>
              <c:numCache>
                <c:formatCode>0</c:formatCode>
                <c:ptCount val="4"/>
                <c:pt idx="2">
                  <c:v>100.0</c:v>
                </c:pt>
                <c:pt idx="3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606672"/>
        <c:axId val="1944611472"/>
      </c:barChart>
      <c:catAx>
        <c:axId val="19446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611472"/>
        <c:crosses val="autoZero"/>
        <c:auto val="1"/>
        <c:lblAlgn val="ctr"/>
        <c:lblOffset val="100"/>
        <c:noMultiLvlLbl val="0"/>
      </c:catAx>
      <c:valAx>
        <c:axId val="1944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6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strRef>
              <c:f>Germany_EV_new!$A$9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701248"/>
        <c:axId val="1944706144"/>
      </c:barChart>
      <c:catAx>
        <c:axId val="19447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706144"/>
        <c:crosses val="autoZero"/>
        <c:auto val="1"/>
        <c:lblAlgn val="ctr"/>
        <c:lblOffset val="100"/>
        <c:noMultiLvlLbl val="0"/>
      </c:catAx>
      <c:valAx>
        <c:axId val="1944706144"/>
        <c:scaling>
          <c:orientation val="minMax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701248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Germany_EV_new!$B$11:$E$11</c:f>
              <c:numCache>
                <c:formatCode>0</c:formatCode>
                <c:ptCount val="4"/>
                <c:pt idx="0">
                  <c:v>180.9102093544591</c:v>
                </c:pt>
                <c:pt idx="1">
                  <c:v>397.0274852670347</c:v>
                </c:pt>
                <c:pt idx="2">
                  <c:v>754.9527298257042</c:v>
                </c:pt>
                <c:pt idx="3">
                  <c:v>1694.771005061111</c:v>
                </c:pt>
              </c:numCache>
            </c:numRef>
          </c:val>
        </c:ser>
        <c:ser>
          <c:idx val="1"/>
          <c:order val="1"/>
          <c:tx>
            <c:strRef>
              <c:f>Germany_EV_new!$A$12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Germany_EV_new!$B$12:$E$12</c:f>
              <c:numCache>
                <c:formatCode>0</c:formatCode>
                <c:ptCount val="4"/>
                <c:pt idx="0">
                  <c:v>-175.1553297478592</c:v>
                </c:pt>
                <c:pt idx="1">
                  <c:v>-178.5897479782086</c:v>
                </c:pt>
                <c:pt idx="2">
                  <c:v>-178.5897479782086</c:v>
                </c:pt>
                <c:pt idx="3">
                  <c:v>-178.5897479782086</c:v>
                </c:pt>
              </c:numCache>
            </c:numRef>
          </c:val>
        </c:ser>
        <c:ser>
          <c:idx val="2"/>
          <c:order val="2"/>
          <c:tx>
            <c:strRef>
              <c:f>Germany_EV_new!$A$13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Germany_EV_new!$B$13:$E$13</c:f>
              <c:numCache>
                <c:formatCode>0</c:formatCode>
                <c:ptCount val="4"/>
                <c:pt idx="0">
                  <c:v>-90.18102775230984</c:v>
                </c:pt>
                <c:pt idx="1">
                  <c:v>8.369822380810937</c:v>
                </c:pt>
                <c:pt idx="2">
                  <c:v>461.6826770164022</c:v>
                </c:pt>
                <c:pt idx="3">
                  <c:v>1458.941761394942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788480"/>
        <c:axId val="1944793344"/>
      </c:barChart>
      <c:catAx>
        <c:axId val="19447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793344"/>
        <c:crosses val="autoZero"/>
        <c:auto val="1"/>
        <c:lblAlgn val="ctr"/>
        <c:lblOffset val="100"/>
        <c:noMultiLvlLbl val="0"/>
      </c:catAx>
      <c:valAx>
        <c:axId val="194479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7884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Germany_EV_new!$B$15:$E$15</c:f>
              <c:numCache>
                <c:formatCode>0</c:formatCode>
                <c:ptCount val="4"/>
                <c:pt idx="0">
                  <c:v>1059.047156339278</c:v>
                </c:pt>
                <c:pt idx="1">
                  <c:v>1961.057053227147</c:v>
                </c:pt>
                <c:pt idx="2">
                  <c:v>3494.314049060198</c:v>
                </c:pt>
                <c:pt idx="3">
                  <c:v>4786.807959193243</c:v>
                </c:pt>
              </c:numCache>
            </c:numRef>
          </c:val>
        </c:ser>
        <c:ser>
          <c:idx val="1"/>
          <c:order val="1"/>
          <c:tx>
            <c:strRef>
              <c:f>Germany_EV_new!$A$16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Germany_EV_new!$B$16:$E$16</c:f>
              <c:numCache>
                <c:formatCode>0</c:formatCode>
                <c:ptCount val="4"/>
                <c:pt idx="0">
                  <c:v>-1219.688011799768</c:v>
                </c:pt>
                <c:pt idx="1">
                  <c:v>-1219.688011799768</c:v>
                </c:pt>
                <c:pt idx="2">
                  <c:v>-1219.688011799768</c:v>
                </c:pt>
                <c:pt idx="3">
                  <c:v>-1219.688011799768</c:v>
                </c:pt>
              </c:numCache>
            </c:numRef>
          </c:val>
        </c:ser>
        <c:ser>
          <c:idx val="2"/>
          <c:order val="2"/>
          <c:tx>
            <c:strRef>
              <c:f>Germany_EV_new!$A$17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Germany_EV_new!$B$17:$E$17</c:f>
              <c:numCache>
                <c:formatCode>0</c:formatCode>
                <c:ptCount val="4"/>
                <c:pt idx="0">
                  <c:v>-680.0178366518616</c:v>
                </c:pt>
                <c:pt idx="1">
                  <c:v>-255.2514309229768</c:v>
                </c:pt>
                <c:pt idx="2">
                  <c:v>1592.715127561094</c:v>
                </c:pt>
                <c:pt idx="3">
                  <c:v>2948.72166239883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474320"/>
        <c:axId val="1943479216"/>
      </c:barChart>
      <c:catAx>
        <c:axId val="19434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479216"/>
        <c:crosses val="autoZero"/>
        <c:auto val="1"/>
        <c:lblAlgn val="ctr"/>
        <c:lblOffset val="100"/>
        <c:noMultiLvlLbl val="0"/>
      </c:catAx>
      <c:valAx>
        <c:axId val="1943479216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474320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538720"/>
        <c:axId val="1943543520"/>
      </c:barChart>
      <c:catAx>
        <c:axId val="19435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543520"/>
        <c:crosses val="autoZero"/>
        <c:auto val="1"/>
        <c:lblAlgn val="ctr"/>
        <c:lblOffset val="100"/>
        <c:noMultiLvlLbl val="0"/>
      </c:catAx>
      <c:valAx>
        <c:axId val="19435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5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633456"/>
        <c:axId val="1943638352"/>
      </c:barChart>
      <c:catAx>
        <c:axId val="19436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638352"/>
        <c:crosses val="autoZero"/>
        <c:auto val="1"/>
        <c:lblAlgn val="ctr"/>
        <c:lblOffset val="100"/>
        <c:noMultiLvlLbl val="0"/>
      </c:catAx>
      <c:valAx>
        <c:axId val="1943638352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633456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9182048"/>
        <c:axId val="1938818848"/>
      </c:barChart>
      <c:catAx>
        <c:axId val="192918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8818848"/>
        <c:crosses val="autoZero"/>
        <c:auto val="1"/>
        <c:lblAlgn val="ctr"/>
        <c:lblOffset val="100"/>
        <c:noMultiLvlLbl val="0"/>
      </c:catAx>
      <c:valAx>
        <c:axId val="1938818848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9182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79.16978632268587</c:v>
                </c:pt>
                <c:pt idx="1">
                  <c:v>217.4017606763295</c:v>
                </c:pt>
                <c:pt idx="2">
                  <c:v>681.1291248738157</c:v>
                </c:pt>
                <c:pt idx="3">
                  <c:v>605.6880921937921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-60.69427400676273</c:v>
                </c:pt>
                <c:pt idx="1">
                  <c:v>-60.69427400676273</c:v>
                </c:pt>
                <c:pt idx="2">
                  <c:v>-60.69427400676273</c:v>
                </c:pt>
                <c:pt idx="3">
                  <c:v>-60.69427400676273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-43.55874241742781</c:v>
                </c:pt>
                <c:pt idx="1">
                  <c:v>38.31154794718484</c:v>
                </c:pt>
                <c:pt idx="2">
                  <c:v>533.4197011215006</c:v>
                </c:pt>
                <c:pt idx="3">
                  <c:v>484.3562312859135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721040"/>
        <c:axId val="1943725904"/>
      </c:barChart>
      <c:catAx>
        <c:axId val="19437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725904"/>
        <c:crosses val="autoZero"/>
        <c:auto val="1"/>
        <c:lblAlgn val="ctr"/>
        <c:lblOffset val="100"/>
        <c:noMultiLvlLbl val="0"/>
      </c:catAx>
      <c:valAx>
        <c:axId val="1943725904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72104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516.7425792194218</c:v>
                </c:pt>
                <c:pt idx="1">
                  <c:v>1503.706855118756</c:v>
                </c:pt>
                <c:pt idx="2">
                  <c:v>1969.477396690636</c:v>
                </c:pt>
                <c:pt idx="3">
                  <c:v>1886.228521350689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48755627201335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48755627201335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0.0416672134733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-422.6424539721652</c:v>
                </c:pt>
                <c:pt idx="1">
                  <c:v>-422.6424539721652</c:v>
                </c:pt>
                <c:pt idx="2">
                  <c:v>-422.6424539721652</c:v>
                </c:pt>
                <c:pt idx="3">
                  <c:v>-422.6424539721652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-318.5133208051019</c:v>
                </c:pt>
                <c:pt idx="1">
                  <c:v>260.6958405032861</c:v>
                </c:pt>
                <c:pt idx="2">
                  <c:v>756.879813882542</c:v>
                </c:pt>
                <c:pt idx="3">
                  <c:v>722.606601244678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816064"/>
        <c:axId val="1943820960"/>
      </c:barChart>
      <c:catAx>
        <c:axId val="19438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820960"/>
        <c:crosses val="autoZero"/>
        <c:auto val="1"/>
        <c:lblAlgn val="ctr"/>
        <c:lblOffset val="100"/>
        <c:noMultiLvlLbl val="0"/>
      </c:catAx>
      <c:valAx>
        <c:axId val="1943820960"/>
        <c:scaling>
          <c:orientation val="minMax"/>
          <c:max val="3200.0"/>
          <c:min val="-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816064"/>
        <c:crosses val="autoZero"/>
        <c:crossBetween val="between"/>
        <c:majorUnit val="8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 formatCode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 formatCode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 formatCode="0">
                  <c:v>197.8799711030183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919040"/>
        <c:axId val="1943923728"/>
      </c:barChart>
      <c:catAx>
        <c:axId val="19439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923728"/>
        <c:crosses val="autoZero"/>
        <c:auto val="1"/>
        <c:lblAlgn val="ctr"/>
        <c:lblOffset val="100"/>
        <c:noMultiLvlLbl val="0"/>
      </c:catAx>
      <c:valAx>
        <c:axId val="1943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39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</c:formatCode>
                <c:ptCount val="1"/>
                <c:pt idx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</c:formatCode>
                <c:ptCount val="1"/>
                <c:pt idx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</c:formatCode>
                <c:ptCount val="1"/>
                <c:pt idx="0">
                  <c:v>197.8799711030183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010496"/>
        <c:axId val="1944015392"/>
      </c:barChart>
      <c:catAx>
        <c:axId val="19440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015392"/>
        <c:crosses val="autoZero"/>
        <c:auto val="1"/>
        <c:lblAlgn val="ctr"/>
        <c:lblOffset val="100"/>
        <c:noMultiLvlLbl val="0"/>
      </c:catAx>
      <c:valAx>
        <c:axId val="194401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0104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</c:formatCode>
                <c:ptCount val="1"/>
                <c:pt idx="0">
                  <c:v>589.5567752169278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</c:formatCode>
                <c:ptCount val="1"/>
                <c:pt idx="0">
                  <c:v>-121.1471328813674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</c:formatCode>
                <c:ptCount val="1"/>
                <c:pt idx="0">
                  <c:v>342.124765834347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5158112"/>
        <c:axId val="1945162976"/>
      </c:barChart>
      <c:catAx>
        <c:axId val="19451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5162976"/>
        <c:crosses val="autoZero"/>
        <c:auto val="1"/>
        <c:lblAlgn val="ctr"/>
        <c:lblOffset val="100"/>
        <c:noMultiLvlLbl val="0"/>
      </c:catAx>
      <c:valAx>
        <c:axId val="1945162976"/>
        <c:scaling>
          <c:orientation val="minMax"/>
          <c:max val="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51581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</c:formatCode>
                <c:ptCount val="1"/>
                <c:pt idx="0">
                  <c:v>4105.357981641488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</c:formatCode>
                <c:ptCount val="1"/>
                <c:pt idx="0">
                  <c:v>-843.603822116202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</c:formatCode>
                <c:ptCount val="1"/>
                <c:pt idx="0">
                  <c:v>2382.373839429556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852640"/>
        <c:axId val="1944857504"/>
      </c:barChart>
      <c:catAx>
        <c:axId val="19448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857504"/>
        <c:crosses val="autoZero"/>
        <c:auto val="1"/>
        <c:lblAlgn val="ctr"/>
        <c:lblOffset val="100"/>
        <c:noMultiLvlLbl val="0"/>
      </c:catAx>
      <c:valAx>
        <c:axId val="1944857504"/>
        <c:scaling>
          <c:orientation val="minMax"/>
          <c:max val="6000.0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44852640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9191232"/>
        <c:axId val="1938915504"/>
      </c:barChart>
      <c:catAx>
        <c:axId val="1929191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8915504"/>
        <c:crosses val="autoZero"/>
        <c:auto val="1"/>
        <c:lblAlgn val="ctr"/>
        <c:lblOffset val="100"/>
        <c:noMultiLvlLbl val="0"/>
      </c:catAx>
      <c:valAx>
        <c:axId val="1938915504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9191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BE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Germany_ESS!$F$30:$F$34</c:f>
              <c:numCache>
                <c:formatCode>0</c:formatCode>
                <c:ptCount val="5"/>
                <c:pt idx="0">
                  <c:v>325.686320245466</c:v>
                </c:pt>
                <c:pt idx="1">
                  <c:v>277.158302285157</c:v>
                </c:pt>
                <c:pt idx="2">
                  <c:v>277.158302285157</c:v>
                </c:pt>
                <c:pt idx="3">
                  <c:v>21.3147494496412</c:v>
                </c:pt>
                <c:pt idx="4">
                  <c:v>21.3147494496412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Germany_ESS!$G$30:$G$34</c:f>
              <c:numCache>
                <c:formatCode>0</c:formatCode>
                <c:ptCount val="5"/>
                <c:pt idx="1">
                  <c:v>48.528017960309</c:v>
                </c:pt>
                <c:pt idx="3">
                  <c:v>255.8435528355158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9234704"/>
        <c:axId val="1929238688"/>
      </c:barChart>
      <c:catAx>
        <c:axId val="192923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9238688"/>
        <c:crosses val="autoZero"/>
        <c:auto val="1"/>
        <c:lblAlgn val="ctr"/>
        <c:lblOffset val="100"/>
        <c:noMultiLvlLbl val="0"/>
      </c:catAx>
      <c:valAx>
        <c:axId val="192923868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9292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168656"/>
        <c:axId val="1939140752"/>
      </c:barChart>
      <c:catAx>
        <c:axId val="19391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40752"/>
        <c:crosses val="autoZero"/>
        <c:auto val="1"/>
        <c:lblAlgn val="ctr"/>
        <c:lblOffset val="100"/>
        <c:noMultiLvlLbl val="0"/>
      </c:catAx>
      <c:valAx>
        <c:axId val="19391407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146050</xdr:rowOff>
    </xdr:from>
    <xdr:to>
      <xdr:col>11</xdr:col>
      <xdr:colOff>425450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19</xdr:row>
      <xdr:rowOff>69850</xdr:rowOff>
    </xdr:from>
    <xdr:to>
      <xdr:col>11</xdr:col>
      <xdr:colOff>374650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38</xdr:row>
      <xdr:rowOff>0</xdr:rowOff>
    </xdr:from>
    <xdr:to>
      <xdr:col>14</xdr:col>
      <xdr:colOff>0</xdr:colOff>
      <xdr:row>60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38</xdr:row>
      <xdr:rowOff>0</xdr:rowOff>
    </xdr:from>
    <xdr:to>
      <xdr:col>12</xdr:col>
      <xdr:colOff>241300</xdr:colOff>
      <xdr:row>60</xdr:row>
      <xdr:rowOff>101600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38</xdr:row>
      <xdr:rowOff>12700</xdr:rowOff>
    </xdr:from>
    <xdr:to>
      <xdr:col>8</xdr:col>
      <xdr:colOff>698500</xdr:colOff>
      <xdr:row>60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38</xdr:row>
      <xdr:rowOff>19050</xdr:rowOff>
    </xdr:from>
    <xdr:to>
      <xdr:col>7</xdr:col>
      <xdr:colOff>120650</xdr:colOff>
      <xdr:row>60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38</xdr:row>
      <xdr:rowOff>12700</xdr:rowOff>
    </xdr:from>
    <xdr:to>
      <xdr:col>10</xdr:col>
      <xdr:colOff>469900</xdr:colOff>
      <xdr:row>60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24</xdr:row>
      <xdr:rowOff>171450</xdr:rowOff>
    </xdr:from>
    <xdr:to>
      <xdr:col>13</xdr:col>
      <xdr:colOff>685800</xdr:colOff>
      <xdr:row>38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317500</xdr:colOff>
      <xdr:row>50</xdr:row>
      <xdr:rowOff>12700</xdr:rowOff>
    </xdr:from>
    <xdr:to>
      <xdr:col>6</xdr:col>
      <xdr:colOff>774700</xdr:colOff>
      <xdr:row>58</xdr:row>
      <xdr:rowOff>50800</xdr:rowOff>
    </xdr:to>
    <xdr:sp macro="" textlink="">
      <xdr:nvSpPr>
        <xdr:cNvPr id="2" name="Rectangle 1"/>
        <xdr:cNvSpPr/>
      </xdr:nvSpPr>
      <xdr:spPr>
        <a:xfrm>
          <a:off x="4445000" y="10172700"/>
          <a:ext cx="1282700" cy="1663700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50</xdr:row>
      <xdr:rowOff>12700</xdr:rowOff>
    </xdr:from>
    <xdr:to>
      <xdr:col>8</xdr:col>
      <xdr:colOff>533400</xdr:colOff>
      <xdr:row>58</xdr:row>
      <xdr:rowOff>50800</xdr:rowOff>
    </xdr:to>
    <xdr:sp macro="" textlink="">
      <xdr:nvSpPr>
        <xdr:cNvPr id="11" name="Rectangle 10"/>
        <xdr:cNvSpPr/>
      </xdr:nvSpPr>
      <xdr:spPr>
        <a:xfrm>
          <a:off x="5892800" y="10172700"/>
          <a:ext cx="1244600" cy="1663700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711200</xdr:colOff>
      <xdr:row>49</xdr:row>
      <xdr:rowOff>88900</xdr:rowOff>
    </xdr:from>
    <xdr:to>
      <xdr:col>10</xdr:col>
      <xdr:colOff>304800</xdr:colOff>
      <xdr:row>50</xdr:row>
      <xdr:rowOff>13716</xdr:rowOff>
    </xdr:to>
    <xdr:sp macro="" textlink="">
      <xdr:nvSpPr>
        <xdr:cNvPr id="13" name="Rectangle 12"/>
        <xdr:cNvSpPr/>
      </xdr:nvSpPr>
      <xdr:spPr>
        <a:xfrm>
          <a:off x="7315200" y="10045700"/>
          <a:ext cx="1244600" cy="128016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482600</xdr:colOff>
      <xdr:row>50</xdr:row>
      <xdr:rowOff>12700</xdr:rowOff>
    </xdr:from>
    <xdr:to>
      <xdr:col>12</xdr:col>
      <xdr:colOff>76200</xdr:colOff>
      <xdr:row>53</xdr:row>
      <xdr:rowOff>134620</xdr:rowOff>
    </xdr:to>
    <xdr:sp macro="" textlink="">
      <xdr:nvSpPr>
        <xdr:cNvPr id="14" name="Rectangle 13"/>
        <xdr:cNvSpPr/>
      </xdr:nvSpPr>
      <xdr:spPr>
        <a:xfrm>
          <a:off x="8737600" y="10172700"/>
          <a:ext cx="1244600" cy="731520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241300</xdr:colOff>
      <xdr:row>50</xdr:row>
      <xdr:rowOff>0</xdr:rowOff>
    </xdr:from>
    <xdr:to>
      <xdr:col>13</xdr:col>
      <xdr:colOff>660400</xdr:colOff>
      <xdr:row>58</xdr:row>
      <xdr:rowOff>63500</xdr:rowOff>
    </xdr:to>
    <xdr:sp macro="" textlink="">
      <xdr:nvSpPr>
        <xdr:cNvPr id="15" name="Rectangle 14"/>
        <xdr:cNvSpPr/>
      </xdr:nvSpPr>
      <xdr:spPr>
        <a:xfrm>
          <a:off x="10147300" y="10160000"/>
          <a:ext cx="1244600" cy="1689100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165100</xdr:colOff>
      <xdr:row>44</xdr:row>
      <xdr:rowOff>76200</xdr:rowOff>
    </xdr:from>
    <xdr:to>
      <xdr:col>3</xdr:col>
      <xdr:colOff>622300</xdr:colOff>
      <xdr:row>52</xdr:row>
      <xdr:rowOff>114300</xdr:rowOff>
    </xdr:to>
    <xdr:sp macro="" textlink="">
      <xdr:nvSpPr>
        <xdr:cNvPr id="10" name="Rectangle 9"/>
        <xdr:cNvSpPr/>
      </xdr:nvSpPr>
      <xdr:spPr>
        <a:xfrm>
          <a:off x="1816100" y="9017000"/>
          <a:ext cx="1282700" cy="1663700"/>
        </a:xfrm>
        <a:prstGeom prst="rect">
          <a:avLst/>
        </a:prstGeom>
        <a:solidFill>
          <a:schemeClr val="bg2">
            <a:alpha val="33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15</xdr:col>
      <xdr:colOff>419100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63500</xdr:colOff>
      <xdr:row>34</xdr:row>
      <xdr:rowOff>6350</xdr:rowOff>
    </xdr:from>
    <xdr:to>
      <xdr:col>22</xdr:col>
      <xdr:colOff>508000</xdr:colOff>
      <xdr:row>47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35</xdr:row>
      <xdr:rowOff>114300</xdr:rowOff>
    </xdr:from>
    <xdr:to>
      <xdr:col>15</xdr:col>
      <xdr:colOff>584200</xdr:colOff>
      <xdr:row>58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9</xdr:col>
      <xdr:colOff>787400</xdr:colOff>
      <xdr:row>49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22</xdr:row>
      <xdr:rowOff>82550</xdr:rowOff>
    </xdr:from>
    <xdr:to>
      <xdr:col>11</xdr:col>
      <xdr:colOff>444500</xdr:colOff>
      <xdr:row>40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76199</xdr:rowOff>
    </xdr:from>
    <xdr:to>
      <xdr:col>14</xdr:col>
      <xdr:colOff>381000</xdr:colOff>
      <xdr:row>19</xdr:row>
      <xdr:rowOff>74464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28</xdr:row>
      <xdr:rowOff>74465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63499</xdr:rowOff>
    </xdr:from>
    <xdr:to>
      <xdr:col>14</xdr:col>
      <xdr:colOff>381000</xdr:colOff>
      <xdr:row>37</xdr:row>
      <xdr:rowOff>61765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showGridLines="0" workbookViewId="0">
      <selection activeCell="B20" sqref="B20:D24"/>
    </sheetView>
  </sheetViews>
  <sheetFormatPr baseColWidth="10" defaultRowHeight="16" x14ac:dyDescent="0.2"/>
  <sheetData>
    <row r="2" spans="1:4" x14ac:dyDescent="0.2">
      <c r="B2" t="s">
        <v>36</v>
      </c>
      <c r="C2" t="s">
        <v>37</v>
      </c>
      <c r="D2" t="s">
        <v>38</v>
      </c>
    </row>
    <row r="3" spans="1:4" x14ac:dyDescent="0.2">
      <c r="A3" t="s">
        <v>0</v>
      </c>
      <c r="B3">
        <v>2608</v>
      </c>
      <c r="C3">
        <v>4041</v>
      </c>
    </row>
    <row r="4" spans="1:4" x14ac:dyDescent="0.2">
      <c r="A4" t="s">
        <v>4</v>
      </c>
      <c r="C4">
        <v>2029</v>
      </c>
    </row>
    <row r="5" spans="1:4" x14ac:dyDescent="0.2">
      <c r="A5" t="s">
        <v>19</v>
      </c>
      <c r="B5">
        <f>6333-2608</f>
        <v>3725</v>
      </c>
      <c r="D5">
        <v>109301</v>
      </c>
    </row>
    <row r="20" spans="1:4" x14ac:dyDescent="0.2">
      <c r="A20" t="s">
        <v>2</v>
      </c>
      <c r="B20">
        <v>0</v>
      </c>
      <c r="C20">
        <v>1522</v>
      </c>
      <c r="D20">
        <v>0</v>
      </c>
    </row>
    <row r="21" spans="1:4" x14ac:dyDescent="0.2">
      <c r="A21" t="s">
        <v>10</v>
      </c>
      <c r="B21">
        <v>0</v>
      </c>
      <c r="C21">
        <v>490</v>
      </c>
      <c r="D21">
        <v>0</v>
      </c>
    </row>
    <row r="22" spans="1:4" x14ac:dyDescent="0.2">
      <c r="A22" t="s">
        <v>11</v>
      </c>
      <c r="B22">
        <v>513</v>
      </c>
      <c r="C22">
        <v>0</v>
      </c>
      <c r="D22">
        <v>0</v>
      </c>
    </row>
    <row r="23" spans="1:4" x14ac:dyDescent="0.2">
      <c r="A23" t="s">
        <v>13</v>
      </c>
      <c r="B23">
        <v>342</v>
      </c>
      <c r="C23">
        <v>0</v>
      </c>
      <c r="D23">
        <v>0</v>
      </c>
    </row>
    <row r="24" spans="1:4" x14ac:dyDescent="0.2">
      <c r="A24" t="s">
        <v>39</v>
      </c>
      <c r="B24">
        <v>0</v>
      </c>
      <c r="C24">
        <v>0</v>
      </c>
      <c r="D24">
        <v>2933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showGridLines="0" topLeftCell="B6" workbookViewId="0">
      <selection activeCell="G13" sqref="G13"/>
    </sheetView>
  </sheetViews>
  <sheetFormatPr baseColWidth="10" defaultRowHeight="16" x14ac:dyDescent="0.2"/>
  <cols>
    <col min="7" max="7" width="14.5" bestFit="1" customWidth="1"/>
  </cols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14</v>
      </c>
      <c r="D6" t="s">
        <v>15</v>
      </c>
      <c r="E6" t="s">
        <v>34</v>
      </c>
    </row>
    <row r="7" spans="1:7" x14ac:dyDescent="0.2">
      <c r="A7" t="s">
        <v>20</v>
      </c>
      <c r="B7" s="3">
        <f>B21/B$20</f>
        <v>105.06160911764348</v>
      </c>
      <c r="C7" s="3">
        <f t="shared" ref="C7:E7" si="0">C21/C$20</f>
        <v>230.52782290573404</v>
      </c>
      <c r="D7" s="3">
        <f t="shared" si="0"/>
        <v>436.65997475618894</v>
      </c>
      <c r="E7" s="3">
        <f t="shared" si="0"/>
        <v>1056.4304562208818</v>
      </c>
    </row>
    <row r="8" spans="1:7" x14ac:dyDescent="0.2">
      <c r="A8" t="s">
        <v>21</v>
      </c>
      <c r="B8" s="3">
        <f>B22/B$20</f>
        <v>-103.29370363773749</v>
      </c>
      <c r="C8" s="3">
        <f>C22/C$20</f>
        <v>-103.29370363773749</v>
      </c>
      <c r="D8" s="3">
        <f>D22/D$20</f>
        <v>-103.29370363773749</v>
      </c>
      <c r="E8" s="3">
        <f>E22/E$20</f>
        <v>-103.29370363773749</v>
      </c>
    </row>
    <row r="9" spans="1:7" x14ac:dyDescent="0.2">
      <c r="A9" t="s">
        <v>22</v>
      </c>
      <c r="B9" s="3">
        <f t="shared" ref="B9" si="1">(B21-B23)/B$20</f>
        <v>-52.058423813960211</v>
      </c>
      <c r="C9" s="3">
        <f>(C21-C23)/C$20</f>
        <v>5.0455937756129652</v>
      </c>
      <c r="D9" s="3">
        <f t="shared" ref="D9:E9" si="2">(D21-D23)/D$20</f>
        <v>267.03685661166935</v>
      </c>
      <c r="E9" s="3">
        <f t="shared" si="2"/>
        <v>924.40732092860867</v>
      </c>
    </row>
    <row r="10" spans="1:7" x14ac:dyDescent="0.2">
      <c r="B10" s="3"/>
      <c r="C10" s="3"/>
      <c r="D10" s="3">
        <v>100</v>
      </c>
      <c r="E10" s="3">
        <v>1000</v>
      </c>
    </row>
    <row r="11" spans="1:7" x14ac:dyDescent="0.2">
      <c r="A11" t="s">
        <v>20</v>
      </c>
      <c r="B11" s="3">
        <f>B25/B$20</f>
        <v>180.91020935445908</v>
      </c>
      <c r="C11" s="3">
        <f t="shared" ref="C11:E11" si="3">C25/C$20</f>
        <v>397.02748526703471</v>
      </c>
      <c r="D11" s="3">
        <f t="shared" si="3"/>
        <v>754.95272982570418</v>
      </c>
      <c r="E11" s="3">
        <f t="shared" si="3"/>
        <v>1694.7710050611113</v>
      </c>
    </row>
    <row r="12" spans="1:7" x14ac:dyDescent="0.2">
      <c r="A12" t="s">
        <v>21</v>
      </c>
      <c r="B12" s="3">
        <f t="shared" ref="B12:E12" si="4">B26/B$20</f>
        <v>-175.15532974785924</v>
      </c>
      <c r="C12" s="3">
        <f t="shared" si="4"/>
        <v>-178.58974797820861</v>
      </c>
      <c r="D12" s="3">
        <f t="shared" si="4"/>
        <v>-178.58974797820861</v>
      </c>
      <c r="E12" s="3">
        <f t="shared" si="4"/>
        <v>-178.58974797820861</v>
      </c>
    </row>
    <row r="13" spans="1:7" x14ac:dyDescent="0.2">
      <c r="A13" t="s">
        <v>22</v>
      </c>
      <c r="B13" s="3">
        <f t="shared" ref="B13:E13" si="5">(B25-B27)/B$20</f>
        <v>-90.181027752309845</v>
      </c>
      <c r="C13" s="3">
        <f t="shared" si="5"/>
        <v>8.3698223808109375</v>
      </c>
      <c r="D13" s="3">
        <f t="shared" si="5"/>
        <v>461.68267701640224</v>
      </c>
      <c r="E13" s="3">
        <f t="shared" si="5"/>
        <v>1458.9417613949424</v>
      </c>
      <c r="F13">
        <v>74754</v>
      </c>
      <c r="G13" s="4">
        <f>E9*E20/F13</f>
        <v>731.29999926527091</v>
      </c>
    </row>
    <row r="14" spans="1:7" x14ac:dyDescent="0.2">
      <c r="B14" s="3"/>
      <c r="C14" s="3"/>
      <c r="D14" s="3"/>
      <c r="E14" s="3"/>
      <c r="F14">
        <v>74754</v>
      </c>
    </row>
    <row r="15" spans="1:7" x14ac:dyDescent="0.2">
      <c r="A15" t="s">
        <v>20</v>
      </c>
      <c r="B15" s="3">
        <f>B29/B$20</f>
        <v>1059.0471563392775</v>
      </c>
      <c r="C15" s="3">
        <f t="shared" ref="C15:E15" si="6">C29/C$20</f>
        <v>1961.0570532271468</v>
      </c>
      <c r="D15" s="3">
        <f t="shared" si="6"/>
        <v>3494.3140490601982</v>
      </c>
      <c r="E15" s="3">
        <f t="shared" si="6"/>
        <v>4786.8079591932428</v>
      </c>
      <c r="F15">
        <v>74754</v>
      </c>
      <c r="G15" s="3"/>
    </row>
    <row r="16" spans="1:7" x14ac:dyDescent="0.2">
      <c r="A16" t="s">
        <v>21</v>
      </c>
      <c r="B16" s="3">
        <f t="shared" ref="B16:E16" si="7">B30/B$20</f>
        <v>-1219.6880117997682</v>
      </c>
      <c r="C16" s="3">
        <f t="shared" si="7"/>
        <v>-1219.6880117997682</v>
      </c>
      <c r="D16" s="3">
        <f t="shared" si="7"/>
        <v>-1219.6880117997682</v>
      </c>
      <c r="E16" s="3">
        <f t="shared" si="7"/>
        <v>-1219.6880117997682</v>
      </c>
      <c r="F16">
        <v>74754</v>
      </c>
      <c r="G16" s="3"/>
    </row>
    <row r="17" spans="1:7" x14ac:dyDescent="0.2">
      <c r="A17" t="s">
        <v>22</v>
      </c>
      <c r="B17" s="3">
        <f t="shared" ref="B17:E17" si="8">(B29-B31)/B$20</f>
        <v>-680.01783665186167</v>
      </c>
      <c r="C17" s="3">
        <f t="shared" si="8"/>
        <v>-255.25143092297677</v>
      </c>
      <c r="D17" s="3">
        <f t="shared" si="8"/>
        <v>1592.7151275610943</v>
      </c>
      <c r="E17" s="3">
        <f t="shared" si="8"/>
        <v>2948.7216623988302</v>
      </c>
      <c r="F17">
        <v>74754</v>
      </c>
      <c r="G17" s="3"/>
    </row>
    <row r="18" spans="1:7" x14ac:dyDescent="0.2">
      <c r="B18" s="3"/>
      <c r="C18" s="3"/>
      <c r="D18" s="3"/>
      <c r="E18" s="3"/>
    </row>
    <row r="20" spans="1:7" x14ac:dyDescent="0.2">
      <c r="B20">
        <v>59138</v>
      </c>
      <c r="C20">
        <v>59138</v>
      </c>
      <c r="D20">
        <v>59138</v>
      </c>
      <c r="E20">
        <v>59138</v>
      </c>
    </row>
    <row r="21" spans="1:7" x14ac:dyDescent="0.2">
      <c r="B21">
        <v>6213133.4399992004</v>
      </c>
      <c r="C21">
        <v>13632954.3909993</v>
      </c>
      <c r="D21">
        <v>25823197.5871315</v>
      </c>
      <c r="E21">
        <v>62475184.319990501</v>
      </c>
    </row>
    <row r="22" spans="1:7" x14ac:dyDescent="0.2">
      <c r="B22">
        <v>-6108583.0457285196</v>
      </c>
      <c r="C22">
        <v>-6108583.0457285196</v>
      </c>
      <c r="D22">
        <v>-6108583.0457285196</v>
      </c>
      <c r="E22">
        <v>-6108583.0457285196</v>
      </c>
    </row>
    <row r="23" spans="1:7" x14ac:dyDescent="0.2">
      <c r="B23">
        <v>9291764.5075091794</v>
      </c>
      <c r="C23">
        <v>13334568.066297101</v>
      </c>
      <c r="D23">
        <v>10031171.960830599</v>
      </c>
      <c r="E23">
        <v>7807584.1749144401</v>
      </c>
    </row>
    <row r="24" spans="1:7" x14ac:dyDescent="0.2">
      <c r="B24">
        <v>0</v>
      </c>
      <c r="C24">
        <v>0</v>
      </c>
      <c r="D24">
        <v>0</v>
      </c>
      <c r="E24">
        <v>0</v>
      </c>
    </row>
    <row r="25" spans="1:7" x14ac:dyDescent="0.2">
      <c r="B25">
        <v>10698667.960804</v>
      </c>
      <c r="C25">
        <v>23479411.423721898</v>
      </c>
      <c r="D25">
        <v>44646394.536432497</v>
      </c>
      <c r="E25">
        <v>100225367.697304</v>
      </c>
    </row>
    <row r="26" spans="1:7" x14ac:dyDescent="0.2">
      <c r="B26">
        <v>-10358335.8906289</v>
      </c>
      <c r="C26">
        <v>-10561440.5159353</v>
      </c>
      <c r="D26">
        <v>-10561440.5159353</v>
      </c>
      <c r="E26">
        <v>-10561440.5159353</v>
      </c>
    </row>
    <row r="27" spans="1:7" x14ac:dyDescent="0.2">
      <c r="B27">
        <v>16031793.5800201</v>
      </c>
      <c r="C27">
        <v>22984436.867765501</v>
      </c>
      <c r="D27">
        <v>17343404.383036502</v>
      </c>
      <c r="E27">
        <v>13946469.8119299</v>
      </c>
    </row>
    <row r="28" spans="1:7" x14ac:dyDescent="0.2">
      <c r="B28">
        <v>0</v>
      </c>
      <c r="C28">
        <v>0</v>
      </c>
      <c r="D28">
        <v>0</v>
      </c>
      <c r="E28">
        <v>0</v>
      </c>
    </row>
    <row r="29" spans="1:7" x14ac:dyDescent="0.2">
      <c r="B29">
        <v>62629930.731592201</v>
      </c>
      <c r="C29">
        <v>115972992.01374701</v>
      </c>
      <c r="D29">
        <v>206646744.23332199</v>
      </c>
      <c r="E29">
        <v>283082249.09077001</v>
      </c>
      <c r="G29" s="5"/>
    </row>
    <row r="30" spans="1:7" x14ac:dyDescent="0.2">
      <c r="B30">
        <v>-72129909.641814694</v>
      </c>
      <c r="C30">
        <v>-72129909.641814694</v>
      </c>
      <c r="D30">
        <v>-72129909.641814694</v>
      </c>
      <c r="E30">
        <v>-72129909.641814694</v>
      </c>
    </row>
    <row r="31" spans="1:7" x14ac:dyDescent="0.2">
      <c r="B31">
        <v>102844825.55551</v>
      </c>
      <c r="C31">
        <v>131068051.13567001</v>
      </c>
      <c r="D31">
        <v>112456757.019614</v>
      </c>
      <c r="E31">
        <v>108700747.419828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showGridLines="0" workbookViewId="0">
      <selection activeCell="F22" sqref="F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12</v>
      </c>
      <c r="D6" t="s">
        <v>17</v>
      </c>
      <c r="E6" t="s">
        <v>18</v>
      </c>
    </row>
    <row r="7" spans="1:7" x14ac:dyDescent="0.2">
      <c r="A7" t="s">
        <v>20</v>
      </c>
      <c r="B7" s="3">
        <f>B21/B$20</f>
        <v>45.980341722761267</v>
      </c>
      <c r="C7" s="3">
        <f t="shared" ref="C7:E7" si="0">C21/C$20</f>
        <v>125.75931395393937</v>
      </c>
      <c r="D7" s="3">
        <f t="shared" si="0"/>
        <v>588.05709524468125</v>
      </c>
      <c r="E7" s="3">
        <f t="shared" si="0"/>
        <v>514.95524857026976</v>
      </c>
    </row>
    <row r="8" spans="1:7" x14ac:dyDescent="0.2">
      <c r="A8" t="s">
        <v>21</v>
      </c>
      <c r="B8" s="3">
        <f>B22/B$20</f>
        <v>-35.104682226928112</v>
      </c>
      <c r="C8" s="3">
        <f>C22/C$20</f>
        <v>-35.104682226928112</v>
      </c>
      <c r="D8" s="3">
        <f>D22/D$20</f>
        <v>-35.104682226928112</v>
      </c>
      <c r="E8" s="3">
        <f>E22/E$20</f>
        <v>-35.104682226928112</v>
      </c>
    </row>
    <row r="9" spans="1:7" x14ac:dyDescent="0.2">
      <c r="A9" t="s">
        <v>22</v>
      </c>
      <c r="B9" s="3">
        <f t="shared" ref="B9" si="1">(B21-B23)/B$20</f>
        <v>-25.107465634059203</v>
      </c>
      <c r="C9" s="3">
        <f>(C21-C23)/C$20</f>
        <v>22.176148808755023</v>
      </c>
      <c r="D9" s="3">
        <f t="shared" ref="D9:E9" si="2">(D21-D23)/D$20</f>
        <v>516.48889817563327</v>
      </c>
      <c r="E9" s="3">
        <f t="shared" si="2"/>
        <v>445.73753916539437</v>
      </c>
      <c r="G9" s="3"/>
    </row>
    <row r="10" spans="1:7" x14ac:dyDescent="0.2">
      <c r="B10" s="3"/>
      <c r="C10" s="3"/>
      <c r="D10" s="3"/>
      <c r="E10" s="3"/>
    </row>
    <row r="11" spans="1:7" x14ac:dyDescent="0.2">
      <c r="A11" t="s">
        <v>20</v>
      </c>
      <c r="B11" s="3">
        <f>B25/B$20</f>
        <v>79.169786322685866</v>
      </c>
      <c r="C11" s="3">
        <f t="shared" ref="C11:E11" si="3">C25/C$20</f>
        <v>217.40176067632953</v>
      </c>
      <c r="D11" s="3">
        <f t="shared" si="3"/>
        <v>681.12912487381573</v>
      </c>
      <c r="E11" s="3">
        <f t="shared" si="3"/>
        <v>605.68809219379216</v>
      </c>
    </row>
    <row r="12" spans="1:7" x14ac:dyDescent="0.2">
      <c r="A12" t="s">
        <v>21</v>
      </c>
      <c r="B12" s="3">
        <f t="shared" ref="B12:E12" si="4">B26/B$20</f>
        <v>-60.694274006762726</v>
      </c>
      <c r="C12" s="3">
        <f t="shared" si="4"/>
        <v>-60.694274006762726</v>
      </c>
      <c r="D12" s="3">
        <f t="shared" si="4"/>
        <v>-60.694274006762726</v>
      </c>
      <c r="E12" s="3">
        <f t="shared" si="4"/>
        <v>-60.694274006762726</v>
      </c>
    </row>
    <row r="13" spans="1:7" x14ac:dyDescent="0.2">
      <c r="A13" t="s">
        <v>22</v>
      </c>
      <c r="B13" s="3">
        <f t="shared" ref="B13:E13" si="5">(B25-B27)/B$20</f>
        <v>-43.558742417427808</v>
      </c>
      <c r="C13" s="3">
        <f t="shared" si="5"/>
        <v>38.311547947184842</v>
      </c>
      <c r="D13" s="3">
        <f t="shared" si="5"/>
        <v>533.41970112150057</v>
      </c>
      <c r="E13" s="3">
        <f t="shared" si="5"/>
        <v>484.35623128591345</v>
      </c>
    </row>
    <row r="14" spans="1:7" x14ac:dyDescent="0.2">
      <c r="B14" s="3"/>
      <c r="C14" s="3"/>
      <c r="D14" s="3"/>
      <c r="E14" s="3"/>
    </row>
    <row r="15" spans="1:7" x14ac:dyDescent="0.2">
      <c r="A15" t="s">
        <v>20</v>
      </c>
      <c r="B15" s="3">
        <f>B29/B$20</f>
        <v>516.74257921942183</v>
      </c>
      <c r="C15" s="3">
        <f t="shared" ref="C15:E15" si="6">C29/C$20</f>
        <v>1503.7068551187565</v>
      </c>
      <c r="D15" s="3">
        <f t="shared" si="6"/>
        <v>1969.4773966906359</v>
      </c>
      <c r="E15" s="3">
        <f t="shared" si="6"/>
        <v>1886.2285213506887</v>
      </c>
    </row>
    <row r="16" spans="1:7" x14ac:dyDescent="0.2">
      <c r="A16" t="s">
        <v>21</v>
      </c>
      <c r="B16" s="3">
        <f t="shared" ref="B16:E16" si="7">B30/B$20</f>
        <v>-422.64245397216524</v>
      </c>
      <c r="C16" s="3">
        <f t="shared" si="7"/>
        <v>-422.64245397216524</v>
      </c>
      <c r="D16" s="3">
        <f t="shared" si="7"/>
        <v>-422.64245397216524</v>
      </c>
      <c r="E16" s="3">
        <f t="shared" si="7"/>
        <v>-422.64245397216524</v>
      </c>
    </row>
    <row r="17" spans="1:5" x14ac:dyDescent="0.2">
      <c r="A17" t="s">
        <v>22</v>
      </c>
      <c r="B17" s="3">
        <f t="shared" ref="B17:E17" si="8">(B29-B31)/B$20</f>
        <v>-318.5133208051019</v>
      </c>
      <c r="C17" s="3">
        <f t="shared" si="8"/>
        <v>260.69584050328609</v>
      </c>
      <c r="D17" s="3">
        <f t="shared" si="8"/>
        <v>756.87981388254195</v>
      </c>
      <c r="E17" s="3">
        <f t="shared" si="8"/>
        <v>722.6066012446779</v>
      </c>
    </row>
    <row r="18" spans="1:5" x14ac:dyDescent="0.2">
      <c r="B18" s="3"/>
      <c r="C18" s="3"/>
      <c r="D18" s="3"/>
      <c r="E18" s="3"/>
    </row>
    <row r="20" spans="1:5" x14ac:dyDescent="0.2">
      <c r="B20">
        <v>87793</v>
      </c>
      <c r="C20">
        <v>87793</v>
      </c>
      <c r="D20">
        <v>87793</v>
      </c>
      <c r="E20">
        <v>87793</v>
      </c>
    </row>
    <row r="21" spans="1:5" x14ac:dyDescent="0.2">
      <c r="B21">
        <v>4036752.1408663802</v>
      </c>
      <c r="C21">
        <v>11040787.4499582</v>
      </c>
      <c r="D21">
        <v>51627296.562816299</v>
      </c>
      <c r="E21">
        <v>45209466.137729697</v>
      </c>
    </row>
    <row r="22" spans="1:5" x14ac:dyDescent="0.2">
      <c r="B22">
        <v>-3081945.3667486999</v>
      </c>
      <c r="C22">
        <v>-3081945.3667486999</v>
      </c>
      <c r="D22">
        <v>-3081945.3667486999</v>
      </c>
      <c r="E22">
        <v>-3081945.3667486999</v>
      </c>
    </row>
    <row r="23" spans="1:5" x14ac:dyDescent="0.2">
      <c r="B23">
        <v>6241011.8712773398</v>
      </c>
      <c r="C23">
        <v>9093876.8175911698</v>
      </c>
      <c r="D23">
        <v>6283186.7252829298</v>
      </c>
      <c r="E23">
        <v>6076830.3617822304</v>
      </c>
    </row>
    <row r="24" spans="1:5" x14ac:dyDescent="0.2">
      <c r="E24">
        <v>0</v>
      </c>
    </row>
    <row r="25" spans="1:5" x14ac:dyDescent="0.2">
      <c r="B25">
        <v>6950553.0506275604</v>
      </c>
      <c r="C25">
        <v>19086352.775056999</v>
      </c>
      <c r="D25">
        <v>59798369.260046899</v>
      </c>
      <c r="E25">
        <v>53175174.677969597</v>
      </c>
    </row>
    <row r="26" spans="1:5" x14ac:dyDescent="0.2">
      <c r="B26">
        <v>-5328532.3978757197</v>
      </c>
      <c r="C26">
        <v>-5328532.3978757197</v>
      </c>
      <c r="D26">
        <v>-5328532.3978757197</v>
      </c>
      <c r="E26">
        <v>-5328532.3978757197</v>
      </c>
    </row>
    <row r="27" spans="1:5" x14ac:dyDescent="0.2">
      <c r="B27">
        <v>10774705.7236808</v>
      </c>
      <c r="C27">
        <v>15722867.0461298</v>
      </c>
      <c r="D27">
        <v>12967853.439487001</v>
      </c>
      <c r="E27">
        <v>10652088.064685401</v>
      </c>
    </row>
    <row r="28" spans="1:5" x14ac:dyDescent="0.2">
      <c r="E28">
        <v>0</v>
      </c>
    </row>
    <row r="29" spans="1:5" x14ac:dyDescent="0.2">
      <c r="B29">
        <v>45366381.257410698</v>
      </c>
      <c r="C29">
        <v>132014935.93144099</v>
      </c>
      <c r="D29">
        <v>172906329.087661</v>
      </c>
      <c r="E29">
        <v>165597660.57494101</v>
      </c>
    </row>
    <row r="30" spans="1:5" x14ac:dyDescent="0.2">
      <c r="B30">
        <v>-37105048.961578302</v>
      </c>
      <c r="C30">
        <v>-37105048.961578302</v>
      </c>
      <c r="D30">
        <v>-37105048.961578302</v>
      </c>
      <c r="E30">
        <v>-37105048.961578302</v>
      </c>
    </row>
    <row r="31" spans="1:5" x14ac:dyDescent="0.2">
      <c r="B31">
        <v>73329621.230853006</v>
      </c>
      <c r="C31">
        <v>109127666.006136</v>
      </c>
      <c r="D31">
        <v>106457579.58747099</v>
      </c>
      <c r="E31">
        <v>102157859.231867</v>
      </c>
    </row>
    <row r="32" spans="1:5" x14ac:dyDescent="0.2">
      <c r="E32">
        <v>0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workbookViewId="0">
      <selection activeCell="F9" sqref="F9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19</v>
      </c>
    </row>
    <row r="7" spans="1:6" x14ac:dyDescent="0.2">
      <c r="A7" t="s">
        <v>20</v>
      </c>
      <c r="B7" s="3">
        <f t="shared" ref="B7" si="0">B21/B$20</f>
        <v>340.99103395514163</v>
      </c>
      <c r="C7" s="2"/>
      <c r="D7" s="2"/>
      <c r="E7" s="2"/>
      <c r="F7" s="2"/>
    </row>
    <row r="8" spans="1:6" x14ac:dyDescent="0.2">
      <c r="A8" t="s">
        <v>21</v>
      </c>
      <c r="B8" s="3">
        <f>B22/B$20</f>
        <v>-70.069733464971804</v>
      </c>
      <c r="C8" s="2"/>
      <c r="D8" s="2"/>
      <c r="E8" s="2"/>
      <c r="F8" s="2"/>
    </row>
    <row r="9" spans="1:6" x14ac:dyDescent="0.2">
      <c r="A9" t="s">
        <v>22</v>
      </c>
      <c r="B9" s="3">
        <f>(B23)/B$20</f>
        <v>197.87997110301828</v>
      </c>
      <c r="C9" s="2"/>
      <c r="D9" s="2"/>
      <c r="E9" s="2"/>
      <c r="F9" s="2"/>
    </row>
    <row r="10" spans="1:6" x14ac:dyDescent="0.2">
      <c r="B10" s="2">
        <f t="shared" ref="B10:B18" si="1">B24/1000000</f>
        <v>1.5568239993561299</v>
      </c>
      <c r="C10" s="2"/>
      <c r="D10" s="2"/>
      <c r="E10" s="2"/>
      <c r="F10" s="2"/>
    </row>
    <row r="11" spans="1:6" x14ac:dyDescent="0.2">
      <c r="A11" t="s">
        <v>20</v>
      </c>
      <c r="B11" s="3">
        <f t="shared" ref="B11" si="2">B25/B$20</f>
        <v>589.5567752169278</v>
      </c>
      <c r="C11" s="2"/>
      <c r="D11" s="2"/>
      <c r="E11" s="2"/>
      <c r="F11" s="2"/>
    </row>
    <row r="12" spans="1:6" x14ac:dyDescent="0.2">
      <c r="A12" t="s">
        <v>21</v>
      </c>
      <c r="B12" s="3">
        <f>B26/B$20</f>
        <v>-121.1471328813674</v>
      </c>
      <c r="C12" s="2"/>
      <c r="D12" s="2"/>
      <c r="E12" s="2"/>
      <c r="F12" s="2"/>
    </row>
    <row r="13" spans="1:6" x14ac:dyDescent="0.2">
      <c r="A13" t="s">
        <v>22</v>
      </c>
      <c r="B13" s="3">
        <f>(B27)/B$20</f>
        <v>342.12476583434699</v>
      </c>
      <c r="C13" s="2"/>
      <c r="D13" s="2"/>
      <c r="E13" s="2"/>
      <c r="F13" s="2"/>
    </row>
    <row r="14" spans="1:6" x14ac:dyDescent="0.2">
      <c r="B14" s="2">
        <f t="shared" si="1"/>
        <v>2.6916723469082902</v>
      </c>
      <c r="C14" s="2"/>
      <c r="D14" s="2"/>
      <c r="E14" s="2"/>
      <c r="F14" s="2"/>
    </row>
    <row r="15" spans="1:6" x14ac:dyDescent="0.2">
      <c r="A15" t="s">
        <v>20</v>
      </c>
      <c r="B15" s="3">
        <f t="shared" ref="B15" si="3">B29/B$20</f>
        <v>4105.3579816414885</v>
      </c>
      <c r="C15" s="2"/>
      <c r="D15" s="2"/>
      <c r="E15" s="2"/>
    </row>
    <row r="16" spans="1:6" x14ac:dyDescent="0.2">
      <c r="A16" t="s">
        <v>21</v>
      </c>
      <c r="B16" s="3">
        <f>B30/B$20</f>
        <v>-843.60382211620197</v>
      </c>
      <c r="C16" s="2"/>
      <c r="D16" s="2"/>
      <c r="E16" s="2"/>
    </row>
    <row r="17" spans="1:5" x14ac:dyDescent="0.2">
      <c r="A17" t="s">
        <v>22</v>
      </c>
      <c r="B17" s="3">
        <f>(B31)/B$20</f>
        <v>2382.373839429556</v>
      </c>
      <c r="C17" s="2"/>
      <c r="D17" s="2"/>
      <c r="E17" s="2"/>
    </row>
    <row r="18" spans="1:5" x14ac:dyDescent="0.2">
      <c r="B18" s="2">
        <f t="shared" si="1"/>
        <v>18.743366233519499</v>
      </c>
      <c r="C18" s="2"/>
      <c r="D18" s="2"/>
      <c r="E18" s="2"/>
    </row>
    <row r="20" spans="1:5" x14ac:dyDescent="0.2">
      <c r="B20">
        <v>7978</v>
      </c>
    </row>
    <row r="21" spans="1:5" x14ac:dyDescent="0.2">
      <c r="B21">
        <v>2720426.4688941198</v>
      </c>
      <c r="D21">
        <v>4849</v>
      </c>
      <c r="E21">
        <f>B21/D21</f>
        <v>561.02834994723037</v>
      </c>
    </row>
    <row r="22" spans="1:5" x14ac:dyDescent="0.2">
      <c r="B22">
        <v>-559016.33358354506</v>
      </c>
      <c r="D22">
        <v>4849</v>
      </c>
      <c r="E22">
        <f t="shared" ref="E22:E31" si="4">B22/D22</f>
        <v>-115.2848697841916</v>
      </c>
    </row>
    <row r="23" spans="1:5" x14ac:dyDescent="0.2">
      <c r="B23">
        <v>1578686.4094598799</v>
      </c>
      <c r="D23">
        <v>4849</v>
      </c>
      <c r="E23">
        <f t="shared" si="4"/>
        <v>325.56948019382963</v>
      </c>
    </row>
    <row r="24" spans="1:5" x14ac:dyDescent="0.2">
      <c r="B24">
        <v>1556823.9993561299</v>
      </c>
    </row>
    <row r="25" spans="1:5" x14ac:dyDescent="0.2">
      <c r="B25">
        <v>4703483.9526806502</v>
      </c>
      <c r="D25">
        <v>8383</v>
      </c>
      <c r="E25">
        <f t="shared" si="4"/>
        <v>561.07407284750684</v>
      </c>
    </row>
    <row r="26" spans="1:5" x14ac:dyDescent="0.2">
      <c r="B26">
        <v>-966511.82612754905</v>
      </c>
      <c r="D26">
        <v>8383</v>
      </c>
      <c r="E26">
        <f t="shared" si="4"/>
        <v>-115.29426531403425</v>
      </c>
    </row>
    <row r="27" spans="1:5" x14ac:dyDescent="0.2">
      <c r="B27">
        <v>2729471.3818264203</v>
      </c>
      <c r="D27">
        <v>8383</v>
      </c>
      <c r="E27">
        <f t="shared" si="4"/>
        <v>325.59601357824408</v>
      </c>
    </row>
    <row r="28" spans="1:5" x14ac:dyDescent="0.2">
      <c r="B28">
        <v>2691672.3469082899</v>
      </c>
    </row>
    <row r="29" spans="1:5" x14ac:dyDescent="0.2">
      <c r="B29">
        <v>32752545.977535799</v>
      </c>
      <c r="D29">
        <v>58377</v>
      </c>
      <c r="E29">
        <f t="shared" si="4"/>
        <v>561.05222908912413</v>
      </c>
    </row>
    <row r="30" spans="1:5" x14ac:dyDescent="0.2">
      <c r="B30">
        <v>-6730271.2928430596</v>
      </c>
    </row>
    <row r="31" spans="1:5" x14ac:dyDescent="0.2">
      <c r="B31">
        <v>19006578.490968999</v>
      </c>
      <c r="D31">
        <v>58377</v>
      </c>
      <c r="E31">
        <f t="shared" si="4"/>
        <v>325.5833374611405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abSelected="1" workbookViewId="0">
      <selection activeCell="B26" sqref="B26:F26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229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1:11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1:11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3872.2986911968615</v>
      </c>
      <c r="E25" s="6">
        <f t="shared" si="0"/>
        <v>1521.8641144441815</v>
      </c>
      <c r="F25" s="6">
        <f t="shared" si="0"/>
        <v>490.37843687645847</v>
      </c>
    </row>
    <row r="26" spans="1:11" x14ac:dyDescent="0.2">
      <c r="A26" t="s">
        <v>40</v>
      </c>
      <c r="B26" s="6">
        <f>B10/B24*1000</f>
        <v>1315.6515269369947</v>
      </c>
      <c r="C26" s="6">
        <f t="shared" ref="C26:F26" si="1">C10/C24*1000</f>
        <v>438.55050897899827</v>
      </c>
      <c r="D26" s="6">
        <f t="shared" si="1"/>
        <v>87.710101795799659</v>
      </c>
      <c r="E26" s="6">
        <f t="shared" si="1"/>
        <v>13.155669789306369</v>
      </c>
      <c r="F26" s="6">
        <f t="shared" si="1"/>
        <v>87.710101795799659</v>
      </c>
    </row>
    <row r="27" spans="1:11" x14ac:dyDescent="0.2">
      <c r="A27" t="s">
        <v>27</v>
      </c>
      <c r="B27" s="6">
        <f t="shared" ref="B27:F27" si="2">B9*1000000/B$24</f>
        <v>-334928.47238662111</v>
      </c>
      <c r="C27" s="6">
        <f t="shared" si="2"/>
        <v>-111349.72437349927</v>
      </c>
      <c r="D27" s="6">
        <f t="shared" si="2"/>
        <v>-19243.126247083095</v>
      </c>
      <c r="E27" s="6">
        <f t="shared" si="2"/>
        <v>-1843.1465386046198</v>
      </c>
      <c r="F27" s="6">
        <f t="shared" si="2"/>
        <v>-21948.662450539417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325.68632024546599</v>
      </c>
      <c r="H30" s="3">
        <f>E19*1000</f>
        <v>153.92734457616001</v>
      </c>
      <c r="J30" s="3">
        <f>F19*1000</f>
        <v>11.472728531487101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277.15830228515699</v>
      </c>
      <c r="G31" s="3">
        <f>F30-F31</f>
        <v>48.528017960309001</v>
      </c>
      <c r="H31" s="3">
        <f>H32</f>
        <v>153.92734457616001</v>
      </c>
      <c r="I31" s="3">
        <f>H30-H31</f>
        <v>0</v>
      </c>
      <c r="J31" s="3">
        <f>J32</f>
        <v>11.4693292032026</v>
      </c>
      <c r="K31" s="3">
        <f>J30-J31</f>
        <v>3.3993282845017347E-3</v>
      </c>
    </row>
    <row r="32" spans="1:11" x14ac:dyDescent="0.2">
      <c r="A32" t="s">
        <v>26</v>
      </c>
      <c r="B32" s="3">
        <f t="shared" ref="B32" si="3">B20*1000</f>
        <v>5.6716948442342101</v>
      </c>
      <c r="D32" s="3">
        <f>C20*1000</f>
        <v>7.6874351599444397</v>
      </c>
      <c r="F32" s="3">
        <f>D20*1000</f>
        <v>277.15830228515699</v>
      </c>
      <c r="H32" s="3">
        <f>E20*1000</f>
        <v>153.92734457616001</v>
      </c>
      <c r="J32" s="3">
        <f>F20*1000</f>
        <v>11.4693292032026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21.314749449641202</v>
      </c>
      <c r="G33" s="3">
        <f>IF(F34&lt;0,F32,F32-F34)</f>
        <v>255.84355283551579</v>
      </c>
      <c r="H33" s="3">
        <f>H34</f>
        <v>-101.916208259356</v>
      </c>
      <c r="I33" s="3">
        <f>IF(H34&lt;0,H32,H32-H34)</f>
        <v>153.92734457616001</v>
      </c>
      <c r="J33" s="3">
        <f>J34</f>
        <v>-244.374223632314</v>
      </c>
      <c r="K33" s="3">
        <f>IF(J34&lt;0,J32,J32-J34)</f>
        <v>11.4693292032026</v>
      </c>
    </row>
    <row r="34" spans="1:11" x14ac:dyDescent="0.2">
      <c r="A34" t="s">
        <v>30</v>
      </c>
      <c r="B34" s="3">
        <f t="shared" ref="B34" si="4">B21*1000</f>
        <v>-250.171857991282</v>
      </c>
      <c r="D34" s="3">
        <f>C21*1000</f>
        <v>-248.15611767557201</v>
      </c>
      <c r="F34" s="3">
        <f>D21*1000</f>
        <v>21.314749449641202</v>
      </c>
      <c r="H34" s="3">
        <f>E21*1000</f>
        <v>-101.916208259356</v>
      </c>
      <c r="J34" s="3">
        <f>F21*1000</f>
        <v>-244.374223632314</v>
      </c>
    </row>
    <row r="35" spans="1:11" x14ac:dyDescent="0.2">
      <c r="A35" t="s">
        <v>35</v>
      </c>
      <c r="B35">
        <f>B34/(B30-B34)</f>
        <v>-0.94969021275288124</v>
      </c>
      <c r="D35">
        <f>D34/(D30-D34)</f>
        <v>-0.93408085812771613</v>
      </c>
      <c r="F35">
        <f>F34/(F30-F34)</f>
        <v>7.0028713239908114E-2</v>
      </c>
      <c r="H35">
        <f>H34/(H30-H34)</f>
        <v>-0.39835363107578015</v>
      </c>
      <c r="J35">
        <f>J34/(J30-J34)</f>
        <v>-0.95515784560082662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3872.2986911968615</v>
      </c>
      <c r="C40" s="3">
        <f>D11/$B$24*1000000</f>
        <v>439.64963306165237</v>
      </c>
      <c r="D40" s="3">
        <f>D15/$B$24*1000000</f>
        <v>287.4632216172343</v>
      </c>
    </row>
    <row r="41" spans="1:11" x14ac:dyDescent="0.2">
      <c r="B41" s="3">
        <f>D8/$B$24*1000000</f>
        <v>3195.9146403327809</v>
      </c>
      <c r="C41" s="3">
        <f>D12/$B$24*1000000</f>
        <v>355.10162670364235</v>
      </c>
      <c r="D41" s="3">
        <f>D16/$B$24*1000000</f>
        <v>236.7344178024282</v>
      </c>
    </row>
    <row r="42" spans="1:11" x14ac:dyDescent="0.2">
      <c r="B42" s="3">
        <f>D9/$B$24*1000000</f>
        <v>-19243.126247083092</v>
      </c>
      <c r="C42" s="3">
        <f>D13/$B$24*1000000</f>
        <v>0</v>
      </c>
      <c r="D42" s="3">
        <f>D17/$B$24*1000000</f>
        <v>16.909601271602018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1.0145760762961209</v>
      </c>
      <c r="D43" s="3">
        <f>D18/$B$24*1000</f>
        <v>0.87929926612330478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workbookViewId="0">
      <selection activeCell="B22" sqref="B22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1:11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1:11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490.37843687645847</v>
      </c>
      <c r="E25" s="6">
        <f t="shared" si="0"/>
        <v>6425.6484832087663</v>
      </c>
      <c r="F25" s="6">
        <f t="shared" si="0"/>
        <v>8725.3542561466402</v>
      </c>
    </row>
    <row r="26" spans="1:11" x14ac:dyDescent="0.2">
      <c r="A26" t="s">
        <v>26</v>
      </c>
      <c r="B26" s="6">
        <f t="shared" ref="B26:F27" si="1">B8*1000000/B$24</f>
        <v>1674.0505258885996</v>
      </c>
      <c r="C26" s="6">
        <f t="shared" si="1"/>
        <v>845.48006358010082</v>
      </c>
      <c r="D26" s="6">
        <f t="shared" si="1"/>
        <v>490.37843687645847</v>
      </c>
      <c r="E26" s="6">
        <f t="shared" si="1"/>
        <v>2654.8073996415164</v>
      </c>
      <c r="F26" s="6">
        <f t="shared" si="1"/>
        <v>4988.3323751225944</v>
      </c>
    </row>
    <row r="27" spans="1:11" x14ac:dyDescent="0.2">
      <c r="A27" t="s">
        <v>27</v>
      </c>
      <c r="B27" s="6">
        <f t="shared" si="1"/>
        <v>-334928.47238662111</v>
      </c>
      <c r="C27" s="6">
        <f t="shared" si="1"/>
        <v>-111349.72437349927</v>
      </c>
      <c r="D27" s="6">
        <f t="shared" si="1"/>
        <v>-21948.662450539417</v>
      </c>
      <c r="E27" s="6">
        <f t="shared" si="1"/>
        <v>-558338.124387027</v>
      </c>
      <c r="F27" s="6">
        <f t="shared" si="1"/>
        <v>-443809.39497446653</v>
      </c>
    </row>
    <row r="29" spans="1:11" x14ac:dyDescent="0.2">
      <c r="A29" t="s">
        <v>25</v>
      </c>
      <c r="H29">
        <f>H34/(H30-H34)</f>
        <v>-0.91640449920321843</v>
      </c>
      <c r="J29">
        <f>J34/(J30-J34)</f>
        <v>-0.79406993290264694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11.472728531487101</v>
      </c>
      <c r="H30" s="3">
        <f>E19*1000</f>
        <v>22.445922492514701</v>
      </c>
      <c r="J30" s="3">
        <f>F19*1000</f>
        <v>54.4872407506953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11.4693292032026</v>
      </c>
      <c r="G31" s="3">
        <f>F30-F31</f>
        <v>3.3993282845017347E-3</v>
      </c>
      <c r="H31" s="3">
        <f>H32</f>
        <v>9.7831289508480399</v>
      </c>
      <c r="I31" s="3">
        <f>H30-H31</f>
        <v>12.662793541666661</v>
      </c>
      <c r="J31" s="3">
        <f>J32</f>
        <v>45.739801514438696</v>
      </c>
      <c r="K31" s="3">
        <f>J30-J31</f>
        <v>8.7474392362566036</v>
      </c>
    </row>
    <row r="32" spans="1:11" x14ac:dyDescent="0.2">
      <c r="A32" t="s">
        <v>26</v>
      </c>
      <c r="B32" s="3">
        <f t="shared" ref="B32" si="2">B20*1000</f>
        <v>5.6716948442342101</v>
      </c>
      <c r="D32" s="3">
        <f>C20*1000</f>
        <v>7.6874351599444397</v>
      </c>
      <c r="F32" s="3">
        <f>D20*1000</f>
        <v>11.4693292032026</v>
      </c>
      <c r="H32" s="3">
        <f>E20*1000</f>
        <v>9.7831289508480399</v>
      </c>
      <c r="J32" s="3">
        <f>F20*1000</f>
        <v>45.739801514438696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-244.374223632314</v>
      </c>
      <c r="G33" s="3">
        <f>IF(F34&lt;0,F32,F32-F34)</f>
        <v>11.4693292032026</v>
      </c>
      <c r="H33" s="3">
        <f>H34</f>
        <v>-246.06042388466801</v>
      </c>
      <c r="I33" s="3">
        <f>IF(H34&lt;0,H32,H32-H34)</f>
        <v>9.7831289508480399</v>
      </c>
      <c r="J33" s="3">
        <f>J34</f>
        <v>-210.103751321077</v>
      </c>
      <c r="K33" s="3">
        <f>IF(J34&lt;0,J32,J32-J34)</f>
        <v>45.739801514438696</v>
      </c>
    </row>
    <row r="34" spans="1:11" x14ac:dyDescent="0.2">
      <c r="A34" t="s">
        <v>30</v>
      </c>
      <c r="B34" s="3">
        <f t="shared" ref="B34" si="3">B21*1000</f>
        <v>-250.171857991282</v>
      </c>
      <c r="D34" s="3">
        <f>C21*1000</f>
        <v>-248.15611767557201</v>
      </c>
      <c r="F34" s="3">
        <f>D21*1000</f>
        <v>-244.374223632314</v>
      </c>
      <c r="H34" s="3">
        <f>E21*1000</f>
        <v>-246.06042388466801</v>
      </c>
      <c r="J34" s="3">
        <f>F21*1000</f>
        <v>-210.103751321077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490.37843687645847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490.37843687645847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-21948.662450539414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G7" sqref="G7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7"/>
  <sheetViews>
    <sheetView showGridLines="0" topLeftCell="D29" workbookViewId="0">
      <selection activeCell="H14" sqref="H14"/>
    </sheetView>
  </sheetViews>
  <sheetFormatPr baseColWidth="10" defaultRowHeight="16" x14ac:dyDescent="0.2"/>
  <sheetData>
    <row r="2" spans="1:22" x14ac:dyDescent="0.2">
      <c r="A2" t="s">
        <v>0</v>
      </c>
      <c r="B2" t="s">
        <v>3</v>
      </c>
    </row>
    <row r="3" spans="1:22" x14ac:dyDescent="0.2">
      <c r="A3" t="s">
        <v>4</v>
      </c>
      <c r="C3" t="s">
        <v>3</v>
      </c>
      <c r="L3">
        <f>6.15^0.1-1</f>
        <v>0.19918865607206437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</row>
    <row r="4" spans="1:22" x14ac:dyDescent="0.2">
      <c r="A4" t="s">
        <v>9</v>
      </c>
      <c r="B4" s="1"/>
      <c r="C4" s="1"/>
      <c r="D4" t="s">
        <v>3</v>
      </c>
      <c r="M4">
        <f>(1+$L3)^M3</f>
        <v>1.1991886560720644</v>
      </c>
      <c r="N4">
        <f t="shared" ref="N4:Q4" si="0">(1+$L3)^N3</f>
        <v>1.4380534328519239</v>
      </c>
      <c r="O4">
        <f t="shared" si="0"/>
        <v>1.7244973635015173</v>
      </c>
      <c r="P4">
        <f t="shared" si="0"/>
        <v>2.0679976757372027</v>
      </c>
      <c r="Q4">
        <f t="shared" si="0"/>
        <v>2.4799193535274489</v>
      </c>
      <c r="R4">
        <f>(1+$L3)^R3</f>
        <v>2.9738911567236843</v>
      </c>
      <c r="S4">
        <f t="shared" ref="S4" si="1">(1+$L3)^S3</f>
        <v>3.5662565395360719</v>
      </c>
      <c r="T4">
        <f t="shared" ref="T4" si="2">(1+$L3)^T3</f>
        <v>4.2766143868544724</v>
      </c>
      <c r="U4">
        <f t="shared" ref="U4" si="3">(1+$L3)^U3</f>
        <v>5.1284674591104702</v>
      </c>
      <c r="V4">
        <f t="shared" ref="V4" si="4">(1+$L3)^V3</f>
        <v>6.1499999999999995</v>
      </c>
    </row>
    <row r="5" spans="1:22" x14ac:dyDescent="0.2">
      <c r="A5" t="s">
        <v>2</v>
      </c>
      <c r="B5" s="1"/>
      <c r="C5" s="1"/>
      <c r="E5" t="s">
        <v>3</v>
      </c>
    </row>
    <row r="6" spans="1:22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22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  <c r="H7">
        <v>647</v>
      </c>
    </row>
    <row r="8" spans="1:22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  <c r="H8">
        <v>647</v>
      </c>
    </row>
    <row r="9" spans="1:22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  <c r="H9">
        <f>H8-H12</f>
        <v>-1521.3899999999999</v>
      </c>
    </row>
    <row r="10" spans="1:22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  <c r="H10">
        <v>9483</v>
      </c>
    </row>
    <row r="11" spans="1:22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  <c r="H11">
        <f>(G8-G9)/G10</f>
        <v>0.25583879518390062</v>
      </c>
    </row>
    <row r="12" spans="1:22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  <c r="H12">
        <v>2168.39</v>
      </c>
    </row>
    <row r="13" spans="1:22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>H9/(H12)</f>
        <v>-0.70162194070254891</v>
      </c>
    </row>
    <row r="14" spans="1:22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22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22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1:13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1:13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1:13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1:13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1:13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1:13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4" spans="1:13" x14ac:dyDescent="0.2">
      <c r="A24" t="s">
        <v>24</v>
      </c>
      <c r="B24">
        <v>87793</v>
      </c>
      <c r="C24">
        <v>87793</v>
      </c>
      <c r="D24">
        <v>87793</v>
      </c>
      <c r="E24">
        <v>87793</v>
      </c>
      <c r="F24">
        <v>87793</v>
      </c>
      <c r="G24">
        <v>87793</v>
      </c>
    </row>
    <row r="25" spans="1:13" x14ac:dyDescent="0.2">
      <c r="A25" t="s">
        <v>20</v>
      </c>
      <c r="B25" s="6">
        <f>B7*1000000/B$24</f>
        <v>2608.4084152495075</v>
      </c>
      <c r="C25" s="6">
        <f t="shared" ref="C25:F25" si="5">C7*1000000/C$24</f>
        <v>512.56933924116959</v>
      </c>
      <c r="D25" s="6">
        <f t="shared" si="5"/>
        <v>341.71289282744635</v>
      </c>
      <c r="E25" s="6">
        <f t="shared" si="5"/>
        <v>6333.0789470686732</v>
      </c>
      <c r="F25" s="6">
        <f t="shared" si="5"/>
        <v>6857.0387160707578</v>
      </c>
      <c r="G25" s="6">
        <f t="shared" ref="G25" si="6">G7*1000000/G$24</f>
        <v>6800.086567266183</v>
      </c>
    </row>
    <row r="26" spans="1:13" x14ac:dyDescent="0.2">
      <c r="A26" t="s">
        <v>26</v>
      </c>
      <c r="B26" s="6">
        <f t="shared" ref="B26:F27" si="7">B8*1000000/B$24</f>
        <v>899.84395111227548</v>
      </c>
      <c r="C26" s="6">
        <f t="shared" si="7"/>
        <v>512.56933924116959</v>
      </c>
      <c r="D26" s="6">
        <f t="shared" si="7"/>
        <v>341.71289282744635</v>
      </c>
      <c r="E26" s="6">
        <f t="shared" si="7"/>
        <v>2790.6552914241456</v>
      </c>
      <c r="F26" s="6">
        <f t="shared" si="7"/>
        <v>3314.6150604262298</v>
      </c>
      <c r="G26" s="6">
        <f t="shared" ref="G26" si="8">G8*1000000/G$24</f>
        <v>3280.4437711434853</v>
      </c>
    </row>
    <row r="27" spans="1:13" x14ac:dyDescent="0.2">
      <c r="A27" t="s">
        <v>27</v>
      </c>
      <c r="B27" s="6">
        <f t="shared" si="7"/>
        <v>-131684.75846593693</v>
      </c>
      <c r="C27" s="6">
        <f t="shared" si="7"/>
        <v>0</v>
      </c>
      <c r="D27" s="6">
        <f t="shared" si="7"/>
        <v>-1868.0304807900402</v>
      </c>
      <c r="E27" s="6">
        <f t="shared" si="7"/>
        <v>-218183.68207032452</v>
      </c>
      <c r="F27" s="6">
        <f t="shared" si="7"/>
        <v>-217659.72230132244</v>
      </c>
      <c r="G27" s="6">
        <f t="shared" ref="G27" si="9">G9*1000000/G$24</f>
        <v>-217693.89359060518</v>
      </c>
    </row>
    <row r="29" spans="1:13" x14ac:dyDescent="0.2">
      <c r="A29" t="s">
        <v>25</v>
      </c>
    </row>
    <row r="30" spans="1:13" x14ac:dyDescent="0.2">
      <c r="A30" t="s">
        <v>20</v>
      </c>
      <c r="B30" s="3">
        <f>B19*1000</f>
        <v>15.860913403325599</v>
      </c>
      <c r="D30" s="3">
        <f>C19*1000</f>
        <v>266.93899474812099</v>
      </c>
      <c r="F30" s="3">
        <f>D19*1000</f>
        <v>121.57748470355199</v>
      </c>
      <c r="H30" s="3">
        <f>E19*1000</f>
        <v>34.324715436970095</v>
      </c>
      <c r="J30" s="3">
        <f>F19*1000</f>
        <v>281.35719465052802</v>
      </c>
      <c r="L30" s="3">
        <f>G19*1000</f>
        <v>195.28975036788401</v>
      </c>
      <c r="M30" s="3"/>
    </row>
    <row r="31" spans="1:13" x14ac:dyDescent="0.2">
      <c r="A31" t="s">
        <v>28</v>
      </c>
      <c r="B31" s="3">
        <f>B32</f>
        <v>5.90011965332556</v>
      </c>
      <c r="C31" s="3">
        <f>B30-B31</f>
        <v>9.9607937500000396</v>
      </c>
      <c r="D31" s="3">
        <f>D32</f>
        <v>266.92897852684399</v>
      </c>
      <c r="E31" s="3">
        <f>D30-D31</f>
        <v>1.0016221276998749E-2</v>
      </c>
      <c r="F31" s="3">
        <f>F32</f>
        <v>121.56339683532801</v>
      </c>
      <c r="G31" s="3">
        <f>F30-F31</f>
        <v>1.4087868223981559E-2</v>
      </c>
      <c r="H31" s="3">
        <f>H32</f>
        <v>16.888947728636801</v>
      </c>
      <c r="I31" s="3">
        <f>H30-H31</f>
        <v>17.435767708333294</v>
      </c>
      <c r="J31" s="3">
        <f>J32</f>
        <v>276.33719221882404</v>
      </c>
      <c r="K31" s="3">
        <f>J30-J31</f>
        <v>5.020002431703972</v>
      </c>
      <c r="L31" s="3">
        <f>L32</f>
        <v>175.88973324869801</v>
      </c>
      <c r="M31" s="3">
        <f>L30-L31</f>
        <v>19.400017119186003</v>
      </c>
    </row>
    <row r="32" spans="1:13" x14ac:dyDescent="0.2">
      <c r="A32" t="s">
        <v>26</v>
      </c>
      <c r="B32" s="3">
        <f t="shared" ref="B32" si="10">B20*1000</f>
        <v>5.90011965332556</v>
      </c>
      <c r="D32" s="3">
        <f>C20*1000</f>
        <v>266.92897852684399</v>
      </c>
      <c r="F32" s="3">
        <f>D20*1000</f>
        <v>121.56339683532801</v>
      </c>
      <c r="H32" s="3">
        <f>E20*1000</f>
        <v>16.888947728636801</v>
      </c>
      <c r="J32" s="3">
        <f>F20*1000</f>
        <v>276.33719221882404</v>
      </c>
      <c r="L32" s="3">
        <f>G20*1000</f>
        <v>175.88973324869801</v>
      </c>
      <c r="M32" s="3"/>
    </row>
    <row r="33" spans="1:13" x14ac:dyDescent="0.2">
      <c r="A33" t="s">
        <v>29</v>
      </c>
      <c r="B33" s="3">
        <f>B34</f>
        <v>-249.943433182191</v>
      </c>
      <c r="C33" s="3">
        <f>IF(B34&lt;0,B32,B32-B34)</f>
        <v>5.90011965332556</v>
      </c>
      <c r="D33" s="3">
        <f>D34</f>
        <v>11.0854256913276</v>
      </c>
      <c r="E33" s="3">
        <f>IF(D34&lt;0,D32,D32-D34)</f>
        <v>255.84355283551639</v>
      </c>
      <c r="F33" s="3">
        <f>F34</f>
        <v>-134.28015600018799</v>
      </c>
      <c r="G33" s="3">
        <f>IF(F34&lt;0,F32,F32-F34)</f>
        <v>121.56339683532801</v>
      </c>
      <c r="H33" s="3">
        <f>H34</f>
        <v>-238.954605106879</v>
      </c>
      <c r="I33" s="3">
        <f>IF(H34&lt;0,H32,H32-H34)</f>
        <v>16.888947728636801</v>
      </c>
      <c r="J33" s="3">
        <f>J34</f>
        <v>20.4936393833074</v>
      </c>
      <c r="K33" s="3">
        <f>IF(J34&lt;0,J32,J32-J34)</f>
        <v>255.84355283551665</v>
      </c>
      <c r="L33" s="3">
        <f>L34</f>
        <v>-79.953819586818099</v>
      </c>
      <c r="M33" s="3">
        <f>IF(L34&lt;0,L32,L32-L34)</f>
        <v>175.88973324869801</v>
      </c>
    </row>
    <row r="34" spans="1:13" x14ac:dyDescent="0.2">
      <c r="A34" t="s">
        <v>30</v>
      </c>
      <c r="B34" s="3">
        <f t="shared" ref="B34" si="11">B21*1000</f>
        <v>-249.943433182191</v>
      </c>
      <c r="D34" s="3">
        <f>C21*1000</f>
        <v>11.0854256913276</v>
      </c>
      <c r="F34" s="3">
        <f>D21*1000</f>
        <v>-134.28015600018799</v>
      </c>
      <c r="H34" s="3">
        <f>E21*1000</f>
        <v>-238.954605106879</v>
      </c>
      <c r="J34" s="3">
        <f>F21*1000</f>
        <v>20.4936393833074</v>
      </c>
      <c r="L34" s="3">
        <f>G21*1000</f>
        <v>-79.953819586818099</v>
      </c>
      <c r="M34" s="3"/>
    </row>
    <row r="39" spans="1:13" x14ac:dyDescent="0.2">
      <c r="B39" t="s">
        <v>31</v>
      </c>
      <c r="C39" t="s">
        <v>32</v>
      </c>
      <c r="D39" t="s">
        <v>33</v>
      </c>
    </row>
    <row r="40" spans="1:13" x14ac:dyDescent="0.2">
      <c r="B40" s="3">
        <f>D7/$B$24*1000000</f>
        <v>341.71289282744641</v>
      </c>
      <c r="C40" s="3">
        <f>C11/$B$24*1000000</f>
        <v>512.56933924116959</v>
      </c>
      <c r="D40" s="3">
        <f>C15/$B$24*1000000</f>
        <v>444.22676067568028</v>
      </c>
    </row>
    <row r="41" spans="1:13" x14ac:dyDescent="0.2">
      <c r="B41" s="3">
        <f>D8/$B$24*1000000</f>
        <v>341.71289282744641</v>
      </c>
      <c r="C41" s="3">
        <f>C12/$B$24*1000000</f>
        <v>512.56933924116959</v>
      </c>
      <c r="D41" s="3">
        <f t="shared" ref="D41:D42" si="12">C16/$B$24*1000000</f>
        <v>444.22676067568028</v>
      </c>
    </row>
    <row r="42" spans="1:13" x14ac:dyDescent="0.2">
      <c r="B42" s="3">
        <f>D9/$B$24*1000000</f>
        <v>-1868.0304807900402</v>
      </c>
      <c r="C42" s="3">
        <f>C13/$B$24*1000000</f>
        <v>0</v>
      </c>
      <c r="D42" s="3">
        <f t="shared" si="12"/>
        <v>11.390429760914881</v>
      </c>
    </row>
    <row r="43" spans="1:13" x14ac:dyDescent="0.2">
      <c r="A43" t="s">
        <v>23</v>
      </c>
      <c r="B43" s="3">
        <f>D10/$B$24*1000</f>
        <v>8.6339457587734785</v>
      </c>
      <c r="C43" s="3">
        <f>C14/$B$24*1000</f>
        <v>1.7541261831808914</v>
      </c>
      <c r="D43" s="3">
        <f>C18/$B$24*1000</f>
        <v>1.7313453236590617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H13" workbookViewId="0">
      <selection activeCell="B6" sqref="B6:G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E18" workbookViewId="0">
      <selection activeCell="U40" sqref="U40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 s="3">
        <v>872</v>
      </c>
    </row>
    <row r="8" spans="1:5" x14ac:dyDescent="0.2">
      <c r="A8" t="s">
        <v>7</v>
      </c>
      <c r="B8" s="3">
        <v>594</v>
      </c>
    </row>
    <row r="9" spans="1:5" x14ac:dyDescent="0.2">
      <c r="A9" t="s">
        <v>8</v>
      </c>
      <c r="B9" s="3">
        <v>-8013</v>
      </c>
    </row>
    <row r="10" spans="1:5" x14ac:dyDescent="0.2">
      <c r="A10" t="s">
        <v>5</v>
      </c>
      <c r="B10">
        <v>33644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1:11" x14ac:dyDescent="0.2">
      <c r="B17">
        <v>0</v>
      </c>
    </row>
    <row r="18" spans="1:11" x14ac:dyDescent="0.2">
      <c r="B18">
        <v>0</v>
      </c>
    </row>
    <row r="19" spans="1:11" x14ac:dyDescent="0.2">
      <c r="B19">
        <f>0.2784/3.36</f>
        <v>8.2857142857142851E-2</v>
      </c>
    </row>
    <row r="20" spans="1:11" x14ac:dyDescent="0.2">
      <c r="B20">
        <f>0.191/3.36</f>
        <v>5.6845238095238101E-2</v>
      </c>
    </row>
    <row r="21" spans="1:11" x14ac:dyDescent="0.2">
      <c r="B21">
        <f>-0.6697/3.36</f>
        <v>-0.19931547619047618</v>
      </c>
    </row>
    <row r="22" spans="1:11" x14ac:dyDescent="0.2">
      <c r="B22">
        <v>1</v>
      </c>
    </row>
    <row r="24" spans="1:11" x14ac:dyDescent="0.2">
      <c r="A24" t="s">
        <v>24</v>
      </c>
      <c r="B24">
        <v>7978</v>
      </c>
      <c r="C24">
        <v>7978</v>
      </c>
      <c r="D24">
        <v>7978</v>
      </c>
      <c r="E24">
        <v>7978</v>
      </c>
      <c r="F24">
        <v>7978</v>
      </c>
    </row>
    <row r="25" spans="1:11" x14ac:dyDescent="0.2">
      <c r="A25" t="s">
        <v>20</v>
      </c>
      <c r="B25" s="6">
        <f>B7*1000000/B$24</f>
        <v>109300.57658561043</v>
      </c>
      <c r="C25" s="6">
        <f t="shared" ref="C25:F25" si="0">C7*1000000/C$24</f>
        <v>0</v>
      </c>
      <c r="D25" s="6">
        <f t="shared" si="0"/>
        <v>0</v>
      </c>
      <c r="E25" s="6">
        <f t="shared" si="0"/>
        <v>0</v>
      </c>
      <c r="F25" s="6">
        <f t="shared" si="0"/>
        <v>0</v>
      </c>
    </row>
    <row r="26" spans="1:11" x14ac:dyDescent="0.2">
      <c r="A26" t="s">
        <v>26</v>
      </c>
      <c r="B26" s="6">
        <f t="shared" ref="B26:F27" si="1">B8*1000000/B$24</f>
        <v>74454.750564051137</v>
      </c>
      <c r="C26" s="6">
        <f t="shared" si="1"/>
        <v>0</v>
      </c>
      <c r="D26" s="6">
        <f t="shared" si="1"/>
        <v>0</v>
      </c>
      <c r="E26" s="6">
        <f t="shared" si="1"/>
        <v>0</v>
      </c>
      <c r="F26" s="6">
        <f t="shared" si="1"/>
        <v>0</v>
      </c>
    </row>
    <row r="27" spans="1:11" x14ac:dyDescent="0.2">
      <c r="A27" t="s">
        <v>27</v>
      </c>
      <c r="B27" s="6">
        <f t="shared" si="1"/>
        <v>-1004387.0644271747</v>
      </c>
      <c r="C27" s="6">
        <f t="shared" si="1"/>
        <v>0</v>
      </c>
      <c r="D27" s="6">
        <f t="shared" si="1"/>
        <v>0</v>
      </c>
      <c r="E27" s="6">
        <f t="shared" si="1"/>
        <v>0</v>
      </c>
      <c r="F27" s="6">
        <f t="shared" si="1"/>
        <v>0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82.857142857142847</v>
      </c>
      <c r="D30" s="3">
        <f>C19*1000</f>
        <v>0</v>
      </c>
      <c r="F30" s="3">
        <f>D19*1000</f>
        <v>0</v>
      </c>
      <c r="H30" s="3">
        <f>E19*1000</f>
        <v>0</v>
      </c>
      <c r="J30" s="3">
        <f>F19*1000</f>
        <v>0</v>
      </c>
    </row>
    <row r="31" spans="1:11" x14ac:dyDescent="0.2">
      <c r="A31" t="s">
        <v>28</v>
      </c>
      <c r="B31" s="3">
        <f>B32</f>
        <v>56.845238095238102</v>
      </c>
      <c r="C31" s="3">
        <f>B30-B31</f>
        <v>26.011904761904745</v>
      </c>
      <c r="D31" s="3">
        <f>D32</f>
        <v>0</v>
      </c>
      <c r="E31" s="3">
        <f>D30-D31</f>
        <v>0</v>
      </c>
      <c r="F31" s="3">
        <f>F32</f>
        <v>0</v>
      </c>
      <c r="G31" s="3">
        <f>F30-F31</f>
        <v>0</v>
      </c>
      <c r="H31" s="3">
        <f>H32</f>
        <v>0</v>
      </c>
      <c r="I31" s="3">
        <f>H30-H31</f>
        <v>0</v>
      </c>
      <c r="J31" s="3">
        <f>J32</f>
        <v>0</v>
      </c>
      <c r="K31" s="3">
        <f>J30-J31</f>
        <v>0</v>
      </c>
    </row>
    <row r="32" spans="1:11" x14ac:dyDescent="0.2">
      <c r="A32" t="s">
        <v>26</v>
      </c>
      <c r="B32" s="3">
        <f t="shared" ref="B32" si="2">B20*1000</f>
        <v>56.845238095238102</v>
      </c>
      <c r="D32" s="3">
        <f>C20*1000</f>
        <v>0</v>
      </c>
      <c r="F32" s="3">
        <f>D20*1000</f>
        <v>0</v>
      </c>
      <c r="H32" s="3">
        <f>E20*1000</f>
        <v>0</v>
      </c>
      <c r="J32" s="3">
        <f>F20*1000</f>
        <v>0</v>
      </c>
    </row>
    <row r="33" spans="1:11" x14ac:dyDescent="0.2">
      <c r="A33" t="s">
        <v>29</v>
      </c>
      <c r="B33" s="3">
        <f>B34</f>
        <v>-199.31547619047618</v>
      </c>
      <c r="C33" s="3">
        <f>IF(B34&lt;0,B32,B32-B34)</f>
        <v>56.845238095238102</v>
      </c>
      <c r="D33" s="3">
        <f>D34</f>
        <v>0</v>
      </c>
      <c r="E33" s="3">
        <f>IF(D34&lt;0,D32,D32-D34)</f>
        <v>0</v>
      </c>
      <c r="F33" s="3">
        <f>F34</f>
        <v>0</v>
      </c>
      <c r="G33" s="3">
        <f>IF(F34&lt;0,F32,F32-F34)</f>
        <v>0</v>
      </c>
      <c r="H33" s="3">
        <f>H34</f>
        <v>0</v>
      </c>
      <c r="I33" s="3">
        <f>IF(H34&lt;0,H32,H32-H34)</f>
        <v>0</v>
      </c>
      <c r="J33" s="3">
        <f>J34</f>
        <v>0</v>
      </c>
      <c r="K33" s="3">
        <f>IF(J34&lt;0,J32,J32-J34)</f>
        <v>0</v>
      </c>
    </row>
    <row r="34" spans="1:11" x14ac:dyDescent="0.2">
      <c r="A34" t="s">
        <v>30</v>
      </c>
      <c r="B34" s="3">
        <f t="shared" ref="B34" si="3">B21*1000</f>
        <v>-199.31547619047618</v>
      </c>
      <c r="D34" s="3">
        <f>C21*1000</f>
        <v>0</v>
      </c>
      <c r="F34" s="3">
        <f>D21*1000</f>
        <v>0</v>
      </c>
      <c r="H34" s="3">
        <f>E21*1000</f>
        <v>0</v>
      </c>
      <c r="J34" s="3">
        <f>F21*1000</f>
        <v>0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0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0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0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0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workbookViewId="0">
      <selection activeCell="B7" sqref="B7:B22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zoomScale="82" workbookViewId="0">
      <selection activeCell="F35" sqref="F35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20</v>
      </c>
      <c r="B7" s="3">
        <f>B21/B$20</f>
        <v>104.27791365328824</v>
      </c>
      <c r="C7" s="3">
        <f t="shared" ref="C7:E7" si="0">C21/C$20</f>
        <v>228.0382406089638</v>
      </c>
      <c r="D7" s="3">
        <f t="shared" si="0"/>
        <v>436.47895250083872</v>
      </c>
      <c r="E7" s="3">
        <f t="shared" si="0"/>
        <v>923.11228760741824</v>
      </c>
    </row>
    <row r="8" spans="1:5" x14ac:dyDescent="0.2">
      <c r="A8" t="s">
        <v>21</v>
      </c>
      <c r="B8" s="3">
        <f>B22/B$20*1.21469272</f>
        <v>-103.29370361346285</v>
      </c>
      <c r="C8" s="3">
        <f t="shared" ref="C8:E8" si="1">C22/C$20*1.21469272</f>
        <v>-103.29370361346285</v>
      </c>
      <c r="D8" s="3">
        <f t="shared" si="1"/>
        <v>-103.29370361346285</v>
      </c>
      <c r="E8" s="3">
        <f t="shared" si="1"/>
        <v>-103.29370361346285</v>
      </c>
    </row>
    <row r="9" spans="1:5" x14ac:dyDescent="0.2">
      <c r="A9" t="s">
        <v>22</v>
      </c>
      <c r="B9" s="3">
        <f>(B23+B22*1.21469272)/B$20</f>
        <v>84.385785243372027</v>
      </c>
      <c r="C9" s="3">
        <f t="shared" ref="C9:E9" si="2">(C23+C22*1.21469272)/C$20</f>
        <v>209.78143720303922</v>
      </c>
      <c r="D9" s="3">
        <f t="shared" si="2"/>
        <v>418.22214909491413</v>
      </c>
      <c r="E9" s="3">
        <f t="shared" si="2"/>
        <v>904.85548420149371</v>
      </c>
    </row>
    <row r="10" spans="1:5" x14ac:dyDescent="0.2">
      <c r="B10" s="3"/>
      <c r="C10" s="3"/>
      <c r="D10" s="3"/>
      <c r="E10" s="3"/>
    </row>
    <row r="11" spans="1:5" x14ac:dyDescent="0.2">
      <c r="A11" t="s">
        <v>20</v>
      </c>
      <c r="B11" s="3">
        <f>B25/B$20</f>
        <v>178.82008915837702</v>
      </c>
      <c r="C11" s="3">
        <f t="shared" ref="C11:E11" si="3">C25/C$20</f>
        <v>390.05822458835434</v>
      </c>
      <c r="D11" s="3">
        <f t="shared" si="3"/>
        <v>754.34381164736044</v>
      </c>
      <c r="E11" s="3">
        <f t="shared" si="3"/>
        <v>1375.733824413247</v>
      </c>
    </row>
    <row r="12" spans="1:5" x14ac:dyDescent="0.2">
      <c r="A12" t="s">
        <v>21</v>
      </c>
      <c r="B12" s="3">
        <f>B26/B$20*1.21469272</f>
        <v>-178.58974793623932</v>
      </c>
      <c r="C12" s="3">
        <f t="shared" ref="C12:E12" si="4">C26/C$20*1.21469272</f>
        <v>-178.58974793623932</v>
      </c>
      <c r="D12" s="3">
        <f t="shared" si="4"/>
        <v>-178.58974793623932</v>
      </c>
      <c r="E12" s="3">
        <f t="shared" si="4"/>
        <v>-178.58974793623932</v>
      </c>
    </row>
    <row r="13" spans="1:5" x14ac:dyDescent="0.2">
      <c r="A13" t="s">
        <v>22</v>
      </c>
      <c r="B13" s="3">
        <f>(B27+B26*1.21469272)/B$20</f>
        <v>144.4275746645977</v>
      </c>
      <c r="C13" s="3">
        <f t="shared" ref="C13:E13" si="5">(C27+C26*1.21469272)/C$20</f>
        <v>358.49310682873926</v>
      </c>
      <c r="D13" s="3">
        <f t="shared" si="5"/>
        <v>722.77869388774695</v>
      </c>
      <c r="E13" s="3">
        <f t="shared" si="5"/>
        <v>1344.1687066536335</v>
      </c>
    </row>
    <row r="14" spans="1:5" x14ac:dyDescent="0.2">
      <c r="B14" s="3"/>
      <c r="C14" s="3"/>
      <c r="D14" s="3"/>
      <c r="E14" s="3"/>
    </row>
    <row r="15" spans="1:5" x14ac:dyDescent="0.2">
      <c r="A15" t="s">
        <v>20</v>
      </c>
      <c r="B15" s="3">
        <f>B29/B$20</f>
        <v>1001.1515659017281</v>
      </c>
      <c r="C15" s="3">
        <f t="shared" ref="C15:E15" si="6">C29/C$20</f>
        <v>1892.6442835786636</v>
      </c>
      <c r="D15" s="3">
        <f t="shared" si="6"/>
        <v>3450.0511484207109</v>
      </c>
      <c r="E15" s="3">
        <f t="shared" si="6"/>
        <v>4749.0256738313101</v>
      </c>
    </row>
    <row r="16" spans="1:5" x14ac:dyDescent="0.2">
      <c r="A16" t="s">
        <v>21</v>
      </c>
      <c r="B16" s="3">
        <f>B30/B$20*1.21469272</f>
        <v>-1223.3389602378975</v>
      </c>
      <c r="C16" s="3">
        <f t="shared" ref="C16:E16" si="7">C30/C$20*1.21469272</f>
        <v>-1223.3389602378975</v>
      </c>
      <c r="D16" s="3">
        <f t="shared" si="7"/>
        <v>-1223.3389602378975</v>
      </c>
      <c r="E16" s="3">
        <f t="shared" si="7"/>
        <v>-1223.3389602378975</v>
      </c>
    </row>
    <row r="17" spans="1:5" x14ac:dyDescent="0.2">
      <c r="A17" t="s">
        <v>22</v>
      </c>
      <c r="B17" s="3">
        <f>(B31+B30*1.21469272)/B$20</f>
        <v>762.23651849258056</v>
      </c>
      <c r="C17" s="3">
        <f t="shared" ref="C17:E17" si="8">(C31+C30*1.21469272)/C$20</f>
        <v>1676.4233706423827</v>
      </c>
      <c r="D17" s="3">
        <f t="shared" si="8"/>
        <v>3233.83023548443</v>
      </c>
      <c r="E17" s="3">
        <f t="shared" si="8"/>
        <v>4532.8047608950455</v>
      </c>
    </row>
    <row r="18" spans="1:5" x14ac:dyDescent="0.2">
      <c r="B18" s="3"/>
      <c r="C18" s="3"/>
      <c r="D18" s="3"/>
      <c r="E18" s="3"/>
    </row>
    <row r="20" spans="1:5" x14ac:dyDescent="0.2">
      <c r="B20">
        <v>59138</v>
      </c>
      <c r="C20">
        <v>59138</v>
      </c>
      <c r="D20">
        <v>59138</v>
      </c>
      <c r="E20">
        <v>59138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-5028912.20447338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-8694742.5793852806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-59558947.0813234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Germany_ESS</vt:lpstr>
      <vt:lpstr>Germany_ESS_staking</vt:lpstr>
      <vt:lpstr>Germany_ESS_multitasking</vt:lpstr>
      <vt:lpstr>PJM_ESS_New</vt:lpstr>
      <vt:lpstr>PJM_ESS</vt:lpstr>
      <vt:lpstr>NSW_ESS_new</vt:lpstr>
      <vt:lpstr>NSW_ESS</vt:lpstr>
      <vt:lpstr>Germany_EV</vt:lpstr>
      <vt:lpstr>Germany_EV_new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2018-04-09T04:30:35Z</dcterms:modified>
</cp:coreProperties>
</file>