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anyuchuan/Desktop/UF One Drive/*Publications/Corresponding author#1_Prepared_Changan_Zaiyong Zhang/Global map data/"/>
    </mc:Choice>
  </mc:AlternateContent>
  <xr:revisionPtr revIDLastSave="0" documentId="13_ncr:1_{97DB9F16-A53E-4248-9842-C71533D99467}" xr6:coauthVersionLast="47" xr6:coauthVersionMax="47" xr10:uidLastSave="{00000000-0000-0000-0000-000000000000}"/>
  <bookViews>
    <workbookView xWindow="480" yWindow="1000" windowWidth="25040" windowHeight="14400" xr2:uid="{7CC9BCB0-BBAD-2B44-BA3A-19EED03DE2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74" i="1" l="1"/>
  <c r="S174" i="1"/>
  <c r="H174" i="1"/>
  <c r="G174" i="1"/>
  <c r="T173" i="1"/>
  <c r="O173" i="1"/>
  <c r="H173" i="1"/>
  <c r="G173" i="1"/>
  <c r="T172" i="1"/>
  <c r="S172" i="1"/>
  <c r="H172" i="1"/>
  <c r="G172" i="1"/>
  <c r="T171" i="1"/>
  <c r="S171" i="1"/>
  <c r="T170" i="1"/>
  <c r="S170" i="1"/>
  <c r="H170" i="1"/>
  <c r="G170" i="1"/>
  <c r="T169" i="1"/>
  <c r="S169" i="1"/>
  <c r="H169" i="1"/>
  <c r="G169" i="1"/>
  <c r="T168" i="1"/>
  <c r="S168" i="1"/>
  <c r="H168" i="1"/>
  <c r="G168" i="1"/>
  <c r="T167" i="1"/>
  <c r="S167" i="1"/>
  <c r="H167" i="1"/>
  <c r="G167" i="1"/>
  <c r="T166" i="1"/>
  <c r="Q166" i="1"/>
  <c r="O166" i="1"/>
  <c r="S166" i="1" s="1"/>
  <c r="T165" i="1"/>
  <c r="S165" i="1"/>
  <c r="T164" i="1"/>
  <c r="S164" i="1"/>
  <c r="T163" i="1"/>
  <c r="S163" i="1"/>
  <c r="H163" i="1"/>
  <c r="G163" i="1"/>
  <c r="T162" i="1"/>
  <c r="S162" i="1"/>
  <c r="T161" i="1"/>
  <c r="S161" i="1"/>
  <c r="H161" i="1"/>
  <c r="G161" i="1"/>
  <c r="T160" i="1"/>
  <c r="S160" i="1"/>
  <c r="H160" i="1"/>
  <c r="G160" i="1"/>
  <c r="T159" i="1"/>
  <c r="S159" i="1"/>
  <c r="T158" i="1"/>
  <c r="S158" i="1"/>
  <c r="T157" i="1"/>
  <c r="S157" i="1"/>
  <c r="T156" i="1"/>
  <c r="S156" i="1"/>
  <c r="T155" i="1"/>
  <c r="S155" i="1"/>
  <c r="T154" i="1"/>
  <c r="S154" i="1"/>
  <c r="T153" i="1"/>
  <c r="S153" i="1"/>
  <c r="T152" i="1"/>
  <c r="S152" i="1"/>
  <c r="T151" i="1"/>
  <c r="S151" i="1"/>
  <c r="T150" i="1"/>
  <c r="S150" i="1"/>
  <c r="Q150" i="1"/>
  <c r="O150" i="1"/>
  <c r="Q149" i="1"/>
  <c r="T149" i="1" s="1"/>
  <c r="O149" i="1"/>
  <c r="S149" i="1" s="1"/>
  <c r="T148" i="1"/>
  <c r="S148" i="1"/>
  <c r="T147" i="1"/>
  <c r="S147" i="1"/>
  <c r="H147" i="1"/>
  <c r="G147" i="1"/>
  <c r="T146" i="1"/>
  <c r="S146" i="1"/>
  <c r="G146" i="1"/>
  <c r="T145" i="1"/>
  <c r="S145" i="1"/>
  <c r="S144" i="1"/>
  <c r="Q144" i="1"/>
  <c r="T144" i="1" s="1"/>
  <c r="H144" i="1"/>
  <c r="G144" i="1"/>
  <c r="Q143" i="1"/>
  <c r="T143" i="1" s="1"/>
  <c r="O143" i="1"/>
  <c r="S143" i="1" s="1"/>
  <c r="Q142" i="1"/>
  <c r="T142" i="1" s="1"/>
  <c r="O142" i="1"/>
  <c r="S142" i="1" s="1"/>
  <c r="T141" i="1"/>
  <c r="Q141" i="1"/>
  <c r="O141" i="1"/>
  <c r="S141" i="1" s="1"/>
  <c r="Q140" i="1"/>
  <c r="T140" i="1" s="1"/>
  <c r="O140" i="1"/>
  <c r="S140" i="1" s="1"/>
  <c r="H140" i="1"/>
  <c r="G140" i="1"/>
  <c r="T139" i="1"/>
  <c r="Q139" i="1"/>
  <c r="O139" i="1"/>
  <c r="S139" i="1" s="1"/>
  <c r="H139" i="1"/>
  <c r="G139" i="1"/>
  <c r="Q138" i="1"/>
  <c r="T138" i="1" s="1"/>
  <c r="O138" i="1"/>
  <c r="S138" i="1" s="1"/>
  <c r="H138" i="1"/>
  <c r="G138" i="1"/>
  <c r="Q137" i="1"/>
  <c r="T137" i="1" s="1"/>
  <c r="O137" i="1"/>
  <c r="S137" i="1" s="1"/>
  <c r="H137" i="1"/>
  <c r="G137" i="1"/>
  <c r="Q136" i="1"/>
  <c r="T136" i="1" s="1"/>
  <c r="O136" i="1"/>
  <c r="S136" i="1" s="1"/>
  <c r="Q135" i="1"/>
  <c r="T135" i="1" s="1"/>
  <c r="O135" i="1"/>
  <c r="S135" i="1" s="1"/>
  <c r="H135" i="1"/>
  <c r="G135" i="1"/>
  <c r="Q134" i="1"/>
  <c r="T134" i="1" s="1"/>
  <c r="O134" i="1"/>
  <c r="S134" i="1" s="1"/>
  <c r="H134" i="1"/>
  <c r="G134" i="1"/>
  <c r="Q133" i="1"/>
  <c r="T133" i="1" s="1"/>
  <c r="O133" i="1"/>
  <c r="S133" i="1" s="1"/>
  <c r="T132" i="1"/>
  <c r="S132" i="1"/>
  <c r="Q132" i="1"/>
  <c r="O132" i="1"/>
  <c r="T131" i="1"/>
  <c r="S131" i="1"/>
  <c r="T130" i="1"/>
  <c r="S130" i="1"/>
  <c r="T129" i="1"/>
  <c r="S129" i="1"/>
  <c r="O129" i="1"/>
  <c r="H129" i="1"/>
  <c r="G129" i="1"/>
  <c r="Q128" i="1"/>
  <c r="T128" i="1" s="1"/>
  <c r="O128" i="1"/>
  <c r="S128" i="1" s="1"/>
  <c r="S127" i="1"/>
  <c r="Q127" i="1"/>
  <c r="T127" i="1" s="1"/>
  <c r="O127" i="1"/>
  <c r="H127" i="1"/>
  <c r="G127" i="1"/>
  <c r="Q126" i="1"/>
  <c r="T126" i="1" s="1"/>
  <c r="O126" i="1"/>
  <c r="S126" i="1" s="1"/>
  <c r="H126" i="1"/>
  <c r="G126" i="1"/>
  <c r="T125" i="1"/>
  <c r="O125" i="1"/>
  <c r="S125" i="1" s="1"/>
  <c r="H125" i="1"/>
  <c r="G125" i="1"/>
  <c r="S124" i="1"/>
  <c r="Q124" i="1"/>
  <c r="T124" i="1" s="1"/>
  <c r="T123" i="1"/>
  <c r="S123" i="1"/>
  <c r="H123" i="1"/>
  <c r="G123" i="1"/>
  <c r="T122" i="1"/>
  <c r="S122" i="1"/>
  <c r="H122" i="1"/>
  <c r="G122" i="1"/>
  <c r="T121" i="1"/>
  <c r="S121" i="1"/>
  <c r="T120" i="1"/>
  <c r="S120" i="1"/>
  <c r="T119" i="1"/>
  <c r="S119" i="1"/>
  <c r="Q118" i="1"/>
  <c r="T118" i="1" s="1"/>
  <c r="O118" i="1"/>
  <c r="S118" i="1" s="1"/>
  <c r="H118" i="1"/>
  <c r="G118" i="1"/>
  <c r="Q117" i="1"/>
  <c r="T117" i="1" s="1"/>
  <c r="O117" i="1"/>
  <c r="S117" i="1" s="1"/>
  <c r="Q116" i="1"/>
  <c r="T116" i="1" s="1"/>
  <c r="O116" i="1"/>
  <c r="S116" i="1" s="1"/>
  <c r="Q115" i="1"/>
  <c r="T115" i="1" s="1"/>
  <c r="O115" i="1"/>
  <c r="S115" i="1" s="1"/>
  <c r="H115" i="1"/>
  <c r="G115" i="1"/>
  <c r="T114" i="1"/>
  <c r="Q114" i="1"/>
  <c r="O114" i="1"/>
  <c r="S114" i="1" s="1"/>
  <c r="H114" i="1"/>
  <c r="G114" i="1"/>
  <c r="Q113" i="1"/>
  <c r="T113" i="1" s="1"/>
  <c r="O113" i="1"/>
  <c r="S113" i="1" s="1"/>
  <c r="H113" i="1"/>
  <c r="G113" i="1"/>
  <c r="Q112" i="1"/>
  <c r="T112" i="1" s="1"/>
  <c r="O112" i="1"/>
  <c r="S112" i="1" s="1"/>
  <c r="H112" i="1"/>
  <c r="G112" i="1"/>
  <c r="Q111" i="1"/>
  <c r="T111" i="1" s="1"/>
  <c r="O111" i="1"/>
  <c r="S111" i="1" s="1"/>
  <c r="Q110" i="1"/>
  <c r="T110" i="1" s="1"/>
  <c r="O110" i="1"/>
  <c r="S110" i="1" s="1"/>
  <c r="Q109" i="1"/>
  <c r="T109" i="1" s="1"/>
  <c r="O109" i="1"/>
  <c r="S109" i="1" s="1"/>
  <c r="T108" i="1"/>
  <c r="O108" i="1"/>
  <c r="S108" i="1" s="1"/>
  <c r="T107" i="1"/>
  <c r="S107" i="1"/>
  <c r="T106" i="1"/>
  <c r="O106" i="1"/>
  <c r="S106" i="1" s="1"/>
  <c r="H106" i="1"/>
  <c r="G106" i="1"/>
  <c r="T105" i="1"/>
  <c r="S105" i="1"/>
  <c r="T104" i="1"/>
  <c r="S104" i="1"/>
  <c r="H104" i="1"/>
  <c r="G104" i="1"/>
  <c r="T103" i="1"/>
  <c r="O103" i="1"/>
  <c r="S103" i="1" s="1"/>
  <c r="T102" i="1"/>
  <c r="S102" i="1"/>
  <c r="H102" i="1"/>
  <c r="G102" i="1"/>
  <c r="T101" i="1"/>
  <c r="O101" i="1"/>
  <c r="S101" i="1" s="1"/>
  <c r="T100" i="1"/>
  <c r="S100" i="1"/>
  <c r="T99" i="1"/>
  <c r="O99" i="1"/>
  <c r="S99" i="1" s="1"/>
  <c r="Q98" i="1"/>
  <c r="T98" i="1" s="1"/>
  <c r="O98" i="1"/>
  <c r="S98" i="1" s="1"/>
  <c r="Q97" i="1"/>
  <c r="T97" i="1" s="1"/>
  <c r="O97" i="1"/>
  <c r="S97" i="1" s="1"/>
  <c r="T96" i="1"/>
  <c r="O96" i="1"/>
  <c r="S96" i="1" s="1"/>
  <c r="T95" i="1"/>
  <c r="O95" i="1"/>
  <c r="S95" i="1" s="1"/>
  <c r="Q94" i="1"/>
  <c r="T94" i="1" s="1"/>
  <c r="O94" i="1"/>
  <c r="S94" i="1" s="1"/>
  <c r="T93" i="1"/>
  <c r="O93" i="1"/>
  <c r="S93" i="1" s="1"/>
  <c r="Q92" i="1"/>
  <c r="T92" i="1" s="1"/>
  <c r="O92" i="1"/>
  <c r="S92" i="1" s="1"/>
  <c r="H92" i="1"/>
  <c r="G92" i="1"/>
  <c r="T91" i="1"/>
  <c r="S91" i="1"/>
  <c r="Q91" i="1"/>
  <c r="O91" i="1"/>
  <c r="Q90" i="1"/>
  <c r="T90" i="1" s="1"/>
  <c r="O90" i="1"/>
  <c r="S90" i="1" s="1"/>
  <c r="S89" i="1"/>
  <c r="Q89" i="1"/>
  <c r="T89" i="1" s="1"/>
  <c r="O89" i="1"/>
  <c r="H89" i="1"/>
  <c r="G89" i="1"/>
  <c r="Q88" i="1"/>
  <c r="T88" i="1" s="1"/>
  <c r="O88" i="1"/>
  <c r="S88" i="1" s="1"/>
  <c r="Q87" i="1"/>
  <c r="T87" i="1" s="1"/>
  <c r="O87" i="1"/>
  <c r="S87" i="1" s="1"/>
  <c r="H87" i="1"/>
  <c r="G87" i="1"/>
  <c r="Q86" i="1"/>
  <c r="T86" i="1" s="1"/>
  <c r="O86" i="1"/>
  <c r="S86" i="1" s="1"/>
  <c r="H86" i="1"/>
  <c r="G86" i="1"/>
  <c r="Q85" i="1"/>
  <c r="T85" i="1" s="1"/>
  <c r="O85" i="1"/>
  <c r="S85" i="1" s="1"/>
  <c r="H85" i="1"/>
  <c r="G85" i="1"/>
  <c r="Q84" i="1"/>
  <c r="T84" i="1" s="1"/>
  <c r="O84" i="1"/>
  <c r="S84" i="1" s="1"/>
  <c r="H84" i="1"/>
  <c r="G84" i="1"/>
  <c r="T83" i="1"/>
  <c r="S83" i="1"/>
  <c r="H83" i="1"/>
  <c r="G83" i="1"/>
  <c r="T82" i="1"/>
  <c r="S82" i="1"/>
  <c r="H82" i="1"/>
  <c r="G82" i="1"/>
  <c r="T81" i="1"/>
  <c r="S81" i="1"/>
  <c r="Q80" i="1"/>
  <c r="T80" i="1" s="1"/>
  <c r="O80" i="1"/>
  <c r="S80" i="1" s="1"/>
  <c r="S79" i="1"/>
  <c r="Q79" i="1"/>
  <c r="T79" i="1" s="1"/>
  <c r="O79" i="1"/>
  <c r="Q78" i="1"/>
  <c r="T78" i="1" s="1"/>
  <c r="O78" i="1"/>
  <c r="S78" i="1" s="1"/>
  <c r="H78" i="1"/>
  <c r="G78" i="1"/>
  <c r="S77" i="1"/>
  <c r="Q77" i="1"/>
  <c r="T77" i="1" s="1"/>
  <c r="O77" i="1"/>
  <c r="H77" i="1"/>
  <c r="G77" i="1"/>
  <c r="Q76" i="1"/>
  <c r="T76" i="1" s="1"/>
  <c r="O76" i="1"/>
  <c r="S76" i="1" s="1"/>
  <c r="H76" i="1"/>
  <c r="G76" i="1"/>
  <c r="T75" i="1"/>
  <c r="S75" i="1"/>
  <c r="T74" i="1"/>
  <c r="S74" i="1"/>
  <c r="H74" i="1"/>
  <c r="G74" i="1"/>
  <c r="Q73" i="1"/>
  <c r="T73" i="1" s="1"/>
  <c r="O73" i="1"/>
  <c r="S73" i="1" s="1"/>
  <c r="H73" i="1"/>
  <c r="G73" i="1"/>
  <c r="Q72" i="1"/>
  <c r="T72" i="1" s="1"/>
  <c r="O72" i="1"/>
  <c r="S72" i="1" s="1"/>
  <c r="H72" i="1"/>
  <c r="G72" i="1"/>
  <c r="T71" i="1"/>
  <c r="O71" i="1"/>
  <c r="S71" i="1" s="1"/>
  <c r="H71" i="1"/>
  <c r="G71" i="1"/>
  <c r="Q70" i="1"/>
  <c r="T70" i="1" s="1"/>
  <c r="O70" i="1"/>
  <c r="S70" i="1" s="1"/>
  <c r="H70" i="1"/>
  <c r="G70" i="1"/>
  <c r="Q69" i="1"/>
  <c r="T69" i="1" s="1"/>
  <c r="O69" i="1"/>
  <c r="S69" i="1" s="1"/>
  <c r="H69" i="1"/>
  <c r="G69" i="1"/>
  <c r="Q68" i="1"/>
  <c r="T68" i="1" s="1"/>
  <c r="O68" i="1"/>
  <c r="S68" i="1" s="1"/>
  <c r="H68" i="1"/>
  <c r="G68" i="1"/>
  <c r="Q67" i="1"/>
  <c r="T67" i="1" s="1"/>
  <c r="O67" i="1"/>
  <c r="S67" i="1" s="1"/>
  <c r="H67" i="1"/>
  <c r="G67" i="1"/>
  <c r="Q66" i="1"/>
  <c r="T66" i="1" s="1"/>
  <c r="O66" i="1"/>
  <c r="S66" i="1" s="1"/>
  <c r="H66" i="1"/>
  <c r="G66" i="1"/>
  <c r="Q65" i="1"/>
  <c r="T65" i="1" s="1"/>
  <c r="O65" i="1"/>
  <c r="S65" i="1" s="1"/>
  <c r="H65" i="1"/>
  <c r="G65" i="1"/>
  <c r="Q64" i="1"/>
  <c r="T64" i="1" s="1"/>
  <c r="O64" i="1"/>
  <c r="S64" i="1" s="1"/>
  <c r="H64" i="1"/>
  <c r="G64" i="1"/>
  <c r="Q63" i="1"/>
  <c r="T63" i="1" s="1"/>
  <c r="O63" i="1"/>
  <c r="S63" i="1" s="1"/>
  <c r="H63" i="1"/>
  <c r="G63" i="1"/>
  <c r="T62" i="1"/>
  <c r="S62" i="1"/>
  <c r="H62" i="1"/>
  <c r="G62" i="1"/>
  <c r="Q61" i="1"/>
  <c r="T61" i="1" s="1"/>
  <c r="O61" i="1"/>
  <c r="S61" i="1" s="1"/>
  <c r="H61" i="1"/>
  <c r="G61" i="1"/>
  <c r="S60" i="1"/>
  <c r="Q60" i="1"/>
  <c r="T60" i="1" s="1"/>
  <c r="O60" i="1"/>
  <c r="H60" i="1"/>
  <c r="G60" i="1"/>
  <c r="Q59" i="1"/>
  <c r="T59" i="1" s="1"/>
  <c r="O59" i="1"/>
  <c r="S59" i="1" s="1"/>
  <c r="H59" i="1"/>
  <c r="G59" i="1"/>
  <c r="T58" i="1"/>
  <c r="Q58" i="1"/>
  <c r="O58" i="1"/>
  <c r="S58" i="1" s="1"/>
  <c r="H58" i="1"/>
  <c r="G58" i="1"/>
  <c r="T57" i="1"/>
  <c r="S57" i="1"/>
  <c r="H57" i="1"/>
  <c r="G57" i="1"/>
  <c r="Q56" i="1"/>
  <c r="T56" i="1" s="1"/>
  <c r="O56" i="1"/>
  <c r="S56" i="1" s="1"/>
  <c r="H56" i="1"/>
  <c r="G56" i="1"/>
  <c r="Q55" i="1"/>
  <c r="T55" i="1" s="1"/>
  <c r="O55" i="1"/>
  <c r="S55" i="1" s="1"/>
  <c r="H55" i="1"/>
  <c r="G55" i="1"/>
  <c r="Q54" i="1"/>
  <c r="T54" i="1" s="1"/>
  <c r="O54" i="1"/>
  <c r="S54" i="1" s="1"/>
  <c r="H54" i="1"/>
  <c r="G54" i="1"/>
  <c r="Q53" i="1"/>
  <c r="T53" i="1" s="1"/>
  <c r="O53" i="1"/>
  <c r="S53" i="1" s="1"/>
  <c r="H53" i="1"/>
  <c r="G53" i="1"/>
  <c r="Q52" i="1"/>
  <c r="T52" i="1" s="1"/>
  <c r="O52" i="1"/>
  <c r="S52" i="1" s="1"/>
  <c r="H52" i="1"/>
  <c r="G52" i="1"/>
  <c r="Q51" i="1"/>
  <c r="T51" i="1" s="1"/>
  <c r="O51" i="1"/>
  <c r="S51" i="1" s="1"/>
  <c r="Q50" i="1"/>
  <c r="T50" i="1" s="1"/>
  <c r="O50" i="1"/>
  <c r="S50" i="1" s="1"/>
  <c r="T49" i="1"/>
  <c r="Q49" i="1"/>
  <c r="O49" i="1"/>
  <c r="S49" i="1" s="1"/>
  <c r="Q48" i="1"/>
  <c r="T48" i="1" s="1"/>
  <c r="O48" i="1"/>
  <c r="S48" i="1" s="1"/>
  <c r="Q47" i="1"/>
  <c r="T47" i="1" s="1"/>
  <c r="O47" i="1"/>
  <c r="S47" i="1" s="1"/>
  <c r="Q46" i="1"/>
  <c r="T46" i="1" s="1"/>
  <c r="O46" i="1"/>
  <c r="S46" i="1" s="1"/>
  <c r="Q45" i="1"/>
  <c r="T45" i="1" s="1"/>
  <c r="O45" i="1"/>
  <c r="S45" i="1" s="1"/>
  <c r="Q44" i="1"/>
  <c r="T44" i="1" s="1"/>
  <c r="O44" i="1"/>
  <c r="S44" i="1" s="1"/>
  <c r="H44" i="1"/>
  <c r="G44" i="1"/>
  <c r="Q43" i="1"/>
  <c r="T43" i="1" s="1"/>
  <c r="O43" i="1"/>
  <c r="S43" i="1" s="1"/>
  <c r="Q42" i="1"/>
  <c r="T42" i="1" s="1"/>
  <c r="O42" i="1"/>
  <c r="S42" i="1" s="1"/>
  <c r="Q41" i="1"/>
  <c r="T41" i="1" s="1"/>
  <c r="O41" i="1"/>
  <c r="S41" i="1" s="1"/>
  <c r="Q40" i="1"/>
  <c r="T40" i="1" s="1"/>
  <c r="O40" i="1"/>
  <c r="S40" i="1" s="1"/>
  <c r="Q39" i="1"/>
  <c r="T39" i="1" s="1"/>
  <c r="O39" i="1"/>
  <c r="S39" i="1" s="1"/>
  <c r="T38" i="1"/>
  <c r="Q38" i="1"/>
  <c r="O38" i="1"/>
  <c r="S38" i="1" s="1"/>
  <c r="H38" i="1"/>
  <c r="G38" i="1"/>
  <c r="Q37" i="1"/>
  <c r="T37" i="1" s="1"/>
  <c r="O37" i="1"/>
  <c r="S37" i="1" s="1"/>
  <c r="H37" i="1"/>
  <c r="G37" i="1"/>
  <c r="Q36" i="1"/>
  <c r="T36" i="1" s="1"/>
  <c r="O36" i="1"/>
  <c r="S36" i="1" s="1"/>
  <c r="Q35" i="1"/>
  <c r="T35" i="1" s="1"/>
  <c r="O35" i="1"/>
  <c r="S35" i="1" s="1"/>
  <c r="Q34" i="1"/>
  <c r="T34" i="1" s="1"/>
  <c r="O34" i="1"/>
  <c r="S34" i="1" s="1"/>
  <c r="Q33" i="1"/>
  <c r="T33" i="1" s="1"/>
  <c r="O33" i="1"/>
  <c r="S33" i="1" s="1"/>
  <c r="H33" i="1"/>
  <c r="G33" i="1"/>
  <c r="Q32" i="1"/>
  <c r="T32" i="1" s="1"/>
  <c r="O32" i="1"/>
  <c r="S32" i="1" s="1"/>
  <c r="G32" i="1"/>
  <c r="H32" i="1" s="1"/>
  <c r="Q31" i="1"/>
  <c r="T31" i="1" s="1"/>
  <c r="O31" i="1"/>
  <c r="S31" i="1" s="1"/>
  <c r="H31" i="1"/>
  <c r="G31" i="1"/>
  <c r="Q30" i="1"/>
  <c r="T30" i="1" s="1"/>
  <c r="O30" i="1"/>
  <c r="S30" i="1" s="1"/>
  <c r="H30" i="1"/>
  <c r="G30" i="1"/>
  <c r="Q29" i="1"/>
  <c r="T29" i="1" s="1"/>
  <c r="O29" i="1"/>
  <c r="S29" i="1" s="1"/>
  <c r="H29" i="1"/>
  <c r="G29" i="1"/>
  <c r="Q28" i="1"/>
  <c r="T28" i="1" s="1"/>
  <c r="O28" i="1"/>
  <c r="S28" i="1" s="1"/>
  <c r="H28" i="1"/>
  <c r="G28" i="1"/>
  <c r="Q27" i="1"/>
  <c r="T27" i="1" s="1"/>
  <c r="O27" i="1"/>
  <c r="S27" i="1" s="1"/>
  <c r="H27" i="1"/>
  <c r="G27" i="1"/>
  <c r="Q26" i="1"/>
  <c r="T26" i="1" s="1"/>
  <c r="O26" i="1"/>
  <c r="S26" i="1" s="1"/>
  <c r="H26" i="1"/>
  <c r="G26" i="1"/>
  <c r="Q25" i="1"/>
  <c r="T25" i="1" s="1"/>
  <c r="O25" i="1"/>
  <c r="S25" i="1" s="1"/>
  <c r="H25" i="1"/>
  <c r="G25" i="1"/>
  <c r="Q24" i="1"/>
  <c r="T24" i="1" s="1"/>
  <c r="O24" i="1"/>
  <c r="S24" i="1" s="1"/>
  <c r="H24" i="1"/>
  <c r="G24" i="1"/>
  <c r="Q23" i="1"/>
  <c r="T23" i="1" s="1"/>
  <c r="O23" i="1"/>
  <c r="S23" i="1" s="1"/>
  <c r="H23" i="1"/>
  <c r="G23" i="1"/>
  <c r="Q22" i="1"/>
  <c r="O22" i="1"/>
  <c r="M22" i="1"/>
  <c r="Q21" i="1"/>
  <c r="O21" i="1"/>
  <c r="M21" i="1"/>
  <c r="T21" i="1" s="1"/>
  <c r="Q20" i="1"/>
  <c r="O20" i="1"/>
  <c r="M20" i="1"/>
  <c r="Q19" i="1"/>
  <c r="O19" i="1"/>
  <c r="M19" i="1"/>
  <c r="Q18" i="1"/>
  <c r="O18" i="1"/>
  <c r="M18" i="1"/>
  <c r="S18" i="1" s="1"/>
  <c r="Q17" i="1"/>
  <c r="T17" i="1" s="1"/>
  <c r="O17" i="1"/>
  <c r="S17" i="1" s="1"/>
  <c r="H17" i="1"/>
  <c r="G17" i="1"/>
  <c r="Q16" i="1"/>
  <c r="T16" i="1" s="1"/>
  <c r="O16" i="1"/>
  <c r="S16" i="1" s="1"/>
  <c r="Q15" i="1"/>
  <c r="T15" i="1" s="1"/>
  <c r="O15" i="1"/>
  <c r="S15" i="1" s="1"/>
  <c r="S14" i="1"/>
  <c r="Q14" i="1"/>
  <c r="T14" i="1" s="1"/>
  <c r="O14" i="1"/>
  <c r="Q13" i="1"/>
  <c r="T13" i="1" s="1"/>
  <c r="O13" i="1"/>
  <c r="S13" i="1" s="1"/>
  <c r="Q12" i="1"/>
  <c r="T12" i="1" s="1"/>
  <c r="O12" i="1"/>
  <c r="S12" i="1" s="1"/>
  <c r="T11" i="1"/>
  <c r="S11" i="1"/>
  <c r="H11" i="1"/>
  <c r="G11" i="1"/>
  <c r="Q10" i="1"/>
  <c r="T10" i="1" s="1"/>
  <c r="O10" i="1"/>
  <c r="S10" i="1" s="1"/>
  <c r="H10" i="1"/>
  <c r="G10" i="1"/>
  <c r="Q9" i="1"/>
  <c r="T9" i="1" s="1"/>
  <c r="O9" i="1"/>
  <c r="S9" i="1" s="1"/>
  <c r="H9" i="1"/>
  <c r="G9" i="1"/>
  <c r="T8" i="1"/>
  <c r="O8" i="1"/>
  <c r="S8" i="1" s="1"/>
  <c r="H8" i="1"/>
  <c r="G8" i="1"/>
  <c r="Q7" i="1"/>
  <c r="O7" i="1"/>
  <c r="H7" i="1"/>
  <c r="G7" i="1"/>
  <c r="Q6" i="1"/>
  <c r="T6" i="1" s="1"/>
  <c r="O6" i="1"/>
  <c r="S6" i="1" s="1"/>
  <c r="H6" i="1"/>
  <c r="G6" i="1"/>
  <c r="Q5" i="1"/>
  <c r="T5" i="1" s="1"/>
  <c r="O5" i="1"/>
  <c r="S5" i="1" s="1"/>
  <c r="Q4" i="1"/>
  <c r="T4" i="1" s="1"/>
  <c r="O4" i="1"/>
  <c r="S4" i="1" s="1"/>
  <c r="Q3" i="1"/>
  <c r="T3" i="1" s="1"/>
  <c r="O3" i="1"/>
  <c r="S3" i="1" s="1"/>
  <c r="H3" i="1"/>
  <c r="G3" i="1"/>
  <c r="T2" i="1"/>
  <c r="O2" i="1"/>
  <c r="S2" i="1" s="1"/>
  <c r="T20" i="1" l="1"/>
  <c r="T22" i="1"/>
  <c r="S21" i="1"/>
  <c r="T18" i="1"/>
  <c r="S19" i="1"/>
  <c r="T19" i="1"/>
  <c r="S20" i="1"/>
  <c r="S22" i="1"/>
</calcChain>
</file>

<file path=xl/sharedStrings.xml><?xml version="1.0" encoding="utf-8"?>
<sst xmlns="http://schemas.openxmlformats.org/spreadsheetml/2006/main" count="1251" uniqueCount="548">
  <si>
    <t>No</t>
  </si>
  <si>
    <t>Reference</t>
  </si>
  <si>
    <t>Year</t>
  </si>
  <si>
    <t>Country</t>
  </si>
  <si>
    <t>Arid Regions</t>
  </si>
  <si>
    <t>Location</t>
  </si>
  <si>
    <t>Longitude</t>
  </si>
  <si>
    <t>Latitude</t>
  </si>
  <si>
    <t>Caculation method</t>
  </si>
  <si>
    <t>Description</t>
  </si>
  <si>
    <t>Type</t>
  </si>
  <si>
    <t>Period of study</t>
  </si>
  <si>
    <t>Daily condensed water (mm day-1)</t>
  </si>
  <si>
    <t>Annual average precipitation (mm year-1)</t>
  </si>
  <si>
    <t>Average daily precipitation (mm d-1)</t>
  </si>
  <si>
    <t>Annual average evaporation(mm year-1)</t>
  </si>
  <si>
    <t>Average daily evaporation (mm d-1)</t>
  </si>
  <si>
    <t>Elevation(m)</t>
  </si>
  <si>
    <t>Daily NRW/Precipitation</t>
  </si>
  <si>
    <t>NRW/Evaporation</t>
  </si>
  <si>
    <t>The energy balance, evapo‐transpiration and nocturnal dew deposition of an arid valley in the Andes</t>
  </si>
  <si>
    <t>Argentina</t>
  </si>
  <si>
    <t>South America</t>
  </si>
  <si>
    <t>Andes mountains (32°39′11.51″S 070°0′40.32″W)</t>
  </si>
  <si>
    <t>BL</t>
  </si>
  <si>
    <t>Radiative‐and artificial‐cooling enhanced dew collection in a coastal area of South Australia</t>
  </si>
  <si>
    <t>Australia</t>
  </si>
  <si>
    <t>Oceania</t>
  </si>
  <si>
    <t>the Adelaide Hills of South Australia(35.06°S, 138.66°E)</t>
  </si>
  <si>
    <t>Modelling,Four dew collectors</t>
  </si>
  <si>
    <t>sandy soil base</t>
  </si>
  <si>
    <t>from April 24 through to May 23 of 2009.</t>
  </si>
  <si>
    <t>Determining dew and hoar frost formation for a low mountain range and alpine grassland site by weighable lysimeter</t>
  </si>
  <si>
    <t>Austria</t>
  </si>
  <si>
    <t>Gumpenstein （47°29′40″ N/14°06′11″ E）</t>
  </si>
  <si>
    <t>weighable lysimeters</t>
  </si>
  <si>
    <t>Grassland</t>
  </si>
  <si>
    <t>VL</t>
  </si>
  <si>
    <t>2013-11-01–2015-10-31</t>
  </si>
  <si>
    <t>A study of dewfall in an arid region: an analysis of Wangara data.</t>
  </si>
  <si>
    <t>Austrilia</t>
  </si>
  <si>
    <t>Wangara （31.7898° S, 115.8283° E）</t>
  </si>
  <si>
    <t>Modeling,Data anallysis, Wangara micrometeorological data</t>
  </si>
  <si>
    <t xml:space="preserve"> </t>
  </si>
  <si>
    <t>Estimating dew yield worldwide from a fewmeteo data</t>
  </si>
  <si>
    <t>Azeirbadjan</t>
  </si>
  <si>
    <t>Asia</t>
  </si>
  <si>
    <t>Bakou(40°21′N 49°48′E)</t>
  </si>
  <si>
    <t>analytical formula for planar dew collectors</t>
  </si>
  <si>
    <t>indoor(Semi-arid (Bsh))</t>
  </si>
  <si>
    <t>Fog-water collector</t>
  </si>
  <si>
    <t>4/1/10–3/31/11</t>
  </si>
  <si>
    <t>Brazil</t>
  </si>
  <si>
    <t>Campos do Jordão State Park (CJSP, 22°69′S, 45°52′W), located in the Mantiqueira Range</t>
  </si>
  <si>
    <t xml:space="preserve"> The role of dew in the seasonal moisture balance of a summer‐dry climate</t>
  </si>
  <si>
    <t>Canada</t>
  </si>
  <si>
    <t>North America</t>
  </si>
  <si>
    <t>seven miles north of Victoria(48 ° 31.2'N and 123 ° 22.9'W)</t>
  </si>
  <si>
    <t>during three summer months and one fall month in 1970</t>
  </si>
  <si>
    <t>The spatial and temporal variability of fog and its relation to fog oases in the Atacama Desert, Chile</t>
  </si>
  <si>
    <t>Chile</t>
  </si>
  <si>
    <t>Alto Patache（20°49′S–70°09′W）</t>
  </si>
  <si>
    <t>Standard Fog Collectors</t>
  </si>
  <si>
    <t>the edge of the cliff of Alto Patache</t>
  </si>
  <si>
    <t>August 1997 to December 2005</t>
  </si>
  <si>
    <t> Cerro Guatalaya （20°12′S–70°00′W）</t>
  </si>
  <si>
    <t>inland</t>
  </si>
  <si>
    <t>The Quality of Fog Water Collected for Domestic and Agricultural Use in Chile</t>
  </si>
  <si>
    <t>El Tofo（29°26'S, 71°15'W）</t>
  </si>
  <si>
    <t>1987 - 1989</t>
  </si>
  <si>
    <t>Surface Condensation Water under Salix psammophila Is the Main Water Source in Addition to Rainfall in the Kubuqi Desert</t>
  </si>
  <si>
    <t>China</t>
  </si>
  <si>
    <t>Kubuqi desert(40 14 24′′ N, 110 39 14′′ E)</t>
  </si>
  <si>
    <t>Micro-lysimeter</t>
  </si>
  <si>
    <t>CK(under S. psammophila)</t>
  </si>
  <si>
    <t>CG(controlled irrigation group)</t>
  </si>
  <si>
    <t>AG(Ample irrigation group)</t>
  </si>
  <si>
    <t>NG(non-irrigated control group)</t>
  </si>
  <si>
    <t>DG(drought irrigation group)</t>
  </si>
  <si>
    <t>Foliar uptake of dew in the sandy ecosystem of the Mongolia Plateau: A life- sustaining and carbon accumulation strategy shared differently by C3 and C4 grasses</t>
  </si>
  <si>
    <t>Mongolia Plateau, hunshandak sandland (116o31.75′E, 42o4.36′N)</t>
  </si>
  <si>
    <t>Weighting method</t>
  </si>
  <si>
    <t>Bare land</t>
  </si>
  <si>
    <t>Variability in condensation water and its determinants in arid regions of north-western China</t>
  </si>
  <si>
    <t>interdune lowland(39°20 N,100°08E)</t>
  </si>
  <si>
    <t>Modeling</t>
  </si>
  <si>
    <t>dune top(39°20 N,100°08E)</t>
  </si>
  <si>
    <t>flat vegetation-free sand(39°20 N,100°08E)</t>
  </si>
  <si>
    <t>artificial grassland(39°20 N,100°08E)</t>
  </si>
  <si>
    <t>plantation forest(39°20 N,100°08E)</t>
  </si>
  <si>
    <t>Dew formation and its variation in Haloxylon ammodendron plantations at the edge of a desert oasis, northwestern China</t>
  </si>
  <si>
    <t>Bowen ratio energy budget technique (BREB)</t>
  </si>
  <si>
    <t>Haloxylon ammodendron</t>
  </si>
  <si>
    <t>Linze Inland River Basin Research Station</t>
  </si>
  <si>
    <t>microlysimeter</t>
  </si>
  <si>
    <t>sand</t>
  </si>
  <si>
    <t>June and October of 2013</t>
  </si>
  <si>
    <t xml:space="preserve"> Characteristics of dew events in an arid artificial oasis cropland and a sub‐humid cropland in China</t>
  </si>
  <si>
    <t>Zhangye</t>
  </si>
  <si>
    <t>an arid artificial oasis cropland</t>
  </si>
  <si>
    <t>5月28日至9月21日</t>
  </si>
  <si>
    <t>Luancheng</t>
  </si>
  <si>
    <t>sub-humid cropland</t>
  </si>
  <si>
    <t>4月5日至9月13日</t>
  </si>
  <si>
    <t>Characteristics of Dew Formation and Distribution, and Its Contribution to the Surface Water Budget in a Semi-arid Region in China</t>
  </si>
  <si>
    <t>Dingxi observation station</t>
  </si>
  <si>
    <t>large weighing lysimeter</t>
  </si>
  <si>
    <t>Effects of sand burial on dew deposition on moss soil crust in a revegetated area of the Tennger Desert, Northern China</t>
  </si>
  <si>
    <t>Tennger desert,((37°320 N and 105°020 E))</t>
  </si>
  <si>
    <t>Jun-Oct. 2010</t>
  </si>
  <si>
    <t>Dew variability in three habitats of a sand dune transect in a desert oasis ecotone, Northwestern China</t>
  </si>
  <si>
    <t>August and September of 2007 and 2008</t>
  </si>
  <si>
    <t>Dew formation and its long‐term trend in a desert riparian forest ecosystem on the eastern edge of the Taklimakan Desert in China</t>
  </si>
  <si>
    <t>the eastern edge of the Tak_x005F_x005f_x005F_x0002_limakan Desert (40°28′2.3″N, 87°51′27.4″E）</t>
  </si>
  <si>
    <t>The Open Path Eddy Covariance (OPEC) system</t>
  </si>
  <si>
    <t>sandy and sandy loam</t>
  </si>
  <si>
    <t>from 4 June to 24 October 2011</t>
  </si>
  <si>
    <t>Dew formation characteristics in a revegetation-stabilized desert ecosystem in Shapotou area, Northern China</t>
  </si>
  <si>
    <t>Tengger Desert</t>
  </si>
  <si>
    <t>10-11，2008</t>
  </si>
  <si>
    <t>The influence of biological soil crusts on dew deposition in Gurbantunggut Desert, Northwestern China</t>
  </si>
  <si>
    <t>Gurbantunggut Desert （46.17N, 86.40E）</t>
  </si>
  <si>
    <t>May, Sep, and Oct. 2008</t>
  </si>
  <si>
    <t>May, Sep, and Oct. 2009</t>
  </si>
  <si>
    <t>May, Sep, and Oct. 2010</t>
  </si>
  <si>
    <t>Shapotou desert(37°270N,104°570E)</t>
  </si>
  <si>
    <t>Shapotou desert(37°32′N, 105°02′E)</t>
  </si>
  <si>
    <t>Oct. 2009</t>
  </si>
  <si>
    <t>Influence of dew on biomass and photosystem II activity of cyanobacterial crusts in the Hopq Desert, northwest China</t>
  </si>
  <si>
    <t>Hopq desert （40.54059879238202, 108.68851126028453）</t>
  </si>
  <si>
    <t xml:space="preserve">cloth-plate method (CPM) </t>
  </si>
  <si>
    <t>Desert</t>
  </si>
  <si>
    <t>from August to October 2007</t>
  </si>
  <si>
    <t>micro-lysimeters </t>
  </si>
  <si>
    <t>7–23 May, September and October in 2008</t>
  </si>
  <si>
    <t>Experimental study on condensation water in arid area, Northwestern China</t>
  </si>
  <si>
    <t>Changji, Xinjiang （44.0112° N, 87.3082° E）</t>
  </si>
  <si>
    <t>Power is light clay</t>
  </si>
  <si>
    <t>Changji, Xinjiang（44.0112° N, 87.3082° E）</t>
  </si>
  <si>
    <t>Fine sand</t>
  </si>
  <si>
    <t>Sand gravel</t>
  </si>
  <si>
    <t>Effects of gravel and sand mulches on dew deposition in the semiarid region of China</t>
  </si>
  <si>
    <t>LanZhou</t>
  </si>
  <si>
    <t>Dynamic measurement and theoretical calculation on water absorption and con- densation of sandy soil in Shapotou region</t>
  </si>
  <si>
    <t>Shapotou, Ningxia ( 37°31′01″N 105°10′26″E﻿)</t>
  </si>
  <si>
    <t>Artificial fixed sand area</t>
  </si>
  <si>
    <t>A study on the coagulation water in the sandy soil and its role in water balance.</t>
  </si>
  <si>
    <t>Naiman, Inner Mongolia （42°51′N 120°40′E）</t>
  </si>
  <si>
    <t>Naiman, Inner Mongolia（42°51′N 120°40′E）</t>
  </si>
  <si>
    <t>Shifting fixed sand area</t>
  </si>
  <si>
    <t>Water condensation of the dunes and its significance in arid areas.</t>
  </si>
  <si>
    <t>Minqin, Gansu(39.0567° N, 101.9147° E)</t>
  </si>
  <si>
    <t>The surface of an aeolian dune</t>
  </si>
  <si>
    <t>Ordinary sand</t>
  </si>
  <si>
    <t>Small gravel</t>
  </si>
  <si>
    <t>Effects of sand burial on dew deposition on moss soil crust in a revegetated area of the Tengger Desert, Northern China.</t>
  </si>
  <si>
    <t xml:space="preserve"> Tengger Desert(38° 42′ 0″ N, 104° 42′ 0″ E)</t>
  </si>
  <si>
    <t>Croatia</t>
  </si>
  <si>
    <t>Europe</t>
  </si>
  <si>
    <t>Čres(44°57′N 14°24′E)</t>
    <phoneticPr fontId="2" type="noConversion"/>
  </si>
  <si>
    <t>indoor(Mediterranean coast (Cfb))</t>
  </si>
  <si>
    <t>04/08/13–10/31/13</t>
  </si>
  <si>
    <t>Zadar(44°08′N 15°13′E)</t>
  </si>
  <si>
    <t>indoor(Mediterranean coast (Cfa))</t>
  </si>
  <si>
    <t>06/21/03–12/31/05</t>
  </si>
  <si>
    <t>Comparative chemical analysis of dew and rain water</t>
  </si>
  <si>
    <t>Zadar </t>
  </si>
  <si>
    <t>indoor</t>
  </si>
  <si>
    <t>2004-2006</t>
  </si>
  <si>
    <t>Dew and rain water collection in the Dalmatian Coast, Croatia</t>
  </si>
  <si>
    <t>dew condenser</t>
  </si>
  <si>
    <t>Between July 1, 2003 and October 31, 2006</t>
  </si>
  <si>
    <t xml:space="preserve">Komiža </t>
  </si>
  <si>
    <t>Collecting dew as a water source on small islands: The dew equipment for water project in Biševo (Croatia)</t>
  </si>
  <si>
    <t>Croatiat 42°59′N, 16°01′E</t>
  </si>
  <si>
    <t>Dew Equipment for Water</t>
  </si>
  <si>
    <t>outdoor(Vis Island)</t>
  </si>
  <si>
    <t>21 April–21 October 2005</t>
  </si>
  <si>
    <t>Differential interception and evaporation of fog, dew and water vapour and elemental accumulation by lichens explain their relative abundance in a coastal desert</t>
  </si>
  <si>
    <t>Egypt</t>
  </si>
  <si>
    <t>Africa</t>
  </si>
  <si>
    <t>Alexander Bay（28° 37′S, 16° 32′E）</t>
  </si>
  <si>
    <t>automated weighing micro-lysimeters modified</t>
  </si>
  <si>
    <t>lichen field</t>
  </si>
  <si>
    <t>Ethiopia</t>
  </si>
  <si>
    <t>Bahar-Dar(11°36′N 37° 25′E)</t>
  </si>
  <si>
    <t>indoor(Tropical elevation (Cwb))</t>
  </si>
  <si>
    <t>10/30/05–12/30/05</t>
  </si>
  <si>
    <t>France</t>
  </si>
  <si>
    <t>Ajaccio(41°55′N 8°48′E)</t>
  </si>
  <si>
    <t>indoor(Mediterranean island (Csa))</t>
  </si>
  <si>
    <t>01/23/01–05/21/02</t>
  </si>
  <si>
    <t>Bordeaux(44°47′N 0°39′W)</t>
  </si>
  <si>
    <t>indoor(Oceanic coastal humid (Cfb))</t>
  </si>
  <si>
    <t>11/21/01–01/14/03</t>
  </si>
  <si>
    <t>Grenoble(45°11′N 5°42′E)</t>
  </si>
  <si>
    <t>indoor(Urban alpine valley (Cfb))</t>
  </si>
  <si>
    <t>06/16/00–06/14/01</t>
  </si>
  <si>
    <t>Application of passive radiative cooling for dew condensation</t>
  </si>
  <si>
    <t>Tikehau(17°07′S, 148°14′W)</t>
  </si>
  <si>
    <t>May.15 to Oct.14,2005</t>
  </si>
  <si>
    <t>Tahiti(17°34′S, 149°36′E)</t>
  </si>
  <si>
    <t>Bordeaux(44°47′N, 0°39′W)</t>
  </si>
  <si>
    <t>isolated foil</t>
  </si>
  <si>
    <t>Ajaccio(41°55′N; 81°48′E)</t>
  </si>
  <si>
    <t>Brive-la-Gaillarde(45°14′N; 1°22′E)</t>
  </si>
  <si>
    <t>Tahiti (17°33′S, 149°35′W)</t>
  </si>
  <si>
    <t>Zadar(48°08′N; 15°13′E)</t>
  </si>
  <si>
    <t>semi-quantitative measurements</t>
  </si>
  <si>
    <t>Dubrovnik(42°39′N; 18°05′E)</t>
  </si>
  <si>
    <t>Komizˇa(43°03′N; 16°06′E)</t>
  </si>
  <si>
    <t>A comparative study of two large radiative dew water condensers</t>
  </si>
  <si>
    <t>Ajaccio Gulf（latitude 41°55′N; longitude 8°48′E）</t>
  </si>
  <si>
    <t>condensers P1</t>
  </si>
  <si>
    <t>November 1, 2000 to October 30, 2001</t>
  </si>
  <si>
    <t>condensers P2</t>
  </si>
  <si>
    <t>December 10, 2001 to December 9, 2002</t>
  </si>
  <si>
    <t>Study of dew water collection in humid tropical islands</t>
  </si>
  <si>
    <t>on the west side of Tahiti (land area 1042 km2), at latitude 17° 34′S and longitude 149°36′ E at the University of French Polynesia</t>
  </si>
  <si>
    <t>Isolated foil</t>
  </si>
  <si>
    <t>coast</t>
  </si>
  <si>
    <t>from 21/6/2005 to 7/10/2005.</t>
  </si>
  <si>
    <t>Chemical and biological characteristics of dew and rain water in an urban coastal area (Bordeaux, France)</t>
  </si>
  <si>
    <t>south of the Bordeaux urban area(44°47′45″N, 0°39′29″W）</t>
  </si>
  <si>
    <t>The automatic PMMA dew recorder</t>
  </si>
  <si>
    <t>urban area</t>
  </si>
  <si>
    <t>Physical, Chemical and Biological Characteristics of Dew and Rainwater during the Dry Season of Tropical Islands</t>
  </si>
  <si>
    <t>French Polynesia</t>
  </si>
  <si>
    <t xml:space="preserve"> Tikehau（latitude 14°07° S ， longitude 148°14° W）</t>
  </si>
  <si>
    <t>16 May–14 October 2005</t>
  </si>
  <si>
    <t>Tahiti Island( latitude 17°34′ S , longitude 149°36′ W)</t>
  </si>
  <si>
    <t>Tahiti(17°34′S 149°36′E)</t>
  </si>
  <si>
    <t>indoor(ropical monsoonal island (Am))</t>
  </si>
  <si>
    <t>06/09/05–09/19/05</t>
  </si>
  <si>
    <t>Germany</t>
  </si>
  <si>
    <t>Rollesbroich （47°29′40″ N/14°06′11″ E）</t>
  </si>
  <si>
    <t>Effect of vegetation type and growth stage on dewfall, determined with high precision weighing lysimeters at a site in northern Germany</t>
  </si>
  <si>
    <t>Falkenberg lysimeter station,Germany (53.03949267663302, 13.992887376809795)</t>
  </si>
  <si>
    <t>high precision weighing lysimeters</t>
  </si>
  <si>
    <t>Jan,2004-Dec,2005</t>
  </si>
  <si>
    <t>Ecophysiological investigations on lichens in the Negev Desert,VII: The influence of the habitat exposure on dew imbibition and photosynthetic productivity</t>
  </si>
  <si>
    <t>the Rechenzentrum der Universitat Wurzburg (49.7819° N, 9.9735° E)</t>
  </si>
  <si>
    <t>fruticose lichen,Ramalina maciformis (Del)</t>
  </si>
  <si>
    <t>The ion concentration of dew condensed on Norway spruce (Picea abies (L.) Karst.) and Scots pine (Pinus sylvestris L.) needles</t>
  </si>
  <si>
    <t>the ecological botanic garden of the University of Bayreuth ( 11°35′00″ E, 49°55′45 " N)and Wtilfersreuth（11°45′45″ E, 50°03′54″N）</t>
  </si>
  <si>
    <t>The Teflon and Plexiglas plates method</t>
  </si>
  <si>
    <t>ecological botanic garden</t>
  </si>
  <si>
    <t>from August until November 1987 and from April until July 1988.</t>
  </si>
  <si>
    <t>India</t>
  </si>
  <si>
    <t>Kothara(23°07′N 68°55′E)</t>
  </si>
  <si>
    <t>indoor(Oceanic coastal arid (BWh))</t>
  </si>
  <si>
    <t>10/01/04–05/31/05</t>
  </si>
  <si>
    <t>A study of dew water yields on Galvanized iron roofs in Kothara (North-West India)</t>
  </si>
  <si>
    <t>Kothara</t>
  </si>
  <si>
    <t>rooftop</t>
  </si>
  <si>
    <t>between October 2004 and May 2005</t>
  </si>
  <si>
    <t>Characterization of organic acids in dew collected on surrogate surfaces</t>
  </si>
  <si>
    <t>north of Agra city (27°10′ N,78°05′E)</t>
  </si>
  <si>
    <t>Atomic Absorption Spectrophotometer</t>
  </si>
  <si>
    <t>sandy and calcareous by nature</t>
  </si>
  <si>
    <t>during January 1995 and January 1996</t>
  </si>
  <si>
    <t>Vertical patterns and duration of surface wetness in an old-growth tropical montane forest, Indonesia</t>
  </si>
  <si>
    <t>Indonesia</t>
  </si>
  <si>
    <t>an old-growth tropical lower montane forests  on the eastern fringes of Lore Lindu National Park (1° 28′ 0″ S, 120° 11′ 0″ E)</t>
  </si>
  <si>
    <t>surface wetness sensors</t>
  </si>
  <si>
    <t>plateau</t>
  </si>
  <si>
    <t>Why dew and fog measurements carried out by microlysimeters do not adequately reflect the intact soil? The role of temperature</t>
  </si>
  <si>
    <t>Israel</t>
  </si>
  <si>
    <t>loessial soil (with 26% of sand and 74% of fines, silt and clay</t>
  </si>
  <si>
    <t>between June and September, 2020</t>
  </si>
  <si>
    <t xml:space="preserve">
The role of dew as a moisture source for sand microbiotic crusts in the Negev Desert, Israel</t>
  </si>
  <si>
    <t>Negev desert (30.7141° N, 34.8757° E)</t>
  </si>
  <si>
    <t>Cloth plate method</t>
  </si>
  <si>
    <t>Apr. and Nov. 1992 and 1993</t>
  </si>
  <si>
    <t>Lichen (Varying endolithic and epilithic)</t>
  </si>
  <si>
    <t>Summer and fall 1992</t>
  </si>
  <si>
    <t>The role ofdew in the water and heat balance of bare loess soil in the Negev Desert: quantifying the actual dew deposition on the soil surface</t>
  </si>
  <si>
    <t>Wadi Mashash,Israel(31°08′N, 34°53′E)</t>
  </si>
  <si>
    <t>Bare loess soil</t>
  </si>
  <si>
    <t>Mar.29,2000 to May.7 and June.12,2001 to Aug.23,2001</t>
  </si>
  <si>
    <t>Dew variability within a small arid drainage basin in the Negev highlands, Israel.</t>
  </si>
  <si>
    <t>at the Haluqim ridge in the Negev Desert Highlands, Israel (30.7141° N, 34.8757° E)</t>
  </si>
  <si>
    <t>the Cloth-Plate Method (CPM)</t>
  </si>
  <si>
    <t>limestone of three formations: Netzer, Shivta and Drorim</t>
  </si>
  <si>
    <t xml:space="preserve"> during the autumns of 1987-1989</t>
  </si>
  <si>
    <t>500-600</t>
  </si>
  <si>
    <t>Altitude dependent dew and fog in the Negev Desert, Israel</t>
  </si>
  <si>
    <t>Nizzana （30.8860° N, 34.4226° E）</t>
  </si>
  <si>
    <t>limestone formations</t>
  </si>
  <si>
    <t>August-November,1992</t>
  </si>
  <si>
    <t>Sede Boqer （30.8736° N, 34.7931° E）</t>
  </si>
  <si>
    <t>Har Harif （30.4936° N, 34.5608° E）</t>
  </si>
  <si>
    <t>Chemical composition of dew and rain in an extreme desert (Negev): Cobbles serve as sink for nutrients</t>
  </si>
  <si>
    <t>in Sede Boqer (SB) at the central Negev Highlands (30°50′N 34°45′E)</t>
  </si>
  <si>
    <t>loessial soil, sand</t>
  </si>
  <si>
    <t>SB,530m; NIZ,250m</t>
  </si>
  <si>
    <t xml:space="preserve"> in Nizzana (NIZ) 37 km away at the north_x005F_x0002_western Negev Desert (30°50′N 34°45′E)</t>
  </si>
  <si>
    <t>Angle and aspect dependent dew precipitation in the Negev Desert</t>
  </si>
  <si>
    <t>A hilltop located near SedeBoqer in the Negev Highlands (30.7141° N, 34.8757° E)</t>
  </si>
  <si>
    <t>The cloth-plate method</t>
  </si>
  <si>
    <t>limestone， lichens</t>
  </si>
  <si>
    <t>during the fall of 1989 and 1992</t>
  </si>
  <si>
    <t>The effect of substrate properties, size, position, sheltering and shading on dew: An experimental approach in the Negev Desert</t>
  </si>
  <si>
    <t>flat hilltops along an altitudinal gradient of Nizzana (NIZ), Sede Boqer(SB) and Har Harif (HH)</t>
  </si>
  <si>
    <t>a Hobo mini data logger，the Bray and Curtis index and the Sørensen index</t>
  </si>
  <si>
    <t>scattered cobbles</t>
  </si>
  <si>
    <t>during the late summer and fall of 1992</t>
  </si>
  <si>
    <t>An investigation of the role of water (rain and dew) in controlling the growth form of lichens on cobbles in the Negev Desert.</t>
  </si>
  <si>
    <t>Sede Boqer in the Negev Desert Highlands, Israel (30°50′N 34°45′E)</t>
  </si>
  <si>
    <t>limestone：Netzer, Shivta and Drorim</t>
  </si>
  <si>
    <t>during the fall seasons of 1987–1989, 1992 and 2001–2002</t>
  </si>
  <si>
    <t>The role of dew in Negev Desert plants</t>
  </si>
  <si>
    <t>Sede Boqer in the Negev Desert (34°46′E 30°51′N  )</t>
  </si>
  <si>
    <t>Modeling,Isotope analysis</t>
  </si>
  <si>
    <t>Two dominant perennial shrubs (Asteraceae and Chenopodiaceae)</t>
  </si>
  <si>
    <t>Dew measurements along a longitudinal sand dune transect, Negev Desert, Israel</t>
  </si>
  <si>
    <t>a desert dune system in Nizzana, Israel (30° 53′ 10″ N, 34° 25′ 21″ E)</t>
  </si>
  <si>
    <t>Hiltner-type dew balance</t>
  </si>
  <si>
    <t>dunes</t>
  </si>
  <si>
    <t>a 5-week period in September and October 1997</t>
  </si>
  <si>
    <t>Diurnal Water Content Changes in the Bare Soil of a Coastal Desert</t>
  </si>
  <si>
    <t>the Wadi Mas_x005F_x0002_hash Experimental Farm in the northern Negev, Israel</t>
  </si>
  <si>
    <t>Force-restore technique for ground surface temperature  and moisture content in a dry desert system</t>
  </si>
  <si>
    <t>the northwestern Negev desert (30° 50′ 0″ N, 34° 45′ 0″ E)</t>
  </si>
  <si>
    <t>Assessing the effect of micro-lysimeters on NRWI: Do micro-lysimeters adequately represent the water input of natural soil?</t>
  </si>
  <si>
    <t>Negev Desert</t>
  </si>
  <si>
    <t>An automatic micro-lysimeter (MLS)</t>
  </si>
  <si>
    <t>valley</t>
  </si>
  <si>
    <t>A simple weighing method for dew and fog measurements</t>
  </si>
  <si>
    <t>Jerusalem</t>
  </si>
  <si>
    <t>Institute of Earth Sciences, The Hebrew University of Jerusalem (31.7706° N, 35.1974° E)</t>
  </si>
  <si>
    <t>Fog drip as a source of groundwater recharge in northern Kenya</t>
  </si>
  <si>
    <t>Kenya</t>
  </si>
  <si>
    <t>Chalbi Desert (3° 1′ 54″ N, 37° 20′ 51″ E)</t>
  </si>
  <si>
    <t>Isotopic fractionatio and analysis</t>
  </si>
  <si>
    <t>basin with thick vegetation</t>
  </si>
  <si>
    <t>Dew as an adaptation measure to meet water demand in agriculture and reforestation</t>
  </si>
  <si>
    <t>Lebanon</t>
  </si>
  <si>
    <t> Beiteddine (33.6948° N, 35.5813° E)</t>
  </si>
  <si>
    <t>dew condenser </t>
  </si>
  <si>
    <t>2013 and 2014 growing seasons</t>
  </si>
  <si>
    <t>Dewfall and its ecological significance in semi-arid coastal south-western Madagascar</t>
  </si>
  <si>
    <t>Madagascar</t>
  </si>
  <si>
    <t>in the coastal village of Efoetsy,south-western Madagascar about 2 km inland from the sea (20° 0′ 0″ S, 47° 0′ 0″ E)</t>
  </si>
  <si>
    <t>Weighable lysimeters，a digital balance</t>
  </si>
  <si>
    <t>from April 2013 to September 2014 (Efoetsy) and April 2013 to August 2013 (Andremba)</t>
  </si>
  <si>
    <t>at Andremba (14.6322° S, 48.1797° E)</t>
  </si>
  <si>
    <t>Dew and its effect on two heliophile understory species of a tropical dry deciduous forest in Mexico</t>
  </si>
  <si>
    <t>Mexico</t>
  </si>
  <si>
    <t>Mirleft(29°35′N 10°02′W)</t>
  </si>
  <si>
    <t>indoor(ceanic coastal arid (BWh))</t>
  </si>
  <si>
    <t>05/01/07–04/30/08</t>
  </si>
  <si>
    <t>Dew deposition on epiphytic bromeliad leaves: An important event in a Mexican tropical dry deciduous forest</t>
  </si>
  <si>
    <t>dry deciduous forest in western Mexico (19° 30′ N, 105° 03′ W)</t>
  </si>
  <si>
    <t>Weighable lysimeters</t>
  </si>
  <si>
    <t>tropical deciduous forest</t>
  </si>
  <si>
    <t>on the Pacific coast of Mexico in the state of Jalisco (19° 30′ N, 105° 03′ W)</t>
  </si>
  <si>
    <t>Modeling,equations from Jones</t>
  </si>
  <si>
    <t>dry deciduous forest</t>
  </si>
  <si>
    <t>Morocco</t>
  </si>
  <si>
    <t>Rooftop dew, fog and rain collection in southwest Morocco and predictive dew modeling using neural networks</t>
  </si>
  <si>
    <t>Mirleft (29.5797° N, 10.0351° W)</t>
  </si>
  <si>
    <t>Rooftop</t>
  </si>
  <si>
    <t>May 1, 2007 to April 30, 2008</t>
  </si>
  <si>
    <t>Id Ouasskssou （29° 34' 0" N, 10° 0' 0" W）</t>
  </si>
  <si>
    <t xml:space="preserve">July 1, 2007 to Septem- ber 30, 2007 </t>
  </si>
  <si>
    <t>Dew, fog, and rain as supplementary sources of water in south-western Morocco</t>
  </si>
  <si>
    <t>Morocco </t>
  </si>
  <si>
    <t>Mirleft（29°35′ N, 10°02′ W）</t>
  </si>
  <si>
    <t>The nature of moisture at Gobabeb, in the central Namib Desert</t>
  </si>
  <si>
    <t>Namibia</t>
  </si>
  <si>
    <t>Gobabeb (23° 33′ 0″ S, 15° 2′ 0″ E)</t>
  </si>
  <si>
    <t>The Standard Fog Collector (SFC)</t>
  </si>
  <si>
    <t>semi-arid</t>
  </si>
  <si>
    <t>Ecophysiology of atmospheric moisture in the Namib Desert</t>
  </si>
  <si>
    <t>the Namib Desert (24.2889° S, 15.2605° E)</t>
  </si>
  <si>
    <t>Non-Rainfall Moisture Activates Fungal Decomposition of Surface Litter in the Namib Sand Sea</t>
  </si>
  <si>
    <t>Namib Sand Sea (NSS) (22°55’00.0″S, 15°09’00.0″E)</t>
  </si>
  <si>
    <t>Spatial Variation of ‘‘Non-Rainfall’’ Water Input and the Effect of Mechanical Soil Crusts on Input and Evaporation</t>
  </si>
  <si>
    <t>in the fog belt of the Central Namib Desert, Namib Naukluft Park （Kleinberg）</t>
  </si>
  <si>
    <t>Microlysimeter</t>
  </si>
  <si>
    <t>lichen</t>
  </si>
  <si>
    <t>in the fog belt of the Central Namib Desert, Namib Naukluft Park （Gobabeb）</t>
  </si>
  <si>
    <t>grasses</t>
  </si>
  <si>
    <t>Non rainfall water origins and formation mechanisms</t>
  </si>
  <si>
    <t>Contribution of dew to the water budget of a grassland area in the Netherlands</t>
  </si>
  <si>
    <t>Netherlands</t>
  </si>
  <si>
    <t>Haarweg Station,Netherlands(51°58′N, 5°38′W)</t>
  </si>
  <si>
    <t>simple manual lysimeter</t>
  </si>
  <si>
    <t>Apr.to May.2004</t>
  </si>
  <si>
    <t>Dew formation and chemistry near a motorway in Poland</t>
  </si>
  <si>
    <t>Poland</t>
  </si>
  <si>
    <t>the southwestern Poland near Wrocław (51° 07′ N; 17°02′ E）</t>
  </si>
  <si>
    <t>Thermally isolated plate of Plexiglas orTeflon (PMMA or PTFE)</t>
  </si>
  <si>
    <t>agriculture land</t>
  </si>
  <si>
    <t xml:space="preserve"> between 01 April 2009 and 20 April 2009, from 18 Sept 2009 to 28 Sept 2009</t>
  </si>
  <si>
    <t>Fog collection as a source of fresh water supply in the kingdom of Saudi Arabia</t>
  </si>
  <si>
    <t>Saudi Arabia</t>
  </si>
  <si>
    <t>Soodha （18.2465° N, 42.5117° E）</t>
  </si>
  <si>
    <t>Modeling and testing of a dew collection system</t>
  </si>
  <si>
    <t>Dhagh（26.3°N，50.1°E）</t>
  </si>
  <si>
    <t>Jan and Feb</t>
  </si>
  <si>
    <t>Soodha (18°16′19.2″N 42°22′19.2″E﻿ ) Site A</t>
  </si>
  <si>
    <t>﻿18.272000</t>
  </si>
  <si>
    <t>Soodha (18°16′19.2″N 42°22′19.2″E﻿ ) Site B</t>
  </si>
  <si>
    <t>Fog water collection evaluation in Asir region—Saudi Arabia</t>
  </si>
  <si>
    <t>Asir region (18.2° N Latitude and 42.5° E Longitude)</t>
  </si>
  <si>
    <t>highlands</t>
  </si>
  <si>
    <t>Non rainfall moisture interception by dwarf succulents and their relative abundance in an inland arid South African ecosystem</t>
  </si>
  <si>
    <t>South Africa</t>
  </si>
  <si>
    <t>Knersvlakte,South Africa(31°20′S 18°40′E)</t>
  </si>
  <si>
    <t>Quartz gravel soils and dwarf succulents</t>
  </si>
  <si>
    <t>Non-rainfall moisture inputs in the Knersvlakte: Methodology and preliminary findings</t>
  </si>
  <si>
    <t>Arizona Farm</t>
  </si>
  <si>
    <t>an arid plain strewn with quartz pebbles</t>
  </si>
  <si>
    <t>between late September and  November 2006</t>
  </si>
  <si>
    <t xml:space="preserve">
The Effect of Dew and Fog on Lithic Lichens Along an Altitudinal Gradient in the Negev Desert</t>
  </si>
  <si>
    <t>Spain</t>
  </si>
  <si>
    <t>Tabernas desert</t>
  </si>
  <si>
    <t>May-Jul. 2012</t>
  </si>
  <si>
    <t>Role of dewfall in the water balance of a semiarid coastal steppe ecosystem</t>
  </si>
  <si>
    <t>Balsa Blanca (38.9390° N, 0.7467° W)</t>
  </si>
  <si>
    <t>The Combined Dewfall Estimation Method</t>
  </si>
  <si>
    <t xml:space="preserve"> January 2007 to December 2010</t>
  </si>
  <si>
    <t>Dew measurement by Eddy covariance and wetness sensor in a semiarid ecosystem of SE Spain</t>
  </si>
  <si>
    <t>Rambla Honda</t>
  </si>
  <si>
    <t>wetness sensors</t>
  </si>
  <si>
    <t>from February to June 2003</t>
  </si>
  <si>
    <t>Non-rainfall water inputs are controlled by aspect in a semiarid ecosystem</t>
  </si>
  <si>
    <t>the Neogene–Quaternary Sorbas-Tabernas basin in Almería（N37°00′37″, W2°26′30″）</t>
  </si>
  <si>
    <t>automated microlysimeters</t>
  </si>
  <si>
    <t>during one month in winter [day of the year (doy) 19–49] and one month in summer (doy 141–169)</t>
  </si>
  <si>
    <t>247.5-382.5</t>
  </si>
  <si>
    <t>southwest facing slopes（(SWF)</t>
  </si>
  <si>
    <t>Dew as a key factor for the distribu_x005F_x005f_x005F_x005f_x005F_x0002_tion pattern of the lichen species Teloschistes lacunosus in the Tabernas Desert</t>
  </si>
  <si>
    <t>the Tabernas Desert(37°01′N 02°26′W)</t>
  </si>
  <si>
    <t>Microclimatic measurements</t>
  </si>
  <si>
    <t>Fog collection in the western Mediterranean basin</t>
  </si>
  <si>
    <t>the Valencia region, East coast of the Iberian Peninsula (40° 30′ 0″ N, 4° 0′ 0″ W)</t>
  </si>
  <si>
    <t>fog water collector，meteorological instruments</t>
  </si>
  <si>
    <t>narrow coastal plains, southern location</t>
  </si>
  <si>
    <t>Mt. Bartolo，736 m； Mt. Moduver,843 m</t>
  </si>
  <si>
    <t>narrow coastal plains, northern location</t>
  </si>
  <si>
    <t>narrow coastal plains</t>
  </si>
  <si>
    <t>Mt. Montgo670 m；Mt. Peñaroya，1193 m</t>
  </si>
  <si>
    <t>Dew formation and the drying process within a maize canopy</t>
  </si>
  <si>
    <t>The Netherlands</t>
  </si>
  <si>
    <t>the centre of The Netherlands (51°59 ' N, 5°45 ' E)</t>
  </si>
  <si>
    <t>Aspirated psychrometers，The Bowen ratio energy balance technique (BREB) and The soil water diffusivity technique (SD),the blotting paper technique.</t>
  </si>
  <si>
    <t>agricultural fields，gravel and coarse sand</t>
  </si>
  <si>
    <t>29-30 August 1988</t>
  </si>
  <si>
    <t>The frequency and duration of dew occurrence over a year: Model results compared with measurements</t>
  </si>
  <si>
    <t>the eastern part of the Netherlands (52°22′N 4°53′E)</t>
  </si>
  <si>
    <t>a  small  meadow, KEMA   laboratorie</t>
  </si>
  <si>
    <t>April-October of  1986  and  September-October  of  1987.</t>
  </si>
  <si>
    <t>Dew formation, eddy‐correlation latent heat fluxes, and the surface energy imbalance at Cabaux during stable conditions</t>
  </si>
  <si>
    <t>The Cabauw Tower Experimental Site(51.97° N, 4.927° E)</t>
  </si>
  <si>
    <t>The soil consists of 0.6m of river-clay, overlying a thick layer of peat.</t>
  </si>
  <si>
    <t>Dew is a major factor affecting vegetation water use efficiency rather than a source of water in the eastern Mediterranean area</t>
  </si>
  <si>
    <t>Turkey</t>
  </si>
  <si>
    <t>the Chukurova basin near Adana, Turkey (37°01′N, 35°21′E)</t>
  </si>
  <si>
    <t>Modeling,Using Measured and Convoluted WUE for Comparison of Dew and No‐Dew Conditions</t>
  </si>
  <si>
    <t>basin</t>
  </si>
  <si>
    <t>10–150</t>
  </si>
  <si>
    <t>A sensitive recording dew balance</t>
  </si>
  <si>
    <t>UK</t>
  </si>
  <si>
    <t>51°30′N 0°7′W</t>
  </si>
  <si>
    <t>Dew frequency across the US from a network of in situ radiometers</t>
  </si>
  <si>
    <t>USA</t>
  </si>
  <si>
    <t>MOAB (38.248, -109.388)</t>
  </si>
  <si>
    <t>JORN(32.591,−106.843)</t>
  </si>
  <si>
    <t>ONAQ(40.178, −112.452)</t>
  </si>
  <si>
    <t>−112.452</t>
  </si>
  <si>
    <t>KONZ (39.101,−96.563)</t>
  </si>
  <si>
    <t>−96.563</t>
  </si>
  <si>
    <t>CPER (40.816, −104.746)</t>
  </si>
  <si>
    <t>−104.746</t>
  </si>
  <si>
    <t>OAES (35.411,−99.059)</t>
  </si>
  <si>
    <t>−99.059</t>
  </si>
  <si>
    <t>HEAL(63.876, −149.213)</t>
  </si>
  <si>
    <t>−149.213</t>
  </si>
  <si>
    <t>DCFS (47.162,−99.107)</t>
  </si>
  <si>
    <t>−99.107</t>
  </si>
  <si>
    <t>WOOD (47.128,−99.241)</t>
  </si>
  <si>
    <t>−99.241</t>
  </si>
  <si>
    <t>DSNY (28.125,−81.436)</t>
  </si>
  <si>
    <t>−81.436</t>
  </si>
  <si>
    <t>LAJA (18.021,−67.077)</t>
  </si>
  <si>
    <t>−67.077</t>
  </si>
  <si>
    <t>Fog in the California redwood forest: Ecosystem inputs and use of plants</t>
  </si>
  <si>
    <t>along the north side of the Klamath River, west of the town of Requa (41°33′N, 12°44′W)</t>
  </si>
  <si>
    <t>Foliar interception collectors,artificial collectors</t>
  </si>
  <si>
    <t xml:space="preserve"> 47±191</t>
  </si>
  <si>
    <t>Dew frequency, duration, amount, and distribution in corn and soybean during SMEX05 (42.0308° N, 93.6319° W)</t>
  </si>
  <si>
    <t>Ames, IA, USA (42.0308° N, 93.6319° W)</t>
  </si>
  <si>
    <t>Fog water and ecosystem function: Heterogeneity in a California redwood forest</t>
  </si>
  <si>
    <t>Sonoma County, California, (38°24′N, 122°59′W)</t>
  </si>
  <si>
    <t>Throughfall (TF) collectors</t>
  </si>
  <si>
    <t>old-growth redwood forest</t>
  </si>
  <si>
    <t xml:space="preserve"> fog season (June to October, 2003–2005), rain season (November through May 2003–2006).</t>
  </si>
  <si>
    <t>Evaluating patterns of fog water deposition and isotopic composition on the California Channel Islands</t>
  </si>
  <si>
    <t>Santa Cruz Island (34° 0′ 0″ N, 119° 43′ 0″ W)</t>
  </si>
  <si>
    <t>The Standard Fog Collector (SFC),isotope analysis</t>
  </si>
  <si>
    <t>a stand of Bishop pines</t>
  </si>
  <si>
    <t>2 June to 19 November 2005.</t>
  </si>
  <si>
    <t>Dew: An addition to the hydrological balance of Douglas fir</t>
  </si>
  <si>
    <t>University of Washington (47° 39′ 14.76″ N, 122° 18′ 28.8″ W)</t>
  </si>
  <si>
    <t>Bowen ratio energy budget technique (BREB), Weighing lysimeter</t>
  </si>
  <si>
    <t>a Douglas fir tree</t>
  </si>
  <si>
    <t>The collection of fog drip</t>
  </si>
  <si>
    <t>south of San Francisco, California (37.6547° N, 122.4077° W)</t>
  </si>
  <si>
    <t>Two Different Standard Fog Collectors (SFCs )</t>
  </si>
  <si>
    <t>shrub-covered mountain ridge</t>
  </si>
  <si>
    <t xml:space="preserve"> from May 28 to September 8, 1982</t>
  </si>
  <si>
    <t>Summer water use by California coastal prairie grasses: Fog, drought, and community composition</t>
  </si>
  <si>
    <t>the mixing model of Phillips and Gregg,ANOVA,isotope analysis</t>
  </si>
  <si>
    <t>grassland</t>
  </si>
  <si>
    <t>Observations of dew amount using in situ and satellite measurements in an agricultural landscape</t>
  </si>
  <si>
    <t>near Ames, Iowa in and around the Walnut Creek watershed (41.9821°N, 93.6924°W)</t>
  </si>
  <si>
    <t>The corn fields</t>
  </si>
  <si>
    <t>From 6/15/08 to 7/3/08</t>
  </si>
  <si>
    <t>The contribution of fog to the water relations of Sequoia sempervirens (D. Don): Foliar uptake and prevention of dehydration</t>
  </si>
  <si>
    <t>Sonoma County, CA (38°24′ N, 122°59′ W)</t>
  </si>
  <si>
    <t>flat ridge</t>
  </si>
  <si>
    <t>Ecophysiological importance of cloud immersion in a relic spruce–fir forest at elevational limits, southern Appalachian Mountains,USA</t>
  </si>
  <si>
    <t>Mt.Mitchell State Park</t>
  </si>
  <si>
    <t>the spruce–fir forest</t>
  </si>
  <si>
    <t>from 23 May 2011 to 28 September 2011</t>
  </si>
  <si>
    <t>Patterns of leaf surface wetness for montane and subalpine plants</t>
  </si>
  <si>
    <t>in the Medicine Bow Mountains of south-east Wyoming, USA</t>
  </si>
  <si>
    <t>field observations and micrometeorological data</t>
  </si>
  <si>
    <t>adjacent gaps, meadows and understorey habitats</t>
  </si>
  <si>
    <r>
      <t>Foliar uptake of fog water and transport belowground alleviates drought effects in the cloud forest tree species, </t>
    </r>
    <r>
      <rPr>
        <i/>
        <sz val="12"/>
        <rFont val="Times New Roman"/>
        <family val="1"/>
      </rPr>
      <t>Drimys brasiliensis</t>
    </r>
    <r>
      <rPr>
        <sz val="12"/>
        <rFont val="Times New Roman"/>
        <family val="1"/>
      </rPr>
      <t> (Winteraceae)</t>
    </r>
  </si>
  <si>
    <r>
      <t>Linze Inland River Basin Research Station, Chinese Academy of Sciences (39°21</t>
    </r>
    <r>
      <rPr>
        <sz val="8"/>
        <rFont val="Times New Roman"/>
        <family val="1"/>
      </rPr>
      <t xml:space="preserve">′N, 100°07′E, 1374 m a.s.l.), </t>
    </r>
  </si>
  <si>
    <r>
      <t>Dew formation and its variation in </t>
    </r>
    <r>
      <rPr>
        <i/>
        <sz val="12"/>
        <rFont val="Times New Roman"/>
        <family val="1"/>
      </rPr>
      <t>Haloxylon ammodendron</t>
    </r>
    <r>
      <rPr>
        <sz val="12"/>
        <rFont val="Times New Roman"/>
        <family val="1"/>
      </rPr>
      <t> plantations at the edge of a desert oasis, northwestern China</t>
    </r>
  </si>
  <si>
    <r>
      <t>Biological soil crust(</t>
    </r>
    <r>
      <rPr>
        <i/>
        <sz val="12"/>
        <rFont val="Times New Roman"/>
        <family val="1"/>
      </rPr>
      <t>Bryum argenteum</t>
    </r>
    <r>
      <rPr>
        <sz val="12"/>
        <rFont val="Times New Roman"/>
        <family val="1"/>
      </rPr>
      <t>)</t>
    </r>
  </si>
  <si>
    <r>
      <t>Biological soil crust(</t>
    </r>
    <r>
      <rPr>
        <i/>
        <sz val="12"/>
        <rFont val="Times New Roman"/>
        <family val="1"/>
      </rPr>
      <t>Didymodon vinealis</t>
    </r>
    <r>
      <rPr>
        <sz val="12"/>
        <rFont val="Times New Roman"/>
        <family val="1"/>
      </rPr>
      <t>)</t>
    </r>
  </si>
  <si>
    <r>
      <t>Biological soil crust(</t>
    </r>
    <r>
      <rPr>
        <i/>
        <sz val="12"/>
        <rFont val="Times New Roman"/>
        <family val="1"/>
      </rPr>
      <t>Syntrichia caninervis</t>
    </r>
    <r>
      <rPr>
        <sz val="12"/>
        <rFont val="Times New Roman"/>
        <family val="1"/>
      </rPr>
      <t>)</t>
    </r>
  </si>
  <si>
    <r>
      <t>Biological soil crust(</t>
    </r>
    <r>
      <rPr>
        <i/>
        <sz val="12"/>
        <rFont val="Times New Roman"/>
        <family val="1"/>
      </rPr>
      <t>Microcoleus vaginatus</t>
    </r>
    <r>
      <rPr>
        <sz val="12"/>
        <rFont val="Times New Roman"/>
        <family val="1"/>
      </rPr>
      <t>)</t>
    </r>
  </si>
  <si>
    <r>
      <t>Biological soil crust(</t>
    </r>
    <r>
      <rPr>
        <i/>
        <sz val="12"/>
        <rFont val="Times New Roman"/>
        <family val="1"/>
      </rPr>
      <t>Collema tenax</t>
    </r>
    <r>
      <rPr>
        <sz val="12"/>
        <rFont val="Times New Roman"/>
        <family val="1"/>
      </rPr>
      <t>)</t>
    </r>
  </si>
  <si>
    <r>
      <t>Biological soil crust(</t>
    </r>
    <r>
      <rPr>
        <i/>
        <sz val="12"/>
        <rFont val="Times New Roman"/>
        <family val="1"/>
      </rPr>
      <t>Tortula desertorum</t>
    </r>
    <r>
      <rPr>
        <sz val="12"/>
        <rFont val="Times New Roman"/>
        <family val="1"/>
      </rPr>
      <t>)</t>
    </r>
  </si>
  <si>
    <r>
      <t>Small shrubs (</t>
    </r>
    <r>
      <rPr>
        <i/>
        <sz val="12"/>
        <rFont val="Times New Roman"/>
        <family val="1"/>
      </rPr>
      <t>Artemisia ordosica</t>
    </r>
    <r>
      <rPr>
        <sz val="12"/>
        <rFont val="Times New Roman"/>
        <family val="1"/>
      </rPr>
      <t>)</t>
    </r>
  </si>
  <si>
    <r>
      <t>Small shrubs (</t>
    </r>
    <r>
      <rPr>
        <i/>
        <sz val="12"/>
        <rFont val="Times New Roman"/>
        <family val="1"/>
      </rPr>
      <t>Caragana korshinskii</t>
    </r>
    <r>
      <rPr>
        <sz val="12"/>
        <rFont val="Times New Roman"/>
        <family val="1"/>
      </rPr>
      <t>)</t>
    </r>
  </si>
  <si>
    <r>
      <t>Sede Boqer(</t>
    </r>
    <r>
      <rPr>
        <b/>
        <sz val="12"/>
        <rFont val="Times New Roman"/>
        <family val="1"/>
      </rPr>
      <t xml:space="preserve"> </t>
    </r>
    <r>
      <rPr>
        <sz val="12"/>
        <rFont val="Times New Roman"/>
        <family val="1"/>
      </rPr>
      <t>34°23′ E，30°56′N)</t>
    </r>
  </si>
  <si>
    <r>
      <t>Biological soil crust(</t>
    </r>
    <r>
      <rPr>
        <i/>
        <sz val="12"/>
        <rFont val="Times New Roman"/>
        <family val="1"/>
      </rPr>
      <t>Microcoleus sp.</t>
    </r>
    <r>
      <rPr>
        <sz val="12"/>
        <rFont val="Times New Roman"/>
        <family val="1"/>
      </rPr>
      <t>)
Bryum dunense</t>
    </r>
  </si>
  <si>
    <r>
      <t>Biological soil crust(</t>
    </r>
    <r>
      <rPr>
        <i/>
        <sz val="12"/>
        <rFont val="Times New Roman"/>
        <family val="1"/>
      </rPr>
      <t>Diploschistes diacapsis and
Squamarina lentigera)</t>
    </r>
  </si>
  <si>
    <r>
      <t> northeast-facing slopes (</t>
    </r>
    <r>
      <rPr>
        <i/>
        <sz val="12"/>
        <rFont val="Times New Roman"/>
        <family val="1"/>
      </rPr>
      <t>NEF</t>
    </r>
    <r>
      <rPr>
        <sz val="12"/>
        <rFont val="Times New Roman"/>
        <family val="1"/>
      </rPr>
      <t>)</t>
    </r>
  </si>
  <si>
    <r>
      <t>four sites in Marin and Sonoma Counties, CA, USA(( 38°19′N123°4′W,,38°13′N122° 57′W,,37° 54′N 122°33</t>
    </r>
    <r>
      <rPr>
        <b/>
        <sz val="12"/>
        <rFont val="Times New Roman"/>
        <family val="1"/>
      </rPr>
      <t>′</t>
    </r>
    <r>
      <rPr>
        <sz val="12"/>
        <rFont val="Times New Roman"/>
        <family val="1"/>
      </rPr>
      <t>W,122° 35′W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</si>
</sst>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3" fillId="0" borderId="0" xfId="1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10" fontId="4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3" fontId="3" fillId="0" borderId="0" xfId="0" applyNumberFormat="1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iencedirect.com/topics/agricultural-and-biological-sciences/growing-sea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A50B7-55A8-8249-85BC-125D76A42F19}">
  <dimension ref="A1:T174"/>
  <sheetViews>
    <sheetView tabSelected="1" zoomScale="43" workbookViewId="0">
      <selection activeCell="U7" sqref="U7"/>
    </sheetView>
  </sheetViews>
  <sheetFormatPr baseColWidth="10" defaultRowHeight="16" x14ac:dyDescent="0.2"/>
  <cols>
    <col min="1" max="1" width="11" bestFit="1" customWidth="1"/>
    <col min="3" max="3" width="11" bestFit="1" customWidth="1"/>
    <col min="7" max="7" width="13" bestFit="1" customWidth="1"/>
    <col min="8" max="8" width="11" bestFit="1" customWidth="1"/>
    <col min="13" max="18" width="11" bestFit="1" customWidth="1"/>
    <col min="19" max="19" width="11.1640625" bestFit="1" customWidth="1"/>
    <col min="20" max="20" width="11" customWidth="1"/>
  </cols>
  <sheetData>
    <row r="1" spans="1:20" ht="34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7" t="s">
        <v>18</v>
      </c>
      <c r="T1" s="7" t="s">
        <v>19</v>
      </c>
    </row>
    <row r="2" spans="1:20" x14ac:dyDescent="0.2">
      <c r="A2" s="8">
        <v>123</v>
      </c>
      <c r="B2" s="8" t="s">
        <v>20</v>
      </c>
      <c r="C2" s="8">
        <v>2006</v>
      </c>
      <c r="D2" s="8" t="s">
        <v>21</v>
      </c>
      <c r="E2" s="8" t="s">
        <v>22</v>
      </c>
      <c r="F2" s="8" t="s">
        <v>23</v>
      </c>
      <c r="G2" s="8">
        <v>-70.011200000000002</v>
      </c>
      <c r="H2" s="8">
        <v>-32.653197222222197</v>
      </c>
      <c r="I2" s="8"/>
      <c r="J2" s="8"/>
      <c r="K2" s="8" t="s">
        <v>24</v>
      </c>
      <c r="L2" s="1"/>
      <c r="M2" s="8"/>
      <c r="N2" s="8"/>
      <c r="O2" s="8">
        <f>IFERROR(N2/365,"")</f>
        <v>0</v>
      </c>
      <c r="P2" s="8"/>
      <c r="Q2" s="8"/>
      <c r="R2" s="8"/>
      <c r="S2" s="9" t="str">
        <f>IFERROR(M2/O2,"")</f>
        <v/>
      </c>
      <c r="T2" s="9" t="str">
        <f>IFERROR(M2/Q2,"")</f>
        <v/>
      </c>
    </row>
    <row r="3" spans="1:20" ht="68" x14ac:dyDescent="0.2">
      <c r="A3" s="8">
        <v>1</v>
      </c>
      <c r="B3" s="8" t="s">
        <v>25</v>
      </c>
      <c r="C3" s="8">
        <v>2014</v>
      </c>
      <c r="D3" s="1" t="s">
        <v>26</v>
      </c>
      <c r="E3" s="8" t="s">
        <v>27</v>
      </c>
      <c r="F3" s="8" t="s">
        <v>28</v>
      </c>
      <c r="G3" s="8">
        <f>138+66/60</f>
        <v>139.1</v>
      </c>
      <c r="H3" s="8">
        <f>-35-6/60</f>
        <v>-35.1</v>
      </c>
      <c r="I3" s="8" t="s">
        <v>29</v>
      </c>
      <c r="J3" s="1" t="s">
        <v>30</v>
      </c>
      <c r="K3" s="1" t="s">
        <v>24</v>
      </c>
      <c r="L3" s="1" t="s">
        <v>31</v>
      </c>
      <c r="M3" s="8">
        <v>0.23</v>
      </c>
      <c r="N3" s="8">
        <v>900</v>
      </c>
      <c r="O3" s="8">
        <f t="shared" ref="O3:O66" si="0">IFERROR(N3/365,"")</f>
        <v>2.4657534246575343</v>
      </c>
      <c r="P3" s="8">
        <v>1651</v>
      </c>
      <c r="Q3" s="8">
        <f t="shared" ref="Q3:Q66" si="1">IFERROR(P3/365,"")</f>
        <v>4.5232876712328771</v>
      </c>
      <c r="R3" s="8">
        <v>400</v>
      </c>
      <c r="S3" s="9">
        <f>IFERROR(M3/O3,"")</f>
        <v>9.3277777777777779E-2</v>
      </c>
      <c r="T3" s="9">
        <f t="shared" ref="T3:T6" si="2">IFERROR(M3/Q3,"")</f>
        <v>5.0847970926711082E-2</v>
      </c>
    </row>
    <row r="4" spans="1:20" ht="51" x14ac:dyDescent="0.2">
      <c r="A4" s="8">
        <v>2</v>
      </c>
      <c r="B4" s="8" t="s">
        <v>32</v>
      </c>
      <c r="C4" s="8">
        <v>2018</v>
      </c>
      <c r="D4" s="8" t="s">
        <v>33</v>
      </c>
      <c r="E4" s="8" t="s">
        <v>27</v>
      </c>
      <c r="F4" s="8" t="s">
        <v>34</v>
      </c>
      <c r="G4" s="8">
        <v>14.1030555555555</v>
      </c>
      <c r="H4" s="8">
        <v>47.494444444444397</v>
      </c>
      <c r="I4" s="8" t="s">
        <v>35</v>
      </c>
      <c r="J4" s="8" t="s">
        <v>36</v>
      </c>
      <c r="K4" s="8" t="s">
        <v>37</v>
      </c>
      <c r="L4" s="1" t="s">
        <v>38</v>
      </c>
      <c r="M4" s="8">
        <v>0.12452000000000001</v>
      </c>
      <c r="N4" s="8">
        <v>1059.2</v>
      </c>
      <c r="O4" s="8">
        <f t="shared" si="0"/>
        <v>2.9019178082191783</v>
      </c>
      <c r="P4" s="8">
        <v>737</v>
      </c>
      <c r="Q4" s="8">
        <f t="shared" si="1"/>
        <v>2.0191780821917806</v>
      </c>
      <c r="R4" s="8"/>
      <c r="S4" s="9">
        <f t="shared" ref="S4:S6" si="3">IFERROR(M4/O4,"")</f>
        <v>4.2909554380664648E-2</v>
      </c>
      <c r="T4" s="9">
        <f t="shared" si="2"/>
        <v>6.166865671641792E-2</v>
      </c>
    </row>
    <row r="5" spans="1:20" x14ac:dyDescent="0.2">
      <c r="A5" s="8">
        <v>3</v>
      </c>
      <c r="B5" s="8" t="s">
        <v>39</v>
      </c>
      <c r="C5" s="8">
        <v>1983</v>
      </c>
      <c r="D5" s="8" t="s">
        <v>40</v>
      </c>
      <c r="E5" s="8" t="s">
        <v>27</v>
      </c>
      <c r="F5" s="8" t="s">
        <v>41</v>
      </c>
      <c r="G5" s="8">
        <v>115.8283</v>
      </c>
      <c r="H5" s="8">
        <v>-31.7898</v>
      </c>
      <c r="I5" s="8" t="s">
        <v>42</v>
      </c>
      <c r="J5" s="8" t="s">
        <v>43</v>
      </c>
      <c r="K5" s="8" t="s">
        <v>24</v>
      </c>
      <c r="L5" s="1"/>
      <c r="M5" s="8">
        <v>0.22</v>
      </c>
      <c r="N5" s="8">
        <v>694.69333399136895</v>
      </c>
      <c r="O5" s="8">
        <f t="shared" si="0"/>
        <v>1.9032694081955313</v>
      </c>
      <c r="P5" s="8">
        <v>1934</v>
      </c>
      <c r="Q5" s="8">
        <f t="shared" si="1"/>
        <v>5.2986301369863016</v>
      </c>
      <c r="R5" s="8"/>
      <c r="S5" s="9">
        <f t="shared" si="3"/>
        <v>0.1155905722293827</v>
      </c>
      <c r="T5" s="9">
        <f t="shared" si="2"/>
        <v>4.1520165460186144E-2</v>
      </c>
    </row>
    <row r="6" spans="1:20" ht="34" x14ac:dyDescent="0.2">
      <c r="A6" s="8">
        <v>4</v>
      </c>
      <c r="B6" s="8" t="s">
        <v>44</v>
      </c>
      <c r="C6" s="8">
        <v>2016</v>
      </c>
      <c r="D6" s="8" t="s">
        <v>45</v>
      </c>
      <c r="E6" s="8" t="s">
        <v>46</v>
      </c>
      <c r="F6" s="8" t="s">
        <v>47</v>
      </c>
      <c r="G6" s="8">
        <f>49+48/60</f>
        <v>49.8</v>
      </c>
      <c r="H6" s="8">
        <f>40+21/60</f>
        <v>40.35</v>
      </c>
      <c r="I6" s="8" t="s">
        <v>48</v>
      </c>
      <c r="J6" s="8" t="s">
        <v>49</v>
      </c>
      <c r="K6" s="8" t="s">
        <v>50</v>
      </c>
      <c r="L6" s="1" t="s">
        <v>51</v>
      </c>
      <c r="M6" s="8">
        <v>0.86</v>
      </c>
      <c r="N6" s="8">
        <v>243.870000298321</v>
      </c>
      <c r="O6" s="8">
        <f t="shared" si="0"/>
        <v>0.66813698711868763</v>
      </c>
      <c r="P6" s="8">
        <v>1264</v>
      </c>
      <c r="Q6" s="8">
        <f t="shared" si="1"/>
        <v>3.463013698630137</v>
      </c>
      <c r="R6" s="8">
        <v>-24</v>
      </c>
      <c r="S6" s="9">
        <f t="shared" si="3"/>
        <v>1.2871611908640375</v>
      </c>
      <c r="T6" s="9">
        <f t="shared" si="2"/>
        <v>0.2483386075949367</v>
      </c>
    </row>
    <row r="7" spans="1:20" ht="272" x14ac:dyDescent="0.2">
      <c r="A7" s="8">
        <v>115</v>
      </c>
      <c r="B7" s="1" t="s">
        <v>532</v>
      </c>
      <c r="C7" s="8">
        <v>2013</v>
      </c>
      <c r="D7" s="8" t="s">
        <v>52</v>
      </c>
      <c r="E7" s="8" t="s">
        <v>22</v>
      </c>
      <c r="F7" s="8" t="s">
        <v>53</v>
      </c>
      <c r="G7" s="2">
        <f>-45-52/60</f>
        <v>-45.866666666666667</v>
      </c>
      <c r="H7" s="2">
        <f>-22-69/60</f>
        <v>-23.15</v>
      </c>
      <c r="I7" s="2"/>
      <c r="J7" s="2"/>
      <c r="K7" s="2" t="s">
        <v>37</v>
      </c>
      <c r="L7" s="4"/>
      <c r="M7" s="2"/>
      <c r="N7" s="8">
        <v>1705</v>
      </c>
      <c r="O7" s="8">
        <f t="shared" si="0"/>
        <v>4.6712328767123283</v>
      </c>
      <c r="P7" s="8">
        <v>1121</v>
      </c>
      <c r="Q7" s="8">
        <f t="shared" si="1"/>
        <v>3.0712328767123287</v>
      </c>
      <c r="R7" s="2">
        <v>2000</v>
      </c>
      <c r="S7" s="9"/>
      <c r="T7" s="9"/>
    </row>
    <row r="8" spans="1:20" ht="102" x14ac:dyDescent="0.2">
      <c r="A8" s="8">
        <v>114</v>
      </c>
      <c r="B8" s="8" t="s">
        <v>54</v>
      </c>
      <c r="C8" s="8">
        <v>1973</v>
      </c>
      <c r="D8" s="8" t="s">
        <v>55</v>
      </c>
      <c r="E8" s="8" t="s">
        <v>56</v>
      </c>
      <c r="F8" s="8" t="s">
        <v>57</v>
      </c>
      <c r="G8" s="8">
        <f>-123-22.9/60</f>
        <v>-123.38166666666666</v>
      </c>
      <c r="H8" s="8">
        <f>48+31.2/60</f>
        <v>48.52</v>
      </c>
      <c r="I8" s="8"/>
      <c r="J8" s="8"/>
      <c r="K8" s="8" t="s">
        <v>24</v>
      </c>
      <c r="L8" s="1" t="s">
        <v>58</v>
      </c>
      <c r="M8" s="8">
        <v>8.1667000000000003E-2</v>
      </c>
      <c r="N8" s="8">
        <v>163</v>
      </c>
      <c r="O8" s="8">
        <f t="shared" si="0"/>
        <v>0.44657534246575342</v>
      </c>
      <c r="P8" s="8"/>
      <c r="Q8" s="8"/>
      <c r="R8" s="8"/>
      <c r="S8" s="9">
        <f t="shared" ref="S8:S71" si="4">IFERROR(M8/O8,"")</f>
        <v>0.18287395705521473</v>
      </c>
      <c r="T8" s="9" t="str">
        <f t="shared" ref="T8:T71" si="5">IFERROR(M8/Q8,"")</f>
        <v/>
      </c>
    </row>
    <row r="9" spans="1:20" ht="187" x14ac:dyDescent="0.2">
      <c r="A9" s="8">
        <v>107</v>
      </c>
      <c r="B9" s="1" t="s">
        <v>59</v>
      </c>
      <c r="C9" s="8">
        <v>2008</v>
      </c>
      <c r="D9" s="8" t="s">
        <v>60</v>
      </c>
      <c r="E9" s="8" t="s">
        <v>22</v>
      </c>
      <c r="F9" s="8" t="s">
        <v>61</v>
      </c>
      <c r="G9" s="8">
        <f>-70-9/60</f>
        <v>-70.150000000000006</v>
      </c>
      <c r="H9" s="8">
        <f>-20-49/60</f>
        <v>-20.816666666666666</v>
      </c>
      <c r="I9" s="8" t="s">
        <v>62</v>
      </c>
      <c r="J9" s="8" t="s">
        <v>63</v>
      </c>
      <c r="K9" s="8" t="s">
        <v>50</v>
      </c>
      <c r="L9" s="1" t="s">
        <v>64</v>
      </c>
      <c r="M9" s="8">
        <v>7</v>
      </c>
      <c r="N9" s="8">
        <v>2.3233333639800566</v>
      </c>
      <c r="O9" s="8">
        <f t="shared" si="0"/>
        <v>6.3652968876165934E-3</v>
      </c>
      <c r="P9" s="8">
        <v>1777</v>
      </c>
      <c r="Q9" s="8">
        <f t="shared" si="1"/>
        <v>4.8684931506849312</v>
      </c>
      <c r="R9" s="8">
        <v>850</v>
      </c>
      <c r="S9" s="9">
        <f t="shared" si="4"/>
        <v>1099.7130414479477</v>
      </c>
      <c r="T9" s="9">
        <f t="shared" si="5"/>
        <v>1.4378165447383231</v>
      </c>
    </row>
    <row r="10" spans="1:20" ht="187" x14ac:dyDescent="0.2">
      <c r="A10" s="8">
        <v>108</v>
      </c>
      <c r="B10" s="1" t="s">
        <v>59</v>
      </c>
      <c r="C10" s="8">
        <v>2008</v>
      </c>
      <c r="D10" s="8" t="s">
        <v>60</v>
      </c>
      <c r="E10" s="8" t="s">
        <v>22</v>
      </c>
      <c r="F10" s="8" t="s">
        <v>65</v>
      </c>
      <c r="G10" s="8">
        <f>-70</f>
        <v>-70</v>
      </c>
      <c r="H10" s="8">
        <f>-20-12/60</f>
        <v>-20.2</v>
      </c>
      <c r="I10" s="8" t="s">
        <v>62</v>
      </c>
      <c r="J10" s="8" t="s">
        <v>66</v>
      </c>
      <c r="K10" s="8" t="s">
        <v>50</v>
      </c>
      <c r="L10" s="1" t="s">
        <v>64</v>
      </c>
      <c r="M10" s="8">
        <v>0.8</v>
      </c>
      <c r="N10" s="8">
        <v>9.5666666599611521</v>
      </c>
      <c r="O10" s="8">
        <f t="shared" si="0"/>
        <v>2.6210045643729182E-2</v>
      </c>
      <c r="P10" s="8">
        <v>1809</v>
      </c>
      <c r="Q10" s="8">
        <f t="shared" si="1"/>
        <v>4.956164383561644</v>
      </c>
      <c r="R10" s="8">
        <v>1062</v>
      </c>
      <c r="S10" s="9">
        <f t="shared" si="4"/>
        <v>30.52264810501778</v>
      </c>
      <c r="T10" s="9">
        <f t="shared" si="5"/>
        <v>0.16141514648977337</v>
      </c>
    </row>
    <row r="11" spans="1:20" ht="170" x14ac:dyDescent="0.2">
      <c r="A11" s="8">
        <v>109</v>
      </c>
      <c r="B11" s="1" t="s">
        <v>67</v>
      </c>
      <c r="C11" s="8">
        <v>1992</v>
      </c>
      <c r="D11" s="8" t="s">
        <v>60</v>
      </c>
      <c r="E11" s="8" t="s">
        <v>22</v>
      </c>
      <c r="F11" s="8" t="s">
        <v>68</v>
      </c>
      <c r="G11" s="8">
        <f>-71-15/60</f>
        <v>-71.25</v>
      </c>
      <c r="H11" s="8">
        <f>-29-26/60</f>
        <v>-29.433333333333334</v>
      </c>
      <c r="I11" s="8" t="s">
        <v>50</v>
      </c>
      <c r="J11" s="8"/>
      <c r="K11" s="8" t="s">
        <v>50</v>
      </c>
      <c r="L11" s="1" t="s">
        <v>69</v>
      </c>
      <c r="M11" s="8"/>
      <c r="N11" s="8"/>
      <c r="O11" s="8"/>
      <c r="P11" s="8"/>
      <c r="Q11" s="8"/>
      <c r="R11" s="8"/>
      <c r="S11" s="9" t="str">
        <f t="shared" si="4"/>
        <v/>
      </c>
      <c r="T11" s="9" t="str">
        <f t="shared" si="5"/>
        <v/>
      </c>
    </row>
    <row r="12" spans="1:20" x14ac:dyDescent="0.2">
      <c r="A12" s="8">
        <v>5</v>
      </c>
      <c r="B12" s="8" t="s">
        <v>70</v>
      </c>
      <c r="C12" s="8">
        <v>2022</v>
      </c>
      <c r="D12" s="8" t="s">
        <v>71</v>
      </c>
      <c r="E12" s="8" t="s">
        <v>46</v>
      </c>
      <c r="F12" s="8" t="s">
        <v>72</v>
      </c>
      <c r="G12" s="8">
        <v>110.65388888888801</v>
      </c>
      <c r="H12" s="8">
        <v>40.24</v>
      </c>
      <c r="I12" s="8" t="s">
        <v>73</v>
      </c>
      <c r="J12" s="8" t="s">
        <v>74</v>
      </c>
      <c r="K12" s="8" t="s">
        <v>24</v>
      </c>
      <c r="L12" s="1"/>
      <c r="M12" s="8">
        <v>0.59299999999999997</v>
      </c>
      <c r="N12" s="8">
        <v>297.3</v>
      </c>
      <c r="O12" s="8">
        <f t="shared" si="0"/>
        <v>0.81452054794520556</v>
      </c>
      <c r="P12" s="8">
        <v>2506.3000000000002</v>
      </c>
      <c r="Q12" s="8">
        <f>IFERROR(P12/365,"")</f>
        <v>6.8665753424657536</v>
      </c>
      <c r="R12" s="8">
        <v>1128</v>
      </c>
      <c r="S12" s="9">
        <f t="shared" si="4"/>
        <v>0.7280356542213251</v>
      </c>
      <c r="T12" s="9">
        <f t="shared" si="5"/>
        <v>8.6360371862905475E-2</v>
      </c>
    </row>
    <row r="13" spans="1:20" x14ac:dyDescent="0.2">
      <c r="A13" s="8">
        <v>6</v>
      </c>
      <c r="B13" s="8" t="s">
        <v>70</v>
      </c>
      <c r="C13" s="8">
        <v>2022</v>
      </c>
      <c r="D13" s="8" t="s">
        <v>71</v>
      </c>
      <c r="E13" s="8" t="s">
        <v>46</v>
      </c>
      <c r="F13" s="8" t="s">
        <v>72</v>
      </c>
      <c r="G13" s="8">
        <v>110.65388888888801</v>
      </c>
      <c r="H13" s="8">
        <v>40.24</v>
      </c>
      <c r="I13" s="8" t="s">
        <v>73</v>
      </c>
      <c r="J13" s="8" t="s">
        <v>75</v>
      </c>
      <c r="K13" s="8" t="s">
        <v>37</v>
      </c>
      <c r="L13" s="1"/>
      <c r="M13" s="8">
        <v>0.38300000000000001</v>
      </c>
      <c r="N13" s="8">
        <v>297.3</v>
      </c>
      <c r="O13" s="8">
        <f t="shared" si="0"/>
        <v>0.81452054794520556</v>
      </c>
      <c r="P13" s="8">
        <v>2506.3000000000002</v>
      </c>
      <c r="Q13" s="8">
        <f t="shared" si="1"/>
        <v>6.8665753424657536</v>
      </c>
      <c r="R13" s="8">
        <v>1128</v>
      </c>
      <c r="S13" s="9">
        <f t="shared" si="4"/>
        <v>0.4702152707702657</v>
      </c>
      <c r="T13" s="9">
        <f t="shared" si="5"/>
        <v>5.5777440849060368E-2</v>
      </c>
    </row>
    <row r="14" spans="1:20" x14ac:dyDescent="0.2">
      <c r="A14" s="8">
        <v>7</v>
      </c>
      <c r="B14" s="8" t="s">
        <v>70</v>
      </c>
      <c r="C14" s="8">
        <v>2022</v>
      </c>
      <c r="D14" s="8" t="s">
        <v>71</v>
      </c>
      <c r="E14" s="8" t="s">
        <v>46</v>
      </c>
      <c r="F14" s="8" t="s">
        <v>72</v>
      </c>
      <c r="G14" s="8">
        <v>110.65388888888801</v>
      </c>
      <c r="H14" s="8">
        <v>40.24</v>
      </c>
      <c r="I14" s="8" t="s">
        <v>73</v>
      </c>
      <c r="J14" s="8" t="s">
        <v>76</v>
      </c>
      <c r="K14" s="8" t="s">
        <v>37</v>
      </c>
      <c r="L14" s="1"/>
      <c r="M14" s="8">
        <v>0.30199999999999999</v>
      </c>
      <c r="N14" s="8">
        <v>297.3</v>
      </c>
      <c r="O14" s="8">
        <f t="shared" si="0"/>
        <v>0.81452054794520556</v>
      </c>
      <c r="P14" s="8">
        <v>2506.3000000000002</v>
      </c>
      <c r="Q14" s="8">
        <f t="shared" si="1"/>
        <v>6.8665753424657536</v>
      </c>
      <c r="R14" s="8">
        <v>1128</v>
      </c>
      <c r="S14" s="9">
        <f t="shared" si="4"/>
        <v>0.370770265724857</v>
      </c>
      <c r="T14" s="9">
        <f t="shared" si="5"/>
        <v>4.3981167458005822E-2</v>
      </c>
    </row>
    <row r="15" spans="1:20" x14ac:dyDescent="0.2">
      <c r="A15" s="8">
        <v>8</v>
      </c>
      <c r="B15" s="8" t="s">
        <v>70</v>
      </c>
      <c r="C15" s="8">
        <v>2022</v>
      </c>
      <c r="D15" s="8" t="s">
        <v>71</v>
      </c>
      <c r="E15" s="8" t="s">
        <v>46</v>
      </c>
      <c r="F15" s="8" t="s">
        <v>72</v>
      </c>
      <c r="G15" s="8">
        <v>110.65388888888801</v>
      </c>
      <c r="H15" s="8">
        <v>40.24</v>
      </c>
      <c r="I15" s="8" t="s">
        <v>73</v>
      </c>
      <c r="J15" s="8" t="s">
        <v>77</v>
      </c>
      <c r="K15" s="8" t="s">
        <v>37</v>
      </c>
      <c r="L15" s="1"/>
      <c r="M15" s="8">
        <v>0.29599999999999999</v>
      </c>
      <c r="N15" s="8">
        <v>297.3</v>
      </c>
      <c r="O15" s="8">
        <f t="shared" si="0"/>
        <v>0.81452054794520556</v>
      </c>
      <c r="P15" s="8">
        <v>2506.3000000000002</v>
      </c>
      <c r="Q15" s="8">
        <f t="shared" si="1"/>
        <v>6.8665753424657536</v>
      </c>
      <c r="R15" s="8">
        <v>1128</v>
      </c>
      <c r="S15" s="9">
        <f t="shared" si="4"/>
        <v>0.36340396905482669</v>
      </c>
      <c r="T15" s="9">
        <f t="shared" si="5"/>
        <v>4.3107369429038818E-2</v>
      </c>
    </row>
    <row r="16" spans="1:20" x14ac:dyDescent="0.2">
      <c r="A16" s="8">
        <v>9</v>
      </c>
      <c r="B16" s="8" t="s">
        <v>70</v>
      </c>
      <c r="C16" s="8">
        <v>2022</v>
      </c>
      <c r="D16" s="8" t="s">
        <v>71</v>
      </c>
      <c r="E16" s="8" t="s">
        <v>46</v>
      </c>
      <c r="F16" s="8" t="s">
        <v>72</v>
      </c>
      <c r="G16" s="8">
        <v>110.65388888888801</v>
      </c>
      <c r="H16" s="8">
        <v>40.24</v>
      </c>
      <c r="I16" s="8" t="s">
        <v>73</v>
      </c>
      <c r="J16" s="8" t="s">
        <v>78</v>
      </c>
      <c r="K16" s="8" t="s">
        <v>37</v>
      </c>
      <c r="L16" s="1"/>
      <c r="M16" s="8">
        <v>0.28799999999999998</v>
      </c>
      <c r="N16" s="8">
        <v>297.3</v>
      </c>
      <c r="O16" s="8">
        <f t="shared" si="0"/>
        <v>0.81452054794520556</v>
      </c>
      <c r="P16" s="8">
        <v>2506.3000000000002</v>
      </c>
      <c r="Q16" s="8">
        <f t="shared" si="1"/>
        <v>6.8665753424657536</v>
      </c>
      <c r="R16" s="8">
        <v>1128</v>
      </c>
      <c r="S16" s="9">
        <f t="shared" si="4"/>
        <v>0.35358224016145301</v>
      </c>
      <c r="T16" s="9">
        <f t="shared" si="5"/>
        <v>4.194230539041615E-2</v>
      </c>
    </row>
    <row r="17" spans="1:20" x14ac:dyDescent="0.2">
      <c r="A17" s="8">
        <v>10</v>
      </c>
      <c r="B17" s="8" t="s">
        <v>79</v>
      </c>
      <c r="C17" s="8">
        <v>2020</v>
      </c>
      <c r="D17" s="8" t="s">
        <v>71</v>
      </c>
      <c r="E17" s="8" t="s">
        <v>46</v>
      </c>
      <c r="F17" s="8" t="s">
        <v>80</v>
      </c>
      <c r="G17" s="8">
        <f>116+31.75/60</f>
        <v>116.52916666666667</v>
      </c>
      <c r="H17" s="8">
        <f>42+4.36/60</f>
        <v>42.07266666666667</v>
      </c>
      <c r="I17" s="8" t="s">
        <v>81</v>
      </c>
      <c r="J17" s="8" t="s">
        <v>82</v>
      </c>
      <c r="K17" s="8" t="s">
        <v>24</v>
      </c>
      <c r="L17" s="1"/>
      <c r="M17" s="8">
        <v>0.15</v>
      </c>
      <c r="N17" s="8">
        <v>365.1</v>
      </c>
      <c r="O17" s="8">
        <f t="shared" si="0"/>
        <v>1.0002739726027399</v>
      </c>
      <c r="P17" s="8">
        <v>2306</v>
      </c>
      <c r="Q17" s="8">
        <f t="shared" si="1"/>
        <v>6.3178082191780822</v>
      </c>
      <c r="R17" s="8"/>
      <c r="S17" s="9">
        <f t="shared" si="4"/>
        <v>0.14995891536565323</v>
      </c>
      <c r="T17" s="9">
        <f t="shared" si="5"/>
        <v>2.3742411101474414E-2</v>
      </c>
    </row>
    <row r="18" spans="1:20" ht="68" x14ac:dyDescent="0.2">
      <c r="A18" s="8">
        <v>11</v>
      </c>
      <c r="B18" s="8" t="s">
        <v>83</v>
      </c>
      <c r="C18" s="8">
        <v>2020</v>
      </c>
      <c r="D18" s="8" t="s">
        <v>71</v>
      </c>
      <c r="E18" s="8" t="s">
        <v>46</v>
      </c>
      <c r="F18" s="1" t="s">
        <v>84</v>
      </c>
      <c r="G18" s="8">
        <v>100.133333333333</v>
      </c>
      <c r="H18" s="8">
        <v>39.3333333333333</v>
      </c>
      <c r="I18" s="8" t="s">
        <v>85</v>
      </c>
      <c r="J18" s="8" t="s">
        <v>82</v>
      </c>
      <c r="K18" s="8" t="s">
        <v>24</v>
      </c>
      <c r="L18" s="1"/>
      <c r="M18" s="8">
        <f>1.8/30</f>
        <v>6.0000000000000005E-2</v>
      </c>
      <c r="N18" s="8">
        <v>117.1</v>
      </c>
      <c r="O18" s="8">
        <f t="shared" si="0"/>
        <v>0.32082191780821917</v>
      </c>
      <c r="P18" s="8">
        <v>2300</v>
      </c>
      <c r="Q18" s="8">
        <f t="shared" si="1"/>
        <v>6.3013698630136989</v>
      </c>
      <c r="R18" s="8">
        <v>1350</v>
      </c>
      <c r="S18" s="9">
        <f t="shared" si="4"/>
        <v>0.18701964133219473</v>
      </c>
      <c r="T18" s="9">
        <f t="shared" si="5"/>
        <v>9.5217391304347823E-3</v>
      </c>
    </row>
    <row r="19" spans="1:20" x14ac:dyDescent="0.2">
      <c r="A19" s="8">
        <v>12</v>
      </c>
      <c r="B19" s="8" t="s">
        <v>83</v>
      </c>
      <c r="C19" s="8">
        <v>2020</v>
      </c>
      <c r="D19" s="8" t="s">
        <v>71</v>
      </c>
      <c r="E19" s="8" t="s">
        <v>46</v>
      </c>
      <c r="F19" s="8" t="s">
        <v>86</v>
      </c>
      <c r="G19" s="8">
        <v>100.133333333333</v>
      </c>
      <c r="H19" s="8">
        <v>39.3333333333333</v>
      </c>
      <c r="I19" s="8" t="s">
        <v>85</v>
      </c>
      <c r="J19" s="8" t="s">
        <v>82</v>
      </c>
      <c r="K19" s="8" t="s">
        <v>24</v>
      </c>
      <c r="L19" s="1"/>
      <c r="M19" s="8">
        <f>3.1/30</f>
        <v>0.10333333333333333</v>
      </c>
      <c r="N19" s="8">
        <v>117.1</v>
      </c>
      <c r="O19" s="8">
        <f t="shared" si="0"/>
        <v>0.32082191780821917</v>
      </c>
      <c r="P19" s="8">
        <v>2300</v>
      </c>
      <c r="Q19" s="8">
        <f t="shared" si="1"/>
        <v>6.3013698630136989</v>
      </c>
      <c r="R19" s="8">
        <v>1350</v>
      </c>
      <c r="S19" s="9">
        <f t="shared" si="4"/>
        <v>0.32208938229433531</v>
      </c>
      <c r="T19" s="9">
        <f t="shared" si="5"/>
        <v>1.6398550724637681E-2</v>
      </c>
    </row>
    <row r="20" spans="1:20" x14ac:dyDescent="0.2">
      <c r="A20" s="8">
        <v>13</v>
      </c>
      <c r="B20" s="8" t="s">
        <v>83</v>
      </c>
      <c r="C20" s="8">
        <v>2020</v>
      </c>
      <c r="D20" s="8" t="s">
        <v>71</v>
      </c>
      <c r="E20" s="8" t="s">
        <v>46</v>
      </c>
      <c r="F20" s="8" t="s">
        <v>87</v>
      </c>
      <c r="G20" s="8">
        <v>100.133333333333</v>
      </c>
      <c r="H20" s="8">
        <v>39.3333333333333</v>
      </c>
      <c r="I20" s="8" t="s">
        <v>85</v>
      </c>
      <c r="J20" s="8" t="s">
        <v>82</v>
      </c>
      <c r="K20" s="8" t="s">
        <v>24</v>
      </c>
      <c r="L20" s="1"/>
      <c r="M20" s="8">
        <f>4/30</f>
        <v>0.13333333333333333</v>
      </c>
      <c r="N20" s="8">
        <v>117.1</v>
      </c>
      <c r="O20" s="8">
        <f t="shared" si="0"/>
        <v>0.32082191780821917</v>
      </c>
      <c r="P20" s="8">
        <v>2300</v>
      </c>
      <c r="Q20" s="8">
        <f t="shared" si="1"/>
        <v>6.3013698630136989</v>
      </c>
      <c r="R20" s="8">
        <v>1350</v>
      </c>
      <c r="S20" s="9">
        <f t="shared" si="4"/>
        <v>0.41559920296043268</v>
      </c>
      <c r="T20" s="9">
        <f t="shared" si="5"/>
        <v>2.1159420289855072E-2</v>
      </c>
    </row>
    <row r="21" spans="1:20" x14ac:dyDescent="0.2">
      <c r="A21" s="8">
        <v>14</v>
      </c>
      <c r="B21" s="8" t="s">
        <v>83</v>
      </c>
      <c r="C21" s="8">
        <v>2020</v>
      </c>
      <c r="D21" s="8" t="s">
        <v>71</v>
      </c>
      <c r="E21" s="8" t="s">
        <v>46</v>
      </c>
      <c r="F21" s="8" t="s">
        <v>88</v>
      </c>
      <c r="G21" s="8">
        <v>100.133333333333</v>
      </c>
      <c r="H21" s="8">
        <v>39.3333333333333</v>
      </c>
      <c r="I21" s="8" t="s">
        <v>85</v>
      </c>
      <c r="J21" s="8" t="s">
        <v>82</v>
      </c>
      <c r="K21" s="8" t="s">
        <v>24</v>
      </c>
      <c r="L21" s="1"/>
      <c r="M21" s="8">
        <f>5.4/30</f>
        <v>0.18000000000000002</v>
      </c>
      <c r="N21" s="8">
        <v>117.1</v>
      </c>
      <c r="O21" s="8">
        <f t="shared" si="0"/>
        <v>0.32082191780821917</v>
      </c>
      <c r="P21" s="8">
        <v>2300</v>
      </c>
      <c r="Q21" s="8">
        <f t="shared" si="1"/>
        <v>6.3013698630136989</v>
      </c>
      <c r="R21" s="8">
        <v>1350</v>
      </c>
      <c r="S21" s="9">
        <f t="shared" si="4"/>
        <v>0.56105892399658419</v>
      </c>
      <c r="T21" s="9">
        <f t="shared" si="5"/>
        <v>2.856521739130435E-2</v>
      </c>
    </row>
    <row r="22" spans="1:20" x14ac:dyDescent="0.2">
      <c r="A22" s="8">
        <v>15</v>
      </c>
      <c r="B22" s="8" t="s">
        <v>83</v>
      </c>
      <c r="C22" s="8">
        <v>2020</v>
      </c>
      <c r="D22" s="8" t="s">
        <v>71</v>
      </c>
      <c r="E22" s="8" t="s">
        <v>46</v>
      </c>
      <c r="F22" s="8" t="s">
        <v>89</v>
      </c>
      <c r="G22" s="8">
        <v>100.133333333333</v>
      </c>
      <c r="H22" s="8">
        <v>39.3333333333333</v>
      </c>
      <c r="I22" s="8" t="s">
        <v>85</v>
      </c>
      <c r="J22" s="8" t="s">
        <v>82</v>
      </c>
      <c r="K22" s="8" t="s">
        <v>24</v>
      </c>
      <c r="L22" s="1"/>
      <c r="M22" s="8">
        <f>1/30</f>
        <v>3.3333333333333333E-2</v>
      </c>
      <c r="N22" s="8">
        <v>117.1</v>
      </c>
      <c r="O22" s="8">
        <f t="shared" si="0"/>
        <v>0.32082191780821917</v>
      </c>
      <c r="P22" s="8">
        <v>2300</v>
      </c>
      <c r="Q22" s="8">
        <f t="shared" si="1"/>
        <v>6.3013698630136989</v>
      </c>
      <c r="R22" s="8">
        <v>1350</v>
      </c>
      <c r="S22" s="9">
        <f t="shared" si="4"/>
        <v>0.10389980074010817</v>
      </c>
      <c r="T22" s="9">
        <f t="shared" si="5"/>
        <v>5.2898550724637681E-3</v>
      </c>
    </row>
    <row r="23" spans="1:20" ht="177" x14ac:dyDescent="0.2">
      <c r="A23" s="8">
        <v>16</v>
      </c>
      <c r="B23" s="8" t="s">
        <v>90</v>
      </c>
      <c r="C23" s="8">
        <v>2017</v>
      </c>
      <c r="D23" s="8" t="s">
        <v>71</v>
      </c>
      <c r="E23" s="8" t="s">
        <v>46</v>
      </c>
      <c r="F23" s="1" t="s">
        <v>533</v>
      </c>
      <c r="G23" s="1">
        <f>100+7/60</f>
        <v>100.11666666666666</v>
      </c>
      <c r="H23" s="1">
        <f>39+21/60</f>
        <v>39.35</v>
      </c>
      <c r="I23" s="8" t="s">
        <v>91</v>
      </c>
      <c r="J23" s="8" t="s">
        <v>92</v>
      </c>
      <c r="K23" s="8" t="s">
        <v>37</v>
      </c>
      <c r="L23" s="1"/>
      <c r="M23" s="8">
        <v>0.13</v>
      </c>
      <c r="N23" s="8">
        <v>117</v>
      </c>
      <c r="O23" s="8">
        <f t="shared" si="0"/>
        <v>0.32054794520547947</v>
      </c>
      <c r="P23" s="8">
        <v>2390</v>
      </c>
      <c r="Q23" s="8">
        <f t="shared" si="1"/>
        <v>6.5479452054794525</v>
      </c>
      <c r="R23" s="8">
        <v>1374</v>
      </c>
      <c r="S23" s="9">
        <f t="shared" si="4"/>
        <v>0.40555555555555556</v>
      </c>
      <c r="T23" s="9">
        <f t="shared" si="5"/>
        <v>1.9853556485355649E-2</v>
      </c>
    </row>
    <row r="24" spans="1:20" ht="221" x14ac:dyDescent="0.2">
      <c r="A24" s="8">
        <v>17</v>
      </c>
      <c r="B24" s="1" t="s">
        <v>534</v>
      </c>
      <c r="C24" s="8">
        <v>2017</v>
      </c>
      <c r="D24" s="8" t="s">
        <v>71</v>
      </c>
      <c r="E24" s="8" t="s">
        <v>46</v>
      </c>
      <c r="F24" s="1" t="s">
        <v>93</v>
      </c>
      <c r="G24" s="10">
        <f>100+7/60</f>
        <v>100.11666666666666</v>
      </c>
      <c r="H24" s="8">
        <f>39+21/60</f>
        <v>39.35</v>
      </c>
      <c r="I24" s="10" t="s">
        <v>94</v>
      </c>
      <c r="J24" s="10" t="s">
        <v>95</v>
      </c>
      <c r="K24" s="10" t="s">
        <v>24</v>
      </c>
      <c r="L24" s="11" t="s">
        <v>96</v>
      </c>
      <c r="M24" s="8">
        <v>0.13</v>
      </c>
      <c r="N24" s="8">
        <v>117</v>
      </c>
      <c r="O24" s="8">
        <f t="shared" si="0"/>
        <v>0.32054794520547947</v>
      </c>
      <c r="P24" s="8">
        <v>2390</v>
      </c>
      <c r="Q24" s="8">
        <f t="shared" si="1"/>
        <v>6.5479452054794525</v>
      </c>
      <c r="R24" s="8">
        <v>1374</v>
      </c>
      <c r="S24" s="9">
        <f t="shared" si="4"/>
        <v>0.40555555555555556</v>
      </c>
      <c r="T24" s="9">
        <f t="shared" si="5"/>
        <v>1.9853556485355649E-2</v>
      </c>
    </row>
    <row r="25" spans="1:20" ht="34" x14ac:dyDescent="0.2">
      <c r="A25" s="8">
        <v>18</v>
      </c>
      <c r="B25" s="8" t="s">
        <v>97</v>
      </c>
      <c r="C25" s="8">
        <v>2015</v>
      </c>
      <c r="D25" s="8" t="s">
        <v>71</v>
      </c>
      <c r="E25" s="8" t="s">
        <v>46</v>
      </c>
      <c r="F25" s="8" t="s">
        <v>98</v>
      </c>
      <c r="G25" s="8">
        <f>100+22/60</f>
        <v>100.36666666666666</v>
      </c>
      <c r="H25" s="8">
        <f>38+51/60</f>
        <v>38.85</v>
      </c>
      <c r="I25" s="8"/>
      <c r="J25" s="8" t="s">
        <v>99</v>
      </c>
      <c r="K25" s="8" t="s">
        <v>37</v>
      </c>
      <c r="L25" s="1" t="s">
        <v>100</v>
      </c>
      <c r="M25" s="8">
        <v>0.14000000000000001</v>
      </c>
      <c r="N25" s="8">
        <v>128.69999999999999</v>
      </c>
      <c r="O25" s="8">
        <f t="shared" si="0"/>
        <v>0.35260273972602735</v>
      </c>
      <c r="P25" s="8">
        <v>1250</v>
      </c>
      <c r="Q25" s="8">
        <f t="shared" si="1"/>
        <v>3.4246575342465753</v>
      </c>
      <c r="R25" s="8">
        <v>1550</v>
      </c>
      <c r="S25" s="9">
        <f t="shared" si="4"/>
        <v>0.39704739704739717</v>
      </c>
      <c r="T25" s="9">
        <f t="shared" si="5"/>
        <v>4.0880000000000007E-2</v>
      </c>
    </row>
    <row r="26" spans="1:20" ht="34" x14ac:dyDescent="0.2">
      <c r="A26" s="8">
        <v>19</v>
      </c>
      <c r="B26" s="8" t="s">
        <v>97</v>
      </c>
      <c r="C26" s="8">
        <v>2015</v>
      </c>
      <c r="D26" s="8" t="s">
        <v>71</v>
      </c>
      <c r="E26" s="8" t="s">
        <v>46</v>
      </c>
      <c r="F26" s="8" t="s">
        <v>101</v>
      </c>
      <c r="G26" s="8">
        <f>114+4/60</f>
        <v>114.06666666666666</v>
      </c>
      <c r="H26" s="8">
        <f>37+49/60</f>
        <v>37.81666666666667</v>
      </c>
      <c r="I26" s="8"/>
      <c r="J26" s="8" t="s">
        <v>102</v>
      </c>
      <c r="K26" s="8" t="s">
        <v>37</v>
      </c>
      <c r="L26" s="1" t="s">
        <v>103</v>
      </c>
      <c r="M26" s="8">
        <v>0.16</v>
      </c>
      <c r="N26" s="8">
        <v>520.70000000000005</v>
      </c>
      <c r="O26" s="8">
        <f t="shared" si="0"/>
        <v>1.4265753424657535</v>
      </c>
      <c r="P26" s="8">
        <v>1468.9</v>
      </c>
      <c r="Q26" s="8">
        <f t="shared" si="1"/>
        <v>4.0243835616438357</v>
      </c>
      <c r="R26" s="8">
        <v>50</v>
      </c>
      <c r="S26" s="9">
        <f t="shared" si="4"/>
        <v>0.11215671211830229</v>
      </c>
      <c r="T26" s="9">
        <f t="shared" si="5"/>
        <v>3.975764177275512E-2</v>
      </c>
    </row>
    <row r="27" spans="1:20" ht="238" x14ac:dyDescent="0.2">
      <c r="A27" s="8">
        <v>20</v>
      </c>
      <c r="B27" s="1" t="s">
        <v>104</v>
      </c>
      <c r="C27" s="8">
        <v>2015</v>
      </c>
      <c r="D27" s="8" t="s">
        <v>71</v>
      </c>
      <c r="E27" s="8" t="s">
        <v>46</v>
      </c>
      <c r="F27" s="2" t="s">
        <v>105</v>
      </c>
      <c r="G27" s="8">
        <f>104+37/60</f>
        <v>104.61666666666666</v>
      </c>
      <c r="H27" s="8">
        <f>35+35/60</f>
        <v>35.583333333333336</v>
      </c>
      <c r="I27" s="2" t="s">
        <v>106</v>
      </c>
      <c r="J27" s="8"/>
      <c r="K27" s="8" t="s">
        <v>37</v>
      </c>
      <c r="L27" s="4"/>
      <c r="M27" s="8">
        <v>0.2</v>
      </c>
      <c r="N27" s="8">
        <v>386</v>
      </c>
      <c r="O27" s="8">
        <f t="shared" si="0"/>
        <v>1.0575342465753426</v>
      </c>
      <c r="P27" s="8">
        <v>1400</v>
      </c>
      <c r="Q27" s="8">
        <f t="shared" si="1"/>
        <v>3.8356164383561642</v>
      </c>
      <c r="R27" s="8">
        <v>1986.7</v>
      </c>
      <c r="S27" s="9">
        <f t="shared" si="4"/>
        <v>0.18911917098445596</v>
      </c>
      <c r="T27" s="9">
        <f t="shared" si="5"/>
        <v>5.2142857142857151E-2</v>
      </c>
    </row>
    <row r="28" spans="1:20" ht="34" x14ac:dyDescent="0.2">
      <c r="A28" s="8">
        <v>21</v>
      </c>
      <c r="B28" s="8" t="s">
        <v>107</v>
      </c>
      <c r="C28" s="8">
        <v>2014</v>
      </c>
      <c r="D28" s="8" t="s">
        <v>71</v>
      </c>
      <c r="E28" s="8" t="s">
        <v>46</v>
      </c>
      <c r="F28" s="8" t="s">
        <v>108</v>
      </c>
      <c r="G28" s="8">
        <f>105+20/60</f>
        <v>105.33333333333333</v>
      </c>
      <c r="H28" s="8">
        <f>37+320/60</f>
        <v>42.333333333333336</v>
      </c>
      <c r="I28" s="8"/>
      <c r="J28" s="8" t="s">
        <v>535</v>
      </c>
      <c r="K28" s="8" t="s">
        <v>24</v>
      </c>
      <c r="L28" s="1" t="s">
        <v>109</v>
      </c>
      <c r="M28" s="8">
        <v>0.115</v>
      </c>
      <c r="N28" s="8">
        <v>186</v>
      </c>
      <c r="O28" s="8">
        <f t="shared" si="0"/>
        <v>0.50958904109589043</v>
      </c>
      <c r="P28" s="8">
        <v>3000</v>
      </c>
      <c r="Q28" s="8">
        <f t="shared" si="1"/>
        <v>8.2191780821917817</v>
      </c>
      <c r="R28" s="8"/>
      <c r="S28" s="9">
        <f t="shared" si="4"/>
        <v>0.22567204301075269</v>
      </c>
      <c r="T28" s="9">
        <f t="shared" si="5"/>
        <v>1.3991666666666666E-2</v>
      </c>
    </row>
    <row r="29" spans="1:20" ht="34" x14ac:dyDescent="0.2">
      <c r="A29" s="8">
        <v>22</v>
      </c>
      <c r="B29" s="8" t="s">
        <v>107</v>
      </c>
      <c r="C29" s="8">
        <v>2014</v>
      </c>
      <c r="D29" s="8" t="s">
        <v>71</v>
      </c>
      <c r="E29" s="8" t="s">
        <v>46</v>
      </c>
      <c r="F29" s="8" t="s">
        <v>108</v>
      </c>
      <c r="G29" s="8">
        <f>105+20/60</f>
        <v>105.33333333333333</v>
      </c>
      <c r="H29" s="8">
        <f>37+320/60</f>
        <v>42.333333333333336</v>
      </c>
      <c r="I29" s="8"/>
      <c r="J29" s="8" t="s">
        <v>536</v>
      </c>
      <c r="K29" s="8" t="s">
        <v>24</v>
      </c>
      <c r="L29" s="1" t="s">
        <v>109</v>
      </c>
      <c r="M29" s="8">
        <v>0.13</v>
      </c>
      <c r="N29" s="8">
        <v>186</v>
      </c>
      <c r="O29" s="8">
        <f t="shared" si="0"/>
        <v>0.50958904109589043</v>
      </c>
      <c r="P29" s="8">
        <v>3000</v>
      </c>
      <c r="Q29" s="8">
        <f t="shared" si="1"/>
        <v>8.2191780821917817</v>
      </c>
      <c r="R29" s="8"/>
      <c r="S29" s="9">
        <f t="shared" si="4"/>
        <v>0.25510752688172045</v>
      </c>
      <c r="T29" s="9">
        <f t="shared" si="5"/>
        <v>1.5816666666666666E-2</v>
      </c>
    </row>
    <row r="30" spans="1:20" ht="34" x14ac:dyDescent="0.2">
      <c r="A30" s="8">
        <v>23</v>
      </c>
      <c r="B30" s="8" t="s">
        <v>107</v>
      </c>
      <c r="C30" s="8">
        <v>2014</v>
      </c>
      <c r="D30" s="8" t="s">
        <v>71</v>
      </c>
      <c r="E30" s="8" t="s">
        <v>46</v>
      </c>
      <c r="F30" s="8" t="s">
        <v>108</v>
      </c>
      <c r="G30" s="8">
        <f>105+20/60</f>
        <v>105.33333333333333</v>
      </c>
      <c r="H30" s="8">
        <f>37+320/60</f>
        <v>42.333333333333336</v>
      </c>
      <c r="I30" s="8"/>
      <c r="J30" s="8" t="s">
        <v>537</v>
      </c>
      <c r="K30" s="8" t="s">
        <v>24</v>
      </c>
      <c r="L30" s="1" t="s">
        <v>109</v>
      </c>
      <c r="M30" s="8">
        <v>0.125</v>
      </c>
      <c r="N30" s="8">
        <v>186</v>
      </c>
      <c r="O30" s="8">
        <f t="shared" si="0"/>
        <v>0.50958904109589043</v>
      </c>
      <c r="P30" s="8">
        <v>3000</v>
      </c>
      <c r="Q30" s="8">
        <f t="shared" si="1"/>
        <v>8.2191780821917817</v>
      </c>
      <c r="R30" s="8"/>
      <c r="S30" s="9">
        <f t="shared" si="4"/>
        <v>0.24529569892473119</v>
      </c>
      <c r="T30" s="9">
        <f t="shared" si="5"/>
        <v>1.5208333333333332E-2</v>
      </c>
    </row>
    <row r="31" spans="1:20" ht="68" x14ac:dyDescent="0.2">
      <c r="A31" s="8">
        <v>24</v>
      </c>
      <c r="B31" s="8" t="s">
        <v>110</v>
      </c>
      <c r="C31" s="8">
        <v>2014</v>
      </c>
      <c r="D31" s="8" t="s">
        <v>71</v>
      </c>
      <c r="E31" s="8" t="s">
        <v>46</v>
      </c>
      <c r="F31" s="8" t="s">
        <v>93</v>
      </c>
      <c r="G31" s="8">
        <f>100+7/60</f>
        <v>100.11666666666666</v>
      </c>
      <c r="H31" s="8">
        <f>39+21/60</f>
        <v>39.35</v>
      </c>
      <c r="I31" s="8"/>
      <c r="J31" s="10" t="s">
        <v>95</v>
      </c>
      <c r="K31" s="10" t="s">
        <v>24</v>
      </c>
      <c r="L31" s="1" t="s">
        <v>111</v>
      </c>
      <c r="M31" s="8">
        <v>5.3999999999999999E-2</v>
      </c>
      <c r="N31" s="8">
        <v>117</v>
      </c>
      <c r="O31" s="8">
        <f t="shared" si="0"/>
        <v>0.32054794520547947</v>
      </c>
      <c r="P31" s="8">
        <v>2390</v>
      </c>
      <c r="Q31" s="8">
        <f t="shared" si="1"/>
        <v>6.5479452054794525</v>
      </c>
      <c r="R31" s="8"/>
      <c r="S31" s="9">
        <f t="shared" si="4"/>
        <v>0.16846153846153844</v>
      </c>
      <c r="T31" s="9">
        <f t="shared" si="5"/>
        <v>8.2468619246861916E-3</v>
      </c>
    </row>
    <row r="32" spans="1:20" ht="68" x14ac:dyDescent="0.2">
      <c r="A32" s="8">
        <v>25</v>
      </c>
      <c r="B32" s="8" t="s">
        <v>112</v>
      </c>
      <c r="C32" s="8">
        <v>2012</v>
      </c>
      <c r="D32" s="8" t="s">
        <v>71</v>
      </c>
      <c r="E32" s="8" t="s">
        <v>46</v>
      </c>
      <c r="F32" s="8" t="s">
        <v>113</v>
      </c>
      <c r="G32" s="8">
        <f>87+51/60+27.4/3600</f>
        <v>87.857611111111112</v>
      </c>
      <c r="H32" s="8">
        <f>G32</f>
        <v>87.857611111111112</v>
      </c>
      <c r="I32" s="8" t="s">
        <v>114</v>
      </c>
      <c r="J32" s="1" t="s">
        <v>115</v>
      </c>
      <c r="K32" s="1" t="s">
        <v>24</v>
      </c>
      <c r="L32" s="1" t="s">
        <v>116</v>
      </c>
      <c r="M32" s="8">
        <v>0.12</v>
      </c>
      <c r="N32" s="8">
        <v>35</v>
      </c>
      <c r="O32" s="8">
        <f t="shared" si="0"/>
        <v>9.5890410958904104E-2</v>
      </c>
      <c r="P32" s="8">
        <v>2500</v>
      </c>
      <c r="Q32" s="8">
        <f t="shared" si="1"/>
        <v>6.8493150684931505</v>
      </c>
      <c r="R32" s="8">
        <v>842</v>
      </c>
      <c r="S32" s="9">
        <f t="shared" si="4"/>
        <v>1.2514285714285716</v>
      </c>
      <c r="T32" s="9">
        <f t="shared" si="5"/>
        <v>1.7520000000000001E-2</v>
      </c>
    </row>
    <row r="33" spans="1:20" ht="204" x14ac:dyDescent="0.2">
      <c r="A33" s="8">
        <v>26</v>
      </c>
      <c r="B33" s="1" t="s">
        <v>117</v>
      </c>
      <c r="C33" s="8">
        <v>2010</v>
      </c>
      <c r="D33" s="8" t="s">
        <v>71</v>
      </c>
      <c r="E33" s="8" t="s">
        <v>46</v>
      </c>
      <c r="F33" s="10" t="s">
        <v>118</v>
      </c>
      <c r="G33" s="10">
        <f>104+57/60</f>
        <v>104.95</v>
      </c>
      <c r="H33" s="8">
        <f>37+27/60</f>
        <v>37.450000000000003</v>
      </c>
      <c r="I33" s="8"/>
      <c r="J33" s="8" t="s">
        <v>95</v>
      </c>
      <c r="K33" s="8" t="s">
        <v>24</v>
      </c>
      <c r="L33" s="1" t="s">
        <v>119</v>
      </c>
      <c r="M33" s="8">
        <v>0.1</v>
      </c>
      <c r="N33" s="8">
        <v>191</v>
      </c>
      <c r="O33" s="8">
        <f t="shared" si="0"/>
        <v>0.52328767123287667</v>
      </c>
      <c r="P33" s="8">
        <v>3000</v>
      </c>
      <c r="Q33" s="8">
        <f t="shared" si="1"/>
        <v>8.2191780821917817</v>
      </c>
      <c r="R33" s="8">
        <v>1339</v>
      </c>
      <c r="S33" s="9">
        <f t="shared" si="4"/>
        <v>0.19109947643979061</v>
      </c>
      <c r="T33" s="9">
        <f t="shared" si="5"/>
        <v>1.2166666666666666E-2</v>
      </c>
    </row>
    <row r="34" spans="1:20" ht="51" x14ac:dyDescent="0.2">
      <c r="A34" s="8">
        <v>27</v>
      </c>
      <c r="B34" s="8" t="s">
        <v>120</v>
      </c>
      <c r="C34" s="8">
        <v>2009</v>
      </c>
      <c r="D34" s="8" t="s">
        <v>71</v>
      </c>
      <c r="E34" s="8" t="s">
        <v>46</v>
      </c>
      <c r="F34" s="8" t="s">
        <v>121</v>
      </c>
      <c r="G34" s="8">
        <v>86.4</v>
      </c>
      <c r="H34" s="8">
        <v>46.17</v>
      </c>
      <c r="I34" s="8" t="s">
        <v>73</v>
      </c>
      <c r="J34" s="8" t="s">
        <v>538</v>
      </c>
      <c r="K34" s="8" t="s">
        <v>24</v>
      </c>
      <c r="L34" s="1" t="s">
        <v>122</v>
      </c>
      <c r="M34" s="8">
        <v>0.09</v>
      </c>
      <c r="N34" s="8">
        <v>79.5</v>
      </c>
      <c r="O34" s="8">
        <f t="shared" si="0"/>
        <v>0.21780821917808219</v>
      </c>
      <c r="P34" s="8">
        <v>2606.6</v>
      </c>
      <c r="Q34" s="8">
        <f t="shared" si="1"/>
        <v>7.1413698630136988</v>
      </c>
      <c r="R34" s="8"/>
      <c r="S34" s="9">
        <f t="shared" si="4"/>
        <v>0.41320754716981134</v>
      </c>
      <c r="T34" s="9">
        <f t="shared" si="5"/>
        <v>1.2602624108033453E-2</v>
      </c>
    </row>
    <row r="35" spans="1:20" ht="51" x14ac:dyDescent="0.2">
      <c r="A35" s="8">
        <v>28</v>
      </c>
      <c r="B35" s="8" t="s">
        <v>120</v>
      </c>
      <c r="C35" s="8">
        <v>2009</v>
      </c>
      <c r="D35" s="8" t="s">
        <v>71</v>
      </c>
      <c r="E35" s="8" t="s">
        <v>46</v>
      </c>
      <c r="F35" s="8" t="s">
        <v>121</v>
      </c>
      <c r="G35" s="8">
        <v>86.4</v>
      </c>
      <c r="H35" s="8">
        <v>46.17</v>
      </c>
      <c r="I35" s="8" t="s">
        <v>73</v>
      </c>
      <c r="J35" s="8" t="s">
        <v>539</v>
      </c>
      <c r="K35" s="8" t="s">
        <v>24</v>
      </c>
      <c r="L35" s="1" t="s">
        <v>123</v>
      </c>
      <c r="M35" s="8">
        <v>9.5000000000000001E-2</v>
      </c>
      <c r="N35" s="8">
        <v>79.5</v>
      </c>
      <c r="O35" s="8">
        <f t="shared" si="0"/>
        <v>0.21780821917808219</v>
      </c>
      <c r="P35" s="8">
        <v>2606.6</v>
      </c>
      <c r="Q35" s="8">
        <f t="shared" si="1"/>
        <v>7.1413698630136988</v>
      </c>
      <c r="R35" s="8"/>
      <c r="S35" s="9">
        <f t="shared" si="4"/>
        <v>0.43616352201257863</v>
      </c>
      <c r="T35" s="9">
        <f t="shared" si="5"/>
        <v>1.3302769891813089E-2</v>
      </c>
    </row>
    <row r="36" spans="1:20" ht="51" x14ac:dyDescent="0.2">
      <c r="A36" s="8">
        <v>29</v>
      </c>
      <c r="B36" s="8" t="s">
        <v>120</v>
      </c>
      <c r="C36" s="8">
        <v>2009</v>
      </c>
      <c r="D36" s="8" t="s">
        <v>71</v>
      </c>
      <c r="E36" s="8" t="s">
        <v>46</v>
      </c>
      <c r="F36" s="8" t="s">
        <v>121</v>
      </c>
      <c r="G36" s="8">
        <v>86.4</v>
      </c>
      <c r="H36" s="8">
        <v>46.17</v>
      </c>
      <c r="I36" s="8" t="s">
        <v>73</v>
      </c>
      <c r="J36" s="8" t="s">
        <v>540</v>
      </c>
      <c r="K36" s="8" t="s">
        <v>24</v>
      </c>
      <c r="L36" s="1" t="s">
        <v>124</v>
      </c>
      <c r="M36" s="8">
        <v>0.125</v>
      </c>
      <c r="N36" s="8">
        <v>79.5</v>
      </c>
      <c r="O36" s="8">
        <f t="shared" si="0"/>
        <v>0.21780821917808219</v>
      </c>
      <c r="P36" s="8">
        <v>2606.6</v>
      </c>
      <c r="Q36" s="8">
        <f t="shared" si="1"/>
        <v>7.1413698630136988</v>
      </c>
      <c r="R36" s="8"/>
      <c r="S36" s="9">
        <f t="shared" si="4"/>
        <v>0.57389937106918243</v>
      </c>
      <c r="T36" s="9">
        <f t="shared" si="5"/>
        <v>1.7503644594490907E-2</v>
      </c>
    </row>
    <row r="37" spans="1:20" ht="68" x14ac:dyDescent="0.2">
      <c r="A37" s="8">
        <v>30</v>
      </c>
      <c r="B37" s="8" t="s">
        <v>117</v>
      </c>
      <c r="C37" s="8">
        <v>2009</v>
      </c>
      <c r="D37" s="8" t="s">
        <v>71</v>
      </c>
      <c r="E37" s="8" t="s">
        <v>46</v>
      </c>
      <c r="F37" s="8" t="s">
        <v>125</v>
      </c>
      <c r="G37" s="8">
        <f>104+570/60</f>
        <v>113.5</v>
      </c>
      <c r="H37" s="8">
        <f>37+270/60</f>
        <v>41.5</v>
      </c>
      <c r="I37" s="8"/>
      <c r="J37" s="1" t="s">
        <v>541</v>
      </c>
      <c r="K37" s="1" t="s">
        <v>37</v>
      </c>
      <c r="L37" s="1"/>
      <c r="M37" s="8">
        <v>0.73</v>
      </c>
      <c r="N37" s="8">
        <v>191</v>
      </c>
      <c r="O37" s="8">
        <f t="shared" si="0"/>
        <v>0.52328767123287667</v>
      </c>
      <c r="P37" s="8">
        <v>3000</v>
      </c>
      <c r="Q37" s="8">
        <f t="shared" si="1"/>
        <v>8.2191780821917817</v>
      </c>
      <c r="R37" s="8">
        <v>1339</v>
      </c>
      <c r="S37" s="9">
        <f t="shared" si="4"/>
        <v>1.3950261780104714</v>
      </c>
      <c r="T37" s="9">
        <f t="shared" si="5"/>
        <v>8.8816666666666655E-2</v>
      </c>
    </row>
    <row r="38" spans="1:20" ht="68" x14ac:dyDescent="0.2">
      <c r="A38" s="8">
        <v>31</v>
      </c>
      <c r="B38" s="8" t="s">
        <v>107</v>
      </c>
      <c r="C38" s="8">
        <v>2009</v>
      </c>
      <c r="D38" s="8" t="s">
        <v>71</v>
      </c>
      <c r="E38" s="8" t="s">
        <v>46</v>
      </c>
      <c r="F38" s="8" t="s">
        <v>126</v>
      </c>
      <c r="G38" s="8">
        <f>105+2/60</f>
        <v>105.03333333333333</v>
      </c>
      <c r="H38" s="8">
        <f>37+32/60</f>
        <v>37.533333333333331</v>
      </c>
      <c r="I38" s="8"/>
      <c r="J38" s="1" t="s">
        <v>542</v>
      </c>
      <c r="K38" s="1" t="s">
        <v>37</v>
      </c>
      <c r="L38" s="1" t="s">
        <v>127</v>
      </c>
      <c r="M38" s="8">
        <v>0.62</v>
      </c>
      <c r="N38" s="8">
        <v>186</v>
      </c>
      <c r="O38" s="8">
        <f t="shared" si="0"/>
        <v>0.50958904109589043</v>
      </c>
      <c r="P38" s="8">
        <v>3000</v>
      </c>
      <c r="Q38" s="8">
        <f t="shared" si="1"/>
        <v>8.2191780821917817</v>
      </c>
      <c r="R38" s="8">
        <v>1288</v>
      </c>
      <c r="S38" s="9">
        <f t="shared" si="4"/>
        <v>1.2166666666666666</v>
      </c>
      <c r="T38" s="9">
        <f t="shared" si="5"/>
        <v>7.5433333333333324E-2</v>
      </c>
    </row>
    <row r="39" spans="1:20" ht="221" x14ac:dyDescent="0.2">
      <c r="A39" s="8">
        <v>32</v>
      </c>
      <c r="B39" s="1" t="s">
        <v>128</v>
      </c>
      <c r="C39" s="8">
        <v>2009</v>
      </c>
      <c r="D39" s="8" t="s">
        <v>71</v>
      </c>
      <c r="E39" s="8" t="s">
        <v>46</v>
      </c>
      <c r="F39" s="8" t="s">
        <v>129</v>
      </c>
      <c r="G39" s="8">
        <v>108.688511260284</v>
      </c>
      <c r="H39" s="8">
        <v>40.540598792381999</v>
      </c>
      <c r="I39" s="8" t="s">
        <v>130</v>
      </c>
      <c r="J39" s="10" t="s">
        <v>131</v>
      </c>
      <c r="K39" s="10" t="s">
        <v>24</v>
      </c>
      <c r="L39" s="11" t="s">
        <v>132</v>
      </c>
      <c r="M39" s="8">
        <v>0.154</v>
      </c>
      <c r="N39" s="8">
        <v>293</v>
      </c>
      <c r="O39" s="8">
        <f t="shared" si="0"/>
        <v>0.80273972602739729</v>
      </c>
      <c r="P39" s="8">
        <v>2448</v>
      </c>
      <c r="Q39" s="8">
        <f t="shared" si="1"/>
        <v>6.7068493150684931</v>
      </c>
      <c r="R39" s="8">
        <v>1040</v>
      </c>
      <c r="S39" s="9">
        <f t="shared" si="4"/>
        <v>0.19184300341296928</v>
      </c>
      <c r="T39" s="9">
        <f t="shared" si="5"/>
        <v>2.2961601307189543E-2</v>
      </c>
    </row>
    <row r="40" spans="1:20" ht="56" x14ac:dyDescent="0.2">
      <c r="A40" s="8">
        <v>33</v>
      </c>
      <c r="B40" s="8" t="s">
        <v>120</v>
      </c>
      <c r="C40" s="8">
        <v>2009</v>
      </c>
      <c r="D40" s="8" t="s">
        <v>71</v>
      </c>
      <c r="E40" s="8" t="s">
        <v>46</v>
      </c>
      <c r="F40" s="8" t="s">
        <v>121</v>
      </c>
      <c r="G40" s="8">
        <v>86.4</v>
      </c>
      <c r="H40" s="8">
        <v>46.17</v>
      </c>
      <c r="I40" s="10" t="s">
        <v>133</v>
      </c>
      <c r="J40" s="10" t="s">
        <v>95</v>
      </c>
      <c r="K40" s="10" t="s">
        <v>24</v>
      </c>
      <c r="L40" s="11" t="s">
        <v>134</v>
      </c>
      <c r="M40" s="8">
        <v>7.3950000000000002E-2</v>
      </c>
      <c r="N40" s="8">
        <v>79.5</v>
      </c>
      <c r="O40" s="8">
        <f t="shared" si="0"/>
        <v>0.21780821917808219</v>
      </c>
      <c r="P40" s="8">
        <v>2606.6</v>
      </c>
      <c r="Q40" s="8">
        <f t="shared" si="1"/>
        <v>7.1413698630136988</v>
      </c>
      <c r="R40" s="8">
        <v>79.5</v>
      </c>
      <c r="S40" s="9">
        <f t="shared" si="4"/>
        <v>0.33951886792452834</v>
      </c>
      <c r="T40" s="9">
        <f t="shared" si="5"/>
        <v>1.0355156142100821E-2</v>
      </c>
    </row>
    <row r="41" spans="1:20" x14ac:dyDescent="0.2">
      <c r="A41" s="8">
        <v>34</v>
      </c>
      <c r="B41" s="8" t="s">
        <v>135</v>
      </c>
      <c r="C41" s="8">
        <v>2002</v>
      </c>
      <c r="D41" s="8" t="s">
        <v>71</v>
      </c>
      <c r="E41" s="8" t="s">
        <v>46</v>
      </c>
      <c r="F41" s="8" t="s">
        <v>136</v>
      </c>
      <c r="G41" s="8">
        <v>87.308199999999999</v>
      </c>
      <c r="H41" s="8">
        <v>44.011200000000002</v>
      </c>
      <c r="I41" s="8"/>
      <c r="J41" s="8" t="s">
        <v>137</v>
      </c>
      <c r="K41" s="8" t="s">
        <v>24</v>
      </c>
      <c r="L41" s="1"/>
      <c r="M41" s="8">
        <v>0.14499999999999999</v>
      </c>
      <c r="N41" s="8">
        <v>204.9</v>
      </c>
      <c r="O41" s="8">
        <f t="shared" si="0"/>
        <v>0.56136986301369862</v>
      </c>
      <c r="P41" s="8">
        <v>1857.9</v>
      </c>
      <c r="Q41" s="8">
        <f t="shared" si="1"/>
        <v>5.0901369863013697</v>
      </c>
      <c r="R41" s="8"/>
      <c r="S41" s="9">
        <f t="shared" si="4"/>
        <v>0.25829673011224985</v>
      </c>
      <c r="T41" s="9">
        <f t="shared" si="5"/>
        <v>2.8486463211152377E-2</v>
      </c>
    </row>
    <row r="42" spans="1:20" x14ac:dyDescent="0.2">
      <c r="A42" s="8">
        <v>35</v>
      </c>
      <c r="B42" s="8" t="s">
        <v>135</v>
      </c>
      <c r="C42" s="8">
        <v>2002</v>
      </c>
      <c r="D42" s="8" t="s">
        <v>71</v>
      </c>
      <c r="E42" s="8" t="s">
        <v>46</v>
      </c>
      <c r="F42" s="8" t="s">
        <v>138</v>
      </c>
      <c r="G42" s="8">
        <v>87.308199999999999</v>
      </c>
      <c r="H42" s="8">
        <v>44.011200000000002</v>
      </c>
      <c r="I42" s="8"/>
      <c r="J42" s="8" t="s">
        <v>139</v>
      </c>
      <c r="K42" s="8" t="s">
        <v>24</v>
      </c>
      <c r="L42" s="1"/>
      <c r="M42" s="8">
        <v>6.4000000000000001E-2</v>
      </c>
      <c r="N42" s="8">
        <v>204.9</v>
      </c>
      <c r="O42" s="8">
        <f t="shared" si="0"/>
        <v>0.56136986301369862</v>
      </c>
      <c r="P42" s="8">
        <v>1857.9</v>
      </c>
      <c r="Q42" s="8">
        <f t="shared" si="1"/>
        <v>5.0901369863013697</v>
      </c>
      <c r="R42" s="8"/>
      <c r="S42" s="9">
        <f t="shared" si="4"/>
        <v>0.11400683260126891</v>
      </c>
      <c r="T42" s="9">
        <f t="shared" si="5"/>
        <v>1.257333548630174E-2</v>
      </c>
    </row>
    <row r="43" spans="1:20" x14ac:dyDescent="0.2">
      <c r="A43" s="8">
        <v>36</v>
      </c>
      <c r="B43" s="8" t="s">
        <v>135</v>
      </c>
      <c r="C43" s="8">
        <v>2002</v>
      </c>
      <c r="D43" s="8" t="s">
        <v>71</v>
      </c>
      <c r="E43" s="8" t="s">
        <v>46</v>
      </c>
      <c r="F43" s="8" t="s">
        <v>138</v>
      </c>
      <c r="G43" s="8">
        <v>87.308199999999999</v>
      </c>
      <c r="H43" s="8">
        <v>44.011200000000002</v>
      </c>
      <c r="I43" s="8"/>
      <c r="J43" s="8" t="s">
        <v>140</v>
      </c>
      <c r="K43" s="8" t="s">
        <v>24</v>
      </c>
      <c r="L43" s="1"/>
      <c r="M43" s="8">
        <v>5.5E-2</v>
      </c>
      <c r="N43" s="8">
        <v>204.9</v>
      </c>
      <c r="O43" s="8">
        <f t="shared" si="0"/>
        <v>0.56136986301369862</v>
      </c>
      <c r="P43" s="8">
        <v>1857.9</v>
      </c>
      <c r="Q43" s="8">
        <f t="shared" si="1"/>
        <v>5.0901369863013697</v>
      </c>
      <c r="R43" s="8"/>
      <c r="S43" s="9">
        <f t="shared" si="4"/>
        <v>9.7974621766715467E-2</v>
      </c>
      <c r="T43" s="9">
        <f t="shared" si="5"/>
        <v>1.0805210183540557E-2</v>
      </c>
    </row>
    <row r="44" spans="1:20" ht="170" x14ac:dyDescent="0.2">
      <c r="A44" s="8">
        <v>37</v>
      </c>
      <c r="B44" s="1" t="s">
        <v>141</v>
      </c>
      <c r="C44" s="8">
        <v>2002</v>
      </c>
      <c r="D44" s="8" t="s">
        <v>71</v>
      </c>
      <c r="E44" s="8" t="s">
        <v>46</v>
      </c>
      <c r="F44" s="8" t="s">
        <v>142</v>
      </c>
      <c r="G44" s="8">
        <f>103+47/60</f>
        <v>103.78333333333333</v>
      </c>
      <c r="H44" s="8">
        <f>36+13/60</f>
        <v>36.216666666666669</v>
      </c>
      <c r="I44" s="8"/>
      <c r="J44" s="10" t="s">
        <v>95</v>
      </c>
      <c r="K44" s="10" t="s">
        <v>24</v>
      </c>
      <c r="L44" s="11"/>
      <c r="M44" s="8">
        <v>0.12</v>
      </c>
      <c r="N44" s="8">
        <v>263</v>
      </c>
      <c r="O44" s="8">
        <f t="shared" si="0"/>
        <v>0.72054794520547949</v>
      </c>
      <c r="P44" s="8">
        <v>1785.6</v>
      </c>
      <c r="Q44" s="8">
        <f t="shared" si="1"/>
        <v>4.8920547945205479</v>
      </c>
      <c r="R44" s="8">
        <v>1780</v>
      </c>
      <c r="S44" s="9">
        <f t="shared" si="4"/>
        <v>0.16653992395437262</v>
      </c>
      <c r="T44" s="9">
        <f t="shared" si="5"/>
        <v>2.4529569892473117E-2</v>
      </c>
    </row>
    <row r="45" spans="1:20" x14ac:dyDescent="0.2">
      <c r="A45" s="8">
        <v>38</v>
      </c>
      <c r="B45" s="8" t="s">
        <v>143</v>
      </c>
      <c r="C45" s="8">
        <v>1998</v>
      </c>
      <c r="D45" s="8" t="s">
        <v>71</v>
      </c>
      <c r="E45" s="8" t="s">
        <v>46</v>
      </c>
      <c r="F45" s="8" t="s">
        <v>144</v>
      </c>
      <c r="G45" s="8">
        <v>105.173888888888</v>
      </c>
      <c r="H45" s="8">
        <v>37.516944444444398</v>
      </c>
      <c r="I45" s="8"/>
      <c r="J45" s="8" t="s">
        <v>145</v>
      </c>
      <c r="K45" s="8" t="s">
        <v>24</v>
      </c>
      <c r="L45" s="1"/>
      <c r="M45" s="8">
        <v>0.188</v>
      </c>
      <c r="N45" s="8">
        <v>186.2</v>
      </c>
      <c r="O45" s="8">
        <f t="shared" si="0"/>
        <v>0.51013698630136983</v>
      </c>
      <c r="P45" s="8">
        <v>3000</v>
      </c>
      <c r="Q45" s="8">
        <f t="shared" si="1"/>
        <v>8.2191780821917817</v>
      </c>
      <c r="R45" s="8"/>
      <c r="S45" s="9">
        <f t="shared" si="4"/>
        <v>0.36852846401718586</v>
      </c>
      <c r="T45" s="9">
        <f t="shared" si="5"/>
        <v>2.2873333333333332E-2</v>
      </c>
    </row>
    <row r="46" spans="1:20" x14ac:dyDescent="0.2">
      <c r="A46" s="8">
        <v>39</v>
      </c>
      <c r="B46" s="8" t="s">
        <v>146</v>
      </c>
      <c r="C46" s="8">
        <v>1993</v>
      </c>
      <c r="D46" s="8" t="s">
        <v>71</v>
      </c>
      <c r="E46" s="8" t="s">
        <v>46</v>
      </c>
      <c r="F46" s="8" t="s">
        <v>147</v>
      </c>
      <c r="G46" s="8">
        <v>120.666666666666</v>
      </c>
      <c r="H46" s="8">
        <v>42.85</v>
      </c>
      <c r="I46" s="8"/>
      <c r="J46" s="8" t="s">
        <v>145</v>
      </c>
      <c r="K46" s="8" t="s">
        <v>24</v>
      </c>
      <c r="L46" s="1"/>
      <c r="M46" s="8">
        <v>0.38600000000000001</v>
      </c>
      <c r="N46" s="8">
        <v>362.1</v>
      </c>
      <c r="O46" s="8">
        <f t="shared" si="0"/>
        <v>0.99205479452054801</v>
      </c>
      <c r="P46" s="8">
        <v>1362</v>
      </c>
      <c r="Q46" s="8">
        <f t="shared" si="1"/>
        <v>3.7315068493150685</v>
      </c>
      <c r="R46" s="8"/>
      <c r="S46" s="9">
        <f t="shared" si="4"/>
        <v>0.38909141121237228</v>
      </c>
      <c r="T46" s="9">
        <f t="shared" si="5"/>
        <v>0.10344346549192364</v>
      </c>
    </row>
    <row r="47" spans="1:20" x14ac:dyDescent="0.2">
      <c r="A47" s="8">
        <v>40</v>
      </c>
      <c r="B47" s="8" t="s">
        <v>146</v>
      </c>
      <c r="C47" s="8">
        <v>1993</v>
      </c>
      <c r="D47" s="8" t="s">
        <v>71</v>
      </c>
      <c r="E47" s="8" t="s">
        <v>46</v>
      </c>
      <c r="F47" s="8" t="s">
        <v>148</v>
      </c>
      <c r="G47" s="8">
        <v>120.666666666666</v>
      </c>
      <c r="H47" s="8">
        <v>42.85</v>
      </c>
      <c r="I47" s="8"/>
      <c r="J47" s="8" t="s">
        <v>149</v>
      </c>
      <c r="K47" s="8" t="s">
        <v>24</v>
      </c>
      <c r="L47" s="1"/>
      <c r="M47" s="8">
        <v>0.35499999999999998</v>
      </c>
      <c r="N47" s="8">
        <v>362.1</v>
      </c>
      <c r="O47" s="8">
        <f t="shared" si="0"/>
        <v>0.99205479452054801</v>
      </c>
      <c r="P47" s="8">
        <v>1362</v>
      </c>
      <c r="Q47" s="8">
        <f t="shared" si="1"/>
        <v>3.7315068493150685</v>
      </c>
      <c r="R47" s="8"/>
      <c r="S47" s="9">
        <f t="shared" si="4"/>
        <v>0.35784313725490191</v>
      </c>
      <c r="T47" s="9">
        <f t="shared" si="5"/>
        <v>9.5135829662261376E-2</v>
      </c>
    </row>
    <row r="48" spans="1:20" x14ac:dyDescent="0.2">
      <c r="A48" s="8">
        <v>41</v>
      </c>
      <c r="B48" s="8" t="s">
        <v>150</v>
      </c>
      <c r="C48" s="8">
        <v>1986</v>
      </c>
      <c r="D48" s="8" t="s">
        <v>71</v>
      </c>
      <c r="E48" s="8" t="s">
        <v>46</v>
      </c>
      <c r="F48" s="8" t="s">
        <v>151</v>
      </c>
      <c r="G48" s="8">
        <v>101.9147</v>
      </c>
      <c r="H48" s="8">
        <v>39.056699999999999</v>
      </c>
      <c r="I48" s="8"/>
      <c r="J48" s="8" t="s">
        <v>152</v>
      </c>
      <c r="K48" s="8" t="s">
        <v>24</v>
      </c>
      <c r="L48" s="1"/>
      <c r="M48" s="8">
        <v>0.115</v>
      </c>
      <c r="N48" s="8">
        <v>115</v>
      </c>
      <c r="O48" s="8">
        <f t="shared" si="0"/>
        <v>0.31506849315068491</v>
      </c>
      <c r="P48" s="8">
        <v>1544</v>
      </c>
      <c r="Q48" s="8">
        <f t="shared" si="1"/>
        <v>4.2301369863013702</v>
      </c>
      <c r="R48" s="8"/>
      <c r="S48" s="9">
        <f t="shared" si="4"/>
        <v>0.36500000000000005</v>
      </c>
      <c r="T48" s="9">
        <f t="shared" si="5"/>
        <v>2.7185880829015543E-2</v>
      </c>
    </row>
    <row r="49" spans="1:20" x14ac:dyDescent="0.2">
      <c r="A49" s="8">
        <v>42</v>
      </c>
      <c r="B49" s="8" t="s">
        <v>150</v>
      </c>
      <c r="C49" s="8">
        <v>1986</v>
      </c>
      <c r="D49" s="8" t="s">
        <v>71</v>
      </c>
      <c r="E49" s="8" t="s">
        <v>46</v>
      </c>
      <c r="F49" s="8" t="s">
        <v>151</v>
      </c>
      <c r="G49" s="8">
        <v>101.9147</v>
      </c>
      <c r="H49" s="8">
        <v>39.056699999999999</v>
      </c>
      <c r="I49" s="8"/>
      <c r="J49" s="8" t="s">
        <v>153</v>
      </c>
      <c r="K49" s="8" t="s">
        <v>24</v>
      </c>
      <c r="L49" s="1"/>
      <c r="M49" s="8">
        <v>0.113</v>
      </c>
      <c r="N49" s="8">
        <v>115</v>
      </c>
      <c r="O49" s="8">
        <f t="shared" si="0"/>
        <v>0.31506849315068491</v>
      </c>
      <c r="P49" s="8">
        <v>1544</v>
      </c>
      <c r="Q49" s="8">
        <f t="shared" si="1"/>
        <v>4.2301369863013702</v>
      </c>
      <c r="R49" s="8"/>
      <c r="S49" s="9">
        <f t="shared" si="4"/>
        <v>0.35865217391304349</v>
      </c>
      <c r="T49" s="9">
        <f t="shared" si="5"/>
        <v>2.6713082901554403E-2</v>
      </c>
    </row>
    <row r="50" spans="1:20" x14ac:dyDescent="0.2">
      <c r="A50" s="8">
        <v>43</v>
      </c>
      <c r="B50" s="8" t="s">
        <v>150</v>
      </c>
      <c r="C50" s="8">
        <v>1986</v>
      </c>
      <c r="D50" s="8" t="s">
        <v>71</v>
      </c>
      <c r="E50" s="8" t="s">
        <v>46</v>
      </c>
      <c r="F50" s="8" t="s">
        <v>151</v>
      </c>
      <c r="G50" s="8">
        <v>101.9147</v>
      </c>
      <c r="H50" s="8">
        <v>39.056699999999999</v>
      </c>
      <c r="I50" s="8"/>
      <c r="J50" s="8" t="s">
        <v>154</v>
      </c>
      <c r="K50" s="8" t="s">
        <v>24</v>
      </c>
      <c r="L50" s="1"/>
      <c r="M50" s="8">
        <v>4.5999999999999999E-2</v>
      </c>
      <c r="N50" s="8">
        <v>115</v>
      </c>
      <c r="O50" s="8">
        <f t="shared" si="0"/>
        <v>0.31506849315068491</v>
      </c>
      <c r="P50" s="8">
        <v>1544</v>
      </c>
      <c r="Q50" s="8">
        <f t="shared" si="1"/>
        <v>4.2301369863013702</v>
      </c>
      <c r="R50" s="8"/>
      <c r="S50" s="9">
        <f t="shared" si="4"/>
        <v>0.14600000000000002</v>
      </c>
      <c r="T50" s="9">
        <f t="shared" si="5"/>
        <v>1.0874352331606217E-2</v>
      </c>
    </row>
    <row r="51" spans="1:20" x14ac:dyDescent="0.2">
      <c r="A51" s="8">
        <v>121</v>
      </c>
      <c r="B51" s="8" t="s">
        <v>155</v>
      </c>
      <c r="C51" s="8">
        <v>2014</v>
      </c>
      <c r="D51" s="8" t="s">
        <v>71</v>
      </c>
      <c r="E51" s="8" t="s">
        <v>46</v>
      </c>
      <c r="F51" s="8" t="s">
        <v>156</v>
      </c>
      <c r="G51" s="8">
        <v>104.7</v>
      </c>
      <c r="H51" s="8">
        <v>38.700000000000003</v>
      </c>
      <c r="I51" s="2"/>
      <c r="J51" s="8"/>
      <c r="K51" s="8" t="s">
        <v>37</v>
      </c>
      <c r="L51" s="1"/>
      <c r="M51" s="8"/>
      <c r="N51" s="8"/>
      <c r="O51" s="8">
        <f t="shared" si="0"/>
        <v>0</v>
      </c>
      <c r="P51" s="8"/>
      <c r="Q51" s="8">
        <f t="shared" si="1"/>
        <v>0</v>
      </c>
      <c r="R51" s="8"/>
      <c r="S51" s="9" t="str">
        <f t="shared" si="4"/>
        <v/>
      </c>
      <c r="T51" s="9" t="str">
        <f t="shared" si="5"/>
        <v/>
      </c>
    </row>
    <row r="52" spans="1:20" ht="34" x14ac:dyDescent="0.2">
      <c r="A52" s="8">
        <v>44</v>
      </c>
      <c r="B52" s="8" t="s">
        <v>44</v>
      </c>
      <c r="C52" s="8">
        <v>2016</v>
      </c>
      <c r="D52" s="8" t="s">
        <v>157</v>
      </c>
      <c r="E52" s="8" t="s">
        <v>158</v>
      </c>
      <c r="F52" s="8" t="s">
        <v>159</v>
      </c>
      <c r="G52" s="8">
        <f>14+24/60</f>
        <v>14.4</v>
      </c>
      <c r="H52" s="8">
        <f>44+57/60</f>
        <v>44.95</v>
      </c>
      <c r="I52" s="8" t="s">
        <v>48</v>
      </c>
      <c r="J52" s="8" t="s">
        <v>160</v>
      </c>
      <c r="K52" s="8" t="s">
        <v>50</v>
      </c>
      <c r="L52" s="1" t="s">
        <v>161</v>
      </c>
      <c r="M52" s="8">
        <v>1.02</v>
      </c>
      <c r="N52" s="8">
        <v>917</v>
      </c>
      <c r="O52" s="8">
        <f t="shared" si="0"/>
        <v>2.5123287671232877</v>
      </c>
      <c r="P52" s="8">
        <v>1138</v>
      </c>
      <c r="Q52" s="8">
        <f t="shared" si="1"/>
        <v>3.117808219178082</v>
      </c>
      <c r="R52" s="8">
        <v>5</v>
      </c>
      <c r="S52" s="9">
        <f t="shared" si="4"/>
        <v>0.40599781897491821</v>
      </c>
      <c r="T52" s="9">
        <f t="shared" si="5"/>
        <v>0.32715289982425311</v>
      </c>
    </row>
    <row r="53" spans="1:20" ht="34" x14ac:dyDescent="0.2">
      <c r="A53" s="8">
        <v>45</v>
      </c>
      <c r="B53" s="8" t="s">
        <v>44</v>
      </c>
      <c r="C53" s="8">
        <v>2016</v>
      </c>
      <c r="D53" s="8" t="s">
        <v>157</v>
      </c>
      <c r="E53" s="8" t="s">
        <v>158</v>
      </c>
      <c r="F53" s="8" t="s">
        <v>162</v>
      </c>
      <c r="G53" s="8">
        <f>15+13/60</f>
        <v>15.216666666666667</v>
      </c>
      <c r="H53" s="8">
        <f>44+8/60</f>
        <v>44.133333333333333</v>
      </c>
      <c r="I53" s="8" t="s">
        <v>48</v>
      </c>
      <c r="J53" s="8" t="s">
        <v>163</v>
      </c>
      <c r="K53" s="8" t="s">
        <v>50</v>
      </c>
      <c r="L53" s="1" t="s">
        <v>164</v>
      </c>
      <c r="M53" s="8">
        <v>1.02</v>
      </c>
      <c r="N53" s="8">
        <v>917</v>
      </c>
      <c r="O53" s="8">
        <f t="shared" si="0"/>
        <v>2.5123287671232877</v>
      </c>
      <c r="P53" s="8">
        <v>1167</v>
      </c>
      <c r="Q53" s="8">
        <f t="shared" si="1"/>
        <v>3.1972602739726028</v>
      </c>
      <c r="R53" s="8">
        <v>5</v>
      </c>
      <c r="S53" s="9">
        <f t="shared" si="4"/>
        <v>0.40599781897491821</v>
      </c>
      <c r="T53" s="9">
        <f t="shared" si="5"/>
        <v>0.31902313624678663</v>
      </c>
    </row>
    <row r="54" spans="1:20" ht="85" x14ac:dyDescent="0.2">
      <c r="A54" s="8">
        <v>46</v>
      </c>
      <c r="B54" s="1" t="s">
        <v>165</v>
      </c>
      <c r="C54" s="8">
        <v>2010</v>
      </c>
      <c r="D54" s="8" t="s">
        <v>157</v>
      </c>
      <c r="E54" s="8" t="s">
        <v>158</v>
      </c>
      <c r="F54" s="8" t="s">
        <v>166</v>
      </c>
      <c r="G54" s="8">
        <f>15+13/60</f>
        <v>15.216666666666667</v>
      </c>
      <c r="H54" s="8">
        <f>44+8/60</f>
        <v>44.133333333333333</v>
      </c>
      <c r="I54" s="8"/>
      <c r="J54" s="8" t="s">
        <v>167</v>
      </c>
      <c r="K54" s="8" t="s">
        <v>50</v>
      </c>
      <c r="L54" s="1" t="s">
        <v>168</v>
      </c>
      <c r="M54" s="8">
        <v>0.4</v>
      </c>
      <c r="N54" s="8">
        <v>917</v>
      </c>
      <c r="O54" s="8">
        <f t="shared" si="0"/>
        <v>2.5123287671232877</v>
      </c>
      <c r="P54" s="8">
        <v>1167</v>
      </c>
      <c r="Q54" s="8">
        <f t="shared" si="1"/>
        <v>3.1972602739726028</v>
      </c>
      <c r="R54" s="8">
        <v>5</v>
      </c>
      <c r="S54" s="9">
        <f t="shared" si="4"/>
        <v>0.15921483097055616</v>
      </c>
      <c r="T54" s="9">
        <f t="shared" si="5"/>
        <v>0.12510711225364182</v>
      </c>
    </row>
    <row r="55" spans="1:20" ht="119" x14ac:dyDescent="0.2">
      <c r="A55" s="8">
        <v>47</v>
      </c>
      <c r="B55" s="1" t="s">
        <v>169</v>
      </c>
      <c r="C55" s="8">
        <v>2009</v>
      </c>
      <c r="D55" s="1" t="s">
        <v>157</v>
      </c>
      <c r="E55" s="8" t="s">
        <v>158</v>
      </c>
      <c r="F55" s="8" t="s">
        <v>166</v>
      </c>
      <c r="G55" s="8">
        <f>15+13/60</f>
        <v>15.216666666666667</v>
      </c>
      <c r="H55" s="8">
        <f>44+8/60</f>
        <v>44.133333333333333</v>
      </c>
      <c r="I55" s="8"/>
      <c r="J55" s="8" t="s">
        <v>170</v>
      </c>
      <c r="K55" s="8" t="s">
        <v>24</v>
      </c>
      <c r="L55" s="1" t="s">
        <v>171</v>
      </c>
      <c r="M55" s="8">
        <v>1.6459999999999999E-2</v>
      </c>
      <c r="N55" s="8">
        <v>917</v>
      </c>
      <c r="O55" s="8">
        <f t="shared" si="0"/>
        <v>2.5123287671232877</v>
      </c>
      <c r="P55" s="8">
        <v>1167</v>
      </c>
      <c r="Q55" s="8">
        <f t="shared" si="1"/>
        <v>3.1972602739726028</v>
      </c>
      <c r="R55" s="8">
        <v>5</v>
      </c>
      <c r="S55" s="9">
        <f t="shared" si="4"/>
        <v>6.5516902944383858E-3</v>
      </c>
      <c r="T55" s="9">
        <f t="shared" si="5"/>
        <v>5.1481576692373604E-3</v>
      </c>
    </row>
    <row r="56" spans="1:20" ht="119" x14ac:dyDescent="0.2">
      <c r="A56" s="8">
        <v>48</v>
      </c>
      <c r="B56" s="1" t="s">
        <v>169</v>
      </c>
      <c r="C56" s="8">
        <v>2009</v>
      </c>
      <c r="D56" s="1" t="s">
        <v>157</v>
      </c>
      <c r="E56" s="8" t="s">
        <v>158</v>
      </c>
      <c r="F56" s="8" t="s">
        <v>172</v>
      </c>
      <c r="G56" s="8">
        <f>16+6/60</f>
        <v>16.100000000000001</v>
      </c>
      <c r="H56" s="8">
        <f>43+3/60</f>
        <v>43.05</v>
      </c>
      <c r="I56" s="8"/>
      <c r="J56" s="8" t="s">
        <v>170</v>
      </c>
      <c r="K56" s="8" t="s">
        <v>24</v>
      </c>
      <c r="L56" s="1" t="s">
        <v>171</v>
      </c>
      <c r="M56" s="8">
        <v>7.7000000000000002E-3</v>
      </c>
      <c r="N56" s="8">
        <v>300</v>
      </c>
      <c r="O56" s="8">
        <f t="shared" si="0"/>
        <v>0.82191780821917804</v>
      </c>
      <c r="P56" s="8">
        <v>2000</v>
      </c>
      <c r="Q56" s="8">
        <f t="shared" si="1"/>
        <v>5.4794520547945202</v>
      </c>
      <c r="R56" s="8">
        <v>20</v>
      </c>
      <c r="S56" s="9">
        <f t="shared" si="4"/>
        <v>9.3683333333333344E-3</v>
      </c>
      <c r="T56" s="9">
        <f t="shared" si="5"/>
        <v>1.40525E-3</v>
      </c>
    </row>
    <row r="57" spans="1:20" ht="51" x14ac:dyDescent="0.2">
      <c r="A57" s="8">
        <v>152</v>
      </c>
      <c r="B57" s="8" t="s">
        <v>173</v>
      </c>
      <c r="C57" s="8">
        <v>2007</v>
      </c>
      <c r="D57" s="8" t="s">
        <v>157</v>
      </c>
      <c r="E57" s="8" t="s">
        <v>158</v>
      </c>
      <c r="F57" s="8" t="s">
        <v>174</v>
      </c>
      <c r="G57" s="8">
        <f>16+1/60</f>
        <v>16.016666666666666</v>
      </c>
      <c r="H57" s="8">
        <f>42+59/60</f>
        <v>42.983333333333334</v>
      </c>
      <c r="I57" s="8" t="s">
        <v>175</v>
      </c>
      <c r="J57" s="8" t="s">
        <v>176</v>
      </c>
      <c r="K57" s="8" t="s">
        <v>50</v>
      </c>
      <c r="L57" s="1" t="s">
        <v>177</v>
      </c>
      <c r="M57" s="8"/>
      <c r="N57" s="8"/>
      <c r="O57" s="8"/>
      <c r="P57" s="8"/>
      <c r="Q57" s="8"/>
      <c r="R57" s="8">
        <v>112</v>
      </c>
      <c r="S57" s="9" t="str">
        <f t="shared" si="4"/>
        <v/>
      </c>
      <c r="T57" s="9" t="str">
        <f t="shared" si="5"/>
        <v/>
      </c>
    </row>
    <row r="58" spans="1:20" ht="255" x14ac:dyDescent="0.2">
      <c r="A58" s="8">
        <v>49</v>
      </c>
      <c r="B58" s="1" t="s">
        <v>178</v>
      </c>
      <c r="C58" s="8">
        <v>2012</v>
      </c>
      <c r="D58" s="8" t="s">
        <v>179</v>
      </c>
      <c r="E58" s="8" t="s">
        <v>180</v>
      </c>
      <c r="F58" s="8" t="s">
        <v>181</v>
      </c>
      <c r="G58" s="8">
        <f>16+32/60</f>
        <v>16.533333333333335</v>
      </c>
      <c r="H58" s="8">
        <f>-28-37/60</f>
        <v>-28.616666666666667</v>
      </c>
      <c r="I58" s="8" t="s">
        <v>182</v>
      </c>
      <c r="J58" s="8" t="s">
        <v>183</v>
      </c>
      <c r="K58" s="8" t="s">
        <v>37</v>
      </c>
      <c r="L58" s="1"/>
      <c r="M58" s="8">
        <v>5.1799999999999999E-2</v>
      </c>
      <c r="N58" s="8">
        <v>46</v>
      </c>
      <c r="O58" s="8">
        <f t="shared" si="0"/>
        <v>0.12602739726027398</v>
      </c>
      <c r="P58" s="8">
        <v>1703</v>
      </c>
      <c r="Q58" s="8">
        <f t="shared" si="1"/>
        <v>4.6657534246575345</v>
      </c>
      <c r="R58" s="8"/>
      <c r="S58" s="9">
        <f t="shared" si="4"/>
        <v>0.41102173913043472</v>
      </c>
      <c r="T58" s="9">
        <f t="shared" si="5"/>
        <v>1.110217263652378E-2</v>
      </c>
    </row>
    <row r="59" spans="1:20" ht="34" x14ac:dyDescent="0.2">
      <c r="A59" s="8">
        <v>50</v>
      </c>
      <c r="B59" s="8" t="s">
        <v>44</v>
      </c>
      <c r="C59" s="8">
        <v>2016</v>
      </c>
      <c r="D59" s="8" t="s">
        <v>184</v>
      </c>
      <c r="E59" s="8" t="s">
        <v>180</v>
      </c>
      <c r="F59" s="8" t="s">
        <v>185</v>
      </c>
      <c r="G59" s="8">
        <f>37+25/60</f>
        <v>37.416666666666664</v>
      </c>
      <c r="H59" s="8">
        <f>11+36/60</f>
        <v>11.6</v>
      </c>
      <c r="I59" s="8" t="s">
        <v>48</v>
      </c>
      <c r="J59" s="8" t="s">
        <v>186</v>
      </c>
      <c r="K59" s="8" t="s">
        <v>50</v>
      </c>
      <c r="L59" s="1" t="s">
        <v>187</v>
      </c>
      <c r="M59" s="8">
        <v>0.56999999999999995</v>
      </c>
      <c r="N59" s="8">
        <v>1406.1699988722801</v>
      </c>
      <c r="O59" s="8">
        <f t="shared" si="0"/>
        <v>3.8525205448555617</v>
      </c>
      <c r="P59" s="8">
        <v>1650</v>
      </c>
      <c r="Q59" s="8">
        <f t="shared" si="1"/>
        <v>4.5205479452054798</v>
      </c>
      <c r="R59" s="8">
        <v>1840</v>
      </c>
      <c r="S59" s="9">
        <f t="shared" si="4"/>
        <v>0.14795508378563893</v>
      </c>
      <c r="T59" s="9">
        <f t="shared" si="5"/>
        <v>0.12609090909090906</v>
      </c>
    </row>
    <row r="60" spans="1:20" ht="34" x14ac:dyDescent="0.2">
      <c r="A60" s="8">
        <v>51</v>
      </c>
      <c r="B60" s="8" t="s">
        <v>44</v>
      </c>
      <c r="C60" s="8">
        <v>2016</v>
      </c>
      <c r="D60" s="8" t="s">
        <v>188</v>
      </c>
      <c r="E60" s="8" t="s">
        <v>158</v>
      </c>
      <c r="F60" s="8" t="s">
        <v>189</v>
      </c>
      <c r="G60" s="8">
        <f>8+48/60</f>
        <v>8.8000000000000007</v>
      </c>
      <c r="H60" s="8">
        <f>41+55/60</f>
        <v>41.916666666666664</v>
      </c>
      <c r="I60" s="8" t="s">
        <v>48</v>
      </c>
      <c r="J60" s="8" t="s">
        <v>190</v>
      </c>
      <c r="K60" s="8" t="s">
        <v>50</v>
      </c>
      <c r="L60" s="1" t="s">
        <v>191</v>
      </c>
      <c r="M60" s="8">
        <v>1.02</v>
      </c>
      <c r="N60" s="8">
        <v>426</v>
      </c>
      <c r="O60" s="8">
        <f t="shared" si="0"/>
        <v>1.167123287671233</v>
      </c>
      <c r="P60" s="8">
        <v>1246</v>
      </c>
      <c r="Q60" s="8">
        <f t="shared" si="1"/>
        <v>3.4136986301369863</v>
      </c>
      <c r="R60" s="8">
        <v>70</v>
      </c>
      <c r="S60" s="9">
        <f t="shared" si="4"/>
        <v>0.87394366197183093</v>
      </c>
      <c r="T60" s="9">
        <f t="shared" si="5"/>
        <v>0.29879614767255219</v>
      </c>
    </row>
    <row r="61" spans="1:20" ht="34" x14ac:dyDescent="0.2">
      <c r="A61" s="8">
        <v>52</v>
      </c>
      <c r="B61" s="8" t="s">
        <v>44</v>
      </c>
      <c r="C61" s="8">
        <v>2016</v>
      </c>
      <c r="D61" s="8" t="s">
        <v>188</v>
      </c>
      <c r="E61" s="8" t="s">
        <v>158</v>
      </c>
      <c r="F61" s="8" t="s">
        <v>192</v>
      </c>
      <c r="G61" s="8">
        <f>-39/60</f>
        <v>-0.65</v>
      </c>
      <c r="H61" s="8">
        <f>44+47/60</f>
        <v>44.783333333333331</v>
      </c>
      <c r="I61" s="8" t="s">
        <v>48</v>
      </c>
      <c r="J61" s="8" t="s">
        <v>193</v>
      </c>
      <c r="K61" s="8" t="s">
        <v>50</v>
      </c>
      <c r="L61" s="1" t="s">
        <v>194</v>
      </c>
      <c r="M61" s="8">
        <v>0.53</v>
      </c>
      <c r="N61" s="8">
        <v>656</v>
      </c>
      <c r="O61" s="8">
        <f t="shared" si="0"/>
        <v>1.7972602739726027</v>
      </c>
      <c r="P61" s="8">
        <v>1007</v>
      </c>
      <c r="Q61" s="8">
        <f t="shared" si="1"/>
        <v>2.7589041095890412</v>
      </c>
      <c r="R61" s="8">
        <v>17</v>
      </c>
      <c r="S61" s="9">
        <f t="shared" si="4"/>
        <v>0.29489329268292686</v>
      </c>
      <c r="T61" s="9">
        <f t="shared" si="5"/>
        <v>0.19210526315789475</v>
      </c>
    </row>
    <row r="62" spans="1:20" ht="34" x14ac:dyDescent="0.2">
      <c r="A62" s="8">
        <v>53</v>
      </c>
      <c r="B62" s="8" t="s">
        <v>44</v>
      </c>
      <c r="C62" s="8">
        <v>2016</v>
      </c>
      <c r="D62" s="8" t="s">
        <v>188</v>
      </c>
      <c r="E62" s="8" t="s">
        <v>158</v>
      </c>
      <c r="F62" s="8" t="s">
        <v>195</v>
      </c>
      <c r="G62" s="8">
        <f>5+42/60</f>
        <v>5.7</v>
      </c>
      <c r="H62" s="8">
        <f>45+11/60</f>
        <v>45.18333333333333</v>
      </c>
      <c r="I62" s="8" t="s">
        <v>48</v>
      </c>
      <c r="J62" s="8" t="s">
        <v>196</v>
      </c>
      <c r="K62" s="8" t="s">
        <v>50</v>
      </c>
      <c r="L62" s="1" t="s">
        <v>197</v>
      </c>
      <c r="M62" s="8">
        <v>0.48</v>
      </c>
      <c r="N62" s="8"/>
      <c r="O62" s="8"/>
      <c r="P62" s="8"/>
      <c r="Q62" s="8"/>
      <c r="R62" s="8">
        <v>215</v>
      </c>
      <c r="S62" s="9" t="str">
        <f t="shared" si="4"/>
        <v/>
      </c>
      <c r="T62" s="9" t="str">
        <f t="shared" si="5"/>
        <v/>
      </c>
    </row>
    <row r="63" spans="1:20" ht="51" x14ac:dyDescent="0.2">
      <c r="A63" s="8">
        <v>54</v>
      </c>
      <c r="B63" s="8" t="s">
        <v>198</v>
      </c>
      <c r="C63" s="8">
        <v>2008</v>
      </c>
      <c r="D63" s="8" t="s">
        <v>188</v>
      </c>
      <c r="E63" s="8" t="s">
        <v>158</v>
      </c>
      <c r="F63" s="8" t="s">
        <v>199</v>
      </c>
      <c r="G63" s="8">
        <f>-148-14/60</f>
        <v>-148.23333333333332</v>
      </c>
      <c r="H63" s="8">
        <f>-17-7/60</f>
        <v>-17.116666666666667</v>
      </c>
      <c r="I63" s="8"/>
      <c r="J63" s="8"/>
      <c r="K63" s="8" t="s">
        <v>24</v>
      </c>
      <c r="L63" s="1" t="s">
        <v>200</v>
      </c>
      <c r="M63" s="8">
        <v>0.10199999999999999</v>
      </c>
      <c r="N63" s="8">
        <v>1800</v>
      </c>
      <c r="O63" s="8">
        <f t="shared" si="0"/>
        <v>4.9315068493150687</v>
      </c>
      <c r="P63" s="8">
        <v>1750</v>
      </c>
      <c r="Q63" s="8">
        <f t="shared" si="1"/>
        <v>4.7945205479452051</v>
      </c>
      <c r="R63" s="8">
        <v>0.5</v>
      </c>
      <c r="S63" s="9">
        <f t="shared" si="4"/>
        <v>2.0683333333333331E-2</v>
      </c>
      <c r="T63" s="9">
        <f t="shared" si="5"/>
        <v>2.1274285714285714E-2</v>
      </c>
    </row>
    <row r="64" spans="1:20" ht="51" x14ac:dyDescent="0.2">
      <c r="A64" s="8">
        <v>55</v>
      </c>
      <c r="B64" s="8" t="s">
        <v>198</v>
      </c>
      <c r="C64" s="8">
        <v>2008</v>
      </c>
      <c r="D64" s="8" t="s">
        <v>188</v>
      </c>
      <c r="E64" s="8" t="s">
        <v>158</v>
      </c>
      <c r="F64" s="8" t="s">
        <v>201</v>
      </c>
      <c r="G64" s="8">
        <f>149+36/60</f>
        <v>149.6</v>
      </c>
      <c r="H64" s="8">
        <f>-17-34/60</f>
        <v>-17.566666666666666</v>
      </c>
      <c r="I64" s="8"/>
      <c r="J64" s="8"/>
      <c r="K64" s="8" t="s">
        <v>24</v>
      </c>
      <c r="L64" s="1" t="s">
        <v>200</v>
      </c>
      <c r="M64" s="8">
        <v>6.8000000000000005E-2</v>
      </c>
      <c r="N64" s="8">
        <v>1500</v>
      </c>
      <c r="O64" s="8">
        <f t="shared" si="0"/>
        <v>4.1095890410958908</v>
      </c>
      <c r="P64" s="8">
        <v>2000</v>
      </c>
      <c r="Q64" s="8">
        <f t="shared" si="1"/>
        <v>5.4794520547945202</v>
      </c>
      <c r="R64" s="8">
        <v>97</v>
      </c>
      <c r="S64" s="9">
        <f t="shared" si="4"/>
        <v>1.6546666666666664E-2</v>
      </c>
      <c r="T64" s="9">
        <f t="shared" si="5"/>
        <v>1.2410000000000001E-2</v>
      </c>
    </row>
    <row r="65" spans="1:20" x14ac:dyDescent="0.2">
      <c r="A65" s="8">
        <v>56</v>
      </c>
      <c r="B65" s="8" t="s">
        <v>198</v>
      </c>
      <c r="C65" s="8">
        <v>2006</v>
      </c>
      <c r="D65" s="8" t="s">
        <v>188</v>
      </c>
      <c r="E65" s="8" t="s">
        <v>158</v>
      </c>
      <c r="F65" s="8" t="s">
        <v>202</v>
      </c>
      <c r="G65" s="8">
        <f>-39/60</f>
        <v>-0.65</v>
      </c>
      <c r="H65" s="8">
        <f>44+47/60</f>
        <v>44.783333333333331</v>
      </c>
      <c r="I65" s="8" t="s">
        <v>203</v>
      </c>
      <c r="J65" s="8" t="s">
        <v>36</v>
      </c>
      <c r="K65" s="8" t="s">
        <v>37</v>
      </c>
      <c r="L65" s="1"/>
      <c r="M65" s="8">
        <v>4.9000000000000002E-2</v>
      </c>
      <c r="N65" s="8">
        <v>950.38</v>
      </c>
      <c r="O65" s="8">
        <f t="shared" si="0"/>
        <v>2.603780821917808</v>
      </c>
      <c r="P65" s="8">
        <v>1007</v>
      </c>
      <c r="Q65" s="8">
        <f t="shared" si="1"/>
        <v>2.7589041095890412</v>
      </c>
      <c r="R65" s="8">
        <v>17</v>
      </c>
      <c r="S65" s="9">
        <f t="shared" si="4"/>
        <v>1.8818788274164021E-2</v>
      </c>
      <c r="T65" s="9">
        <f t="shared" si="5"/>
        <v>1.7760675273088382E-2</v>
      </c>
    </row>
    <row r="66" spans="1:20" x14ac:dyDescent="0.2">
      <c r="A66" s="8">
        <v>57</v>
      </c>
      <c r="B66" s="8" t="s">
        <v>198</v>
      </c>
      <c r="C66" s="8">
        <v>2006</v>
      </c>
      <c r="D66" s="8" t="s">
        <v>188</v>
      </c>
      <c r="E66" s="8" t="s">
        <v>158</v>
      </c>
      <c r="F66" s="8" t="s">
        <v>204</v>
      </c>
      <c r="G66" s="8">
        <f>81+48/60</f>
        <v>81.8</v>
      </c>
      <c r="H66" s="8">
        <f>41+55/60</f>
        <v>41.916666666666664</v>
      </c>
      <c r="I66" s="8" t="s">
        <v>203</v>
      </c>
      <c r="J66" s="8" t="s">
        <v>36</v>
      </c>
      <c r="K66" s="8" t="s">
        <v>37</v>
      </c>
      <c r="L66" s="1"/>
      <c r="M66" s="8">
        <v>8.3000000000000004E-2</v>
      </c>
      <c r="N66" s="8">
        <v>426</v>
      </c>
      <c r="O66" s="8">
        <f t="shared" si="0"/>
        <v>1.167123287671233</v>
      </c>
      <c r="P66" s="8">
        <v>1337</v>
      </c>
      <c r="Q66" s="8">
        <f t="shared" si="1"/>
        <v>3.6630136986301371</v>
      </c>
      <c r="R66" s="8">
        <v>70</v>
      </c>
      <c r="S66" s="9">
        <f t="shared" si="4"/>
        <v>7.1115023474178404E-2</v>
      </c>
      <c r="T66" s="9">
        <f t="shared" si="5"/>
        <v>2.2658937920718027E-2</v>
      </c>
    </row>
    <row r="67" spans="1:20" x14ac:dyDescent="0.2">
      <c r="A67" s="8">
        <v>58</v>
      </c>
      <c r="B67" s="8" t="s">
        <v>198</v>
      </c>
      <c r="C67" s="8">
        <v>2006</v>
      </c>
      <c r="D67" s="8" t="s">
        <v>188</v>
      </c>
      <c r="E67" s="8" t="s">
        <v>158</v>
      </c>
      <c r="F67" s="8" t="s">
        <v>205</v>
      </c>
      <c r="G67" s="8">
        <f>1+22/60</f>
        <v>1.3666666666666667</v>
      </c>
      <c r="H67" s="8">
        <f>45+14/60</f>
        <v>45.233333333333334</v>
      </c>
      <c r="I67" s="8" t="s">
        <v>203</v>
      </c>
      <c r="J67" s="8" t="s">
        <v>36</v>
      </c>
      <c r="K67" s="8" t="s">
        <v>37</v>
      </c>
      <c r="L67" s="1"/>
      <c r="M67" s="8">
        <v>0.115</v>
      </c>
      <c r="N67" s="8">
        <v>973.1</v>
      </c>
      <c r="O67" s="8">
        <f t="shared" ref="O67:O129" si="6">IFERROR(N67/365,"")</f>
        <v>2.6660273972602742</v>
      </c>
      <c r="P67" s="8">
        <v>993</v>
      </c>
      <c r="Q67" s="8">
        <f t="shared" ref="Q67:Q128" si="7">IFERROR(P67/365,"")</f>
        <v>2.7205479452054795</v>
      </c>
      <c r="R67" s="8">
        <v>150</v>
      </c>
      <c r="S67" s="9">
        <f t="shared" si="4"/>
        <v>4.3135340663857775E-2</v>
      </c>
      <c r="T67" s="9">
        <f t="shared" si="5"/>
        <v>4.2270896273917426E-2</v>
      </c>
    </row>
    <row r="68" spans="1:20" x14ac:dyDescent="0.2">
      <c r="A68" s="8">
        <v>59</v>
      </c>
      <c r="B68" s="8" t="s">
        <v>198</v>
      </c>
      <c r="C68" s="8">
        <v>2006</v>
      </c>
      <c r="D68" s="8" t="s">
        <v>188</v>
      </c>
      <c r="E68" s="8" t="s">
        <v>158</v>
      </c>
      <c r="F68" s="8" t="s">
        <v>206</v>
      </c>
      <c r="G68" s="8">
        <f>-149-35/60</f>
        <v>-149.58333333333334</v>
      </c>
      <c r="H68" s="8">
        <f>-17-33/60</f>
        <v>-17.55</v>
      </c>
      <c r="I68" s="8" t="s">
        <v>203</v>
      </c>
      <c r="J68" s="8" t="s">
        <v>36</v>
      </c>
      <c r="K68" s="8" t="s">
        <v>37</v>
      </c>
      <c r="L68" s="1"/>
      <c r="M68" s="8">
        <v>9.9000000000000005E-2</v>
      </c>
      <c r="N68" s="8">
        <v>1500</v>
      </c>
      <c r="O68" s="8">
        <f t="shared" si="6"/>
        <v>4.1095890410958908</v>
      </c>
      <c r="P68" s="8">
        <v>2000</v>
      </c>
      <c r="Q68" s="8">
        <f t="shared" si="7"/>
        <v>5.4794520547945202</v>
      </c>
      <c r="R68" s="8">
        <v>200</v>
      </c>
      <c r="S68" s="9">
        <f t="shared" si="4"/>
        <v>2.4089999999999997E-2</v>
      </c>
      <c r="T68" s="9">
        <f t="shared" si="5"/>
        <v>1.80675E-2</v>
      </c>
    </row>
    <row r="69" spans="1:20" ht="68" x14ac:dyDescent="0.2">
      <c r="A69" s="8">
        <v>60</v>
      </c>
      <c r="B69" s="8" t="s">
        <v>198</v>
      </c>
      <c r="C69" s="8">
        <v>2006</v>
      </c>
      <c r="D69" s="8" t="s">
        <v>188</v>
      </c>
      <c r="E69" s="8" t="s">
        <v>158</v>
      </c>
      <c r="F69" s="8" t="s">
        <v>207</v>
      </c>
      <c r="G69" s="8">
        <f>15+13/60</f>
        <v>15.216666666666667</v>
      </c>
      <c r="H69" s="8">
        <f>48+8/60</f>
        <v>48.133333333333333</v>
      </c>
      <c r="I69" s="1" t="s">
        <v>208</v>
      </c>
      <c r="J69" s="8" t="s">
        <v>36</v>
      </c>
      <c r="K69" s="8" t="s">
        <v>37</v>
      </c>
      <c r="L69" s="1"/>
      <c r="M69" s="8">
        <v>0.16600000000000001</v>
      </c>
      <c r="N69" s="8">
        <v>917</v>
      </c>
      <c r="O69" s="8">
        <f t="shared" si="6"/>
        <v>2.5123287671232877</v>
      </c>
      <c r="P69" s="8">
        <v>850</v>
      </c>
      <c r="Q69" s="8">
        <f t="shared" si="7"/>
        <v>2.3287671232876712</v>
      </c>
      <c r="R69" s="8">
        <v>11</v>
      </c>
      <c r="S69" s="9">
        <f t="shared" si="4"/>
        <v>6.6074154852780814E-2</v>
      </c>
      <c r="T69" s="9">
        <f t="shared" si="5"/>
        <v>7.1282352941176477E-2</v>
      </c>
    </row>
    <row r="70" spans="1:20" ht="68" x14ac:dyDescent="0.2">
      <c r="A70" s="8">
        <v>61</v>
      </c>
      <c r="B70" s="8" t="s">
        <v>198</v>
      </c>
      <c r="C70" s="8">
        <v>2006</v>
      </c>
      <c r="D70" s="8" t="s">
        <v>188</v>
      </c>
      <c r="E70" s="8" t="s">
        <v>158</v>
      </c>
      <c r="F70" s="8" t="s">
        <v>209</v>
      </c>
      <c r="G70" s="8">
        <f>18+5/60</f>
        <v>18.083333333333332</v>
      </c>
      <c r="H70" s="8">
        <f>42+39/60</f>
        <v>42.65</v>
      </c>
      <c r="I70" s="1" t="s">
        <v>208</v>
      </c>
      <c r="J70" s="8" t="s">
        <v>36</v>
      </c>
      <c r="K70" s="8" t="s">
        <v>37</v>
      </c>
      <c r="L70" s="1"/>
      <c r="M70" s="8">
        <v>0.17699999999999999</v>
      </c>
      <c r="N70" s="8">
        <v>1363.1300014177966</v>
      </c>
      <c r="O70" s="8">
        <f t="shared" si="6"/>
        <v>3.7346027436104019</v>
      </c>
      <c r="P70" s="8">
        <v>1448</v>
      </c>
      <c r="Q70" s="8">
        <f t="shared" si="7"/>
        <v>3.967123287671233</v>
      </c>
      <c r="R70" s="8">
        <v>10</v>
      </c>
      <c r="S70" s="9">
        <f t="shared" si="4"/>
        <v>4.7394599145205586E-2</v>
      </c>
      <c r="T70" s="9">
        <f t="shared" si="5"/>
        <v>4.4616712707182316E-2</v>
      </c>
    </row>
    <row r="71" spans="1:20" x14ac:dyDescent="0.2">
      <c r="A71" s="8">
        <v>62</v>
      </c>
      <c r="B71" s="8" t="s">
        <v>198</v>
      </c>
      <c r="C71" s="8">
        <v>2006</v>
      </c>
      <c r="D71" s="8" t="s">
        <v>188</v>
      </c>
      <c r="E71" s="8" t="s">
        <v>158</v>
      </c>
      <c r="F71" s="8" t="s">
        <v>210</v>
      </c>
      <c r="G71" s="8">
        <f>16+6/60</f>
        <v>16.100000000000001</v>
      </c>
      <c r="H71" s="8">
        <f>43+8/60</f>
        <v>43.133333333333333</v>
      </c>
      <c r="I71" s="8" t="s">
        <v>208</v>
      </c>
      <c r="J71" s="8" t="s">
        <v>36</v>
      </c>
      <c r="K71" s="8" t="s">
        <v>37</v>
      </c>
      <c r="L71" s="1"/>
      <c r="M71" s="8">
        <v>6.8000000000000005E-2</v>
      </c>
      <c r="N71" s="8">
        <v>652.4</v>
      </c>
      <c r="O71" s="8">
        <f t="shared" si="6"/>
        <v>1.7873972602739725</v>
      </c>
      <c r="P71" s="8"/>
      <c r="Q71" s="8"/>
      <c r="R71" s="8">
        <v>11</v>
      </c>
      <c r="S71" s="9">
        <f t="shared" si="4"/>
        <v>3.8044144696505217E-2</v>
      </c>
      <c r="T71" s="9" t="str">
        <f t="shared" si="5"/>
        <v/>
      </c>
    </row>
    <row r="72" spans="1:20" ht="119" x14ac:dyDescent="0.2">
      <c r="A72" s="8">
        <v>110</v>
      </c>
      <c r="B72" s="1" t="s">
        <v>211</v>
      </c>
      <c r="C72" s="8">
        <v>2006</v>
      </c>
      <c r="D72" s="8" t="s">
        <v>188</v>
      </c>
      <c r="E72" s="8" t="s">
        <v>158</v>
      </c>
      <c r="F72" s="8" t="s">
        <v>212</v>
      </c>
      <c r="G72" s="8">
        <f>8+48/60</f>
        <v>8.8000000000000007</v>
      </c>
      <c r="H72" s="8">
        <f>41+55/60</f>
        <v>41.916666666666664</v>
      </c>
      <c r="I72" s="8" t="s">
        <v>50</v>
      </c>
      <c r="J72" s="8" t="s">
        <v>213</v>
      </c>
      <c r="K72" s="8" t="s">
        <v>50</v>
      </c>
      <c r="L72" s="1" t="s">
        <v>214</v>
      </c>
      <c r="M72" s="8">
        <v>0.11799999999999999</v>
      </c>
      <c r="N72" s="8">
        <v>656.72333374544996</v>
      </c>
      <c r="O72" s="8">
        <f t="shared" si="6"/>
        <v>1.7992420102615068</v>
      </c>
      <c r="P72" s="8">
        <v>1246</v>
      </c>
      <c r="Q72" s="8">
        <f t="shared" si="7"/>
        <v>3.4136986301369863</v>
      </c>
      <c r="R72" s="8">
        <v>70</v>
      </c>
      <c r="S72" s="9">
        <f t="shared" ref="S72:S135" si="8">IFERROR(M72/O72,"")</f>
        <v>6.5583172984522278E-2</v>
      </c>
      <c r="T72" s="9">
        <f t="shared" ref="T72:T135" si="9">IFERROR(M72/Q72,"")</f>
        <v>3.456661316211878E-2</v>
      </c>
    </row>
    <row r="73" spans="1:20" ht="119" x14ac:dyDescent="0.2">
      <c r="A73" s="8">
        <v>111</v>
      </c>
      <c r="B73" s="1" t="s">
        <v>211</v>
      </c>
      <c r="C73" s="8">
        <v>2006</v>
      </c>
      <c r="D73" s="8" t="s">
        <v>188</v>
      </c>
      <c r="E73" s="8" t="s">
        <v>158</v>
      </c>
      <c r="F73" s="8" t="s">
        <v>212</v>
      </c>
      <c r="G73" s="8">
        <f>8+48/60</f>
        <v>8.8000000000000007</v>
      </c>
      <c r="H73" s="8">
        <f>41+55/60</f>
        <v>41.916666666666664</v>
      </c>
      <c r="I73" s="8" t="s">
        <v>50</v>
      </c>
      <c r="J73" s="8" t="s">
        <v>215</v>
      </c>
      <c r="K73" s="8" t="s">
        <v>50</v>
      </c>
      <c r="L73" s="1" t="s">
        <v>216</v>
      </c>
      <c r="M73" s="8">
        <v>0.111</v>
      </c>
      <c r="N73" s="8">
        <v>656.72333374544996</v>
      </c>
      <c r="O73" s="8">
        <f t="shared" si="6"/>
        <v>1.7992420102615068</v>
      </c>
      <c r="P73" s="8">
        <v>1246</v>
      </c>
      <c r="Q73" s="8">
        <f t="shared" si="7"/>
        <v>3.4136986301369863</v>
      </c>
      <c r="R73" s="8">
        <v>70</v>
      </c>
      <c r="S73" s="9">
        <f t="shared" si="8"/>
        <v>6.1692645773576041E-2</v>
      </c>
      <c r="T73" s="9">
        <f t="shared" si="9"/>
        <v>3.2516051364365972E-2</v>
      </c>
    </row>
    <row r="74" spans="1:20" ht="68" x14ac:dyDescent="0.2">
      <c r="A74" s="8">
        <v>142</v>
      </c>
      <c r="B74" s="8" t="s">
        <v>217</v>
      </c>
      <c r="C74" s="8">
        <v>2008</v>
      </c>
      <c r="D74" s="8" t="s">
        <v>188</v>
      </c>
      <c r="E74" s="8" t="s">
        <v>158</v>
      </c>
      <c r="F74" s="8" t="s">
        <v>218</v>
      </c>
      <c r="G74" s="8">
        <f>149+36/60</f>
        <v>149.6</v>
      </c>
      <c r="H74" s="8">
        <f>-17-34/60</f>
        <v>-17.566666666666666</v>
      </c>
      <c r="I74" s="8" t="s">
        <v>219</v>
      </c>
      <c r="J74" s="1" t="s">
        <v>220</v>
      </c>
      <c r="K74" s="8" t="s">
        <v>37</v>
      </c>
      <c r="L74" s="1" t="s">
        <v>221</v>
      </c>
      <c r="M74" s="8"/>
      <c r="N74" s="8"/>
      <c r="O74" s="8"/>
      <c r="P74" s="8"/>
      <c r="Q74" s="8"/>
      <c r="R74" s="8"/>
      <c r="S74" s="9" t="str">
        <f t="shared" si="8"/>
        <v/>
      </c>
      <c r="T74" s="9" t="str">
        <f t="shared" si="9"/>
        <v/>
      </c>
    </row>
    <row r="75" spans="1:20" x14ac:dyDescent="0.2">
      <c r="A75" s="8">
        <v>153</v>
      </c>
      <c r="B75" s="8" t="s">
        <v>222</v>
      </c>
      <c r="C75" s="8">
        <v>2006</v>
      </c>
      <c r="D75" s="8" t="s">
        <v>188</v>
      </c>
      <c r="E75" s="8" t="s">
        <v>158</v>
      </c>
      <c r="F75" s="8" t="s">
        <v>223</v>
      </c>
      <c r="G75" s="8">
        <v>-0.65805555555555495</v>
      </c>
      <c r="H75" s="8">
        <v>44.795833333333299</v>
      </c>
      <c r="I75" s="8" t="s">
        <v>224</v>
      </c>
      <c r="J75" s="8" t="s">
        <v>225</v>
      </c>
      <c r="K75" s="8" t="s">
        <v>50</v>
      </c>
      <c r="L75" s="1"/>
      <c r="M75" s="8"/>
      <c r="N75" s="8"/>
      <c r="O75" s="8"/>
      <c r="P75" s="8"/>
      <c r="Q75" s="8"/>
      <c r="R75" s="8">
        <v>17</v>
      </c>
      <c r="S75" s="9" t="str">
        <f t="shared" si="8"/>
        <v/>
      </c>
      <c r="T75" s="9" t="str">
        <f t="shared" si="9"/>
        <v/>
      </c>
    </row>
    <row r="76" spans="1:20" ht="204" x14ac:dyDescent="0.2">
      <c r="A76" s="8">
        <v>63</v>
      </c>
      <c r="B76" s="1" t="s">
        <v>226</v>
      </c>
      <c r="C76" s="8">
        <v>2022</v>
      </c>
      <c r="D76" s="8" t="s">
        <v>227</v>
      </c>
      <c r="E76" s="8" t="s">
        <v>27</v>
      </c>
      <c r="F76" s="8" t="s">
        <v>228</v>
      </c>
      <c r="G76" s="8">
        <f>-148-14/60</f>
        <v>-148.23333333333332</v>
      </c>
      <c r="H76" s="8">
        <f>-14-7/60</f>
        <v>-14.116666666666667</v>
      </c>
      <c r="I76" s="8"/>
      <c r="J76" s="8"/>
      <c r="K76" s="8" t="s">
        <v>24</v>
      </c>
      <c r="L76" s="1" t="s">
        <v>229</v>
      </c>
      <c r="M76" s="8">
        <v>0.10199999999999999</v>
      </c>
      <c r="N76" s="8">
        <v>1800</v>
      </c>
      <c r="O76" s="8">
        <f t="shared" si="6"/>
        <v>4.9315068493150687</v>
      </c>
      <c r="P76" s="8">
        <v>1750</v>
      </c>
      <c r="Q76" s="8">
        <f t="shared" si="7"/>
        <v>4.7945205479452051</v>
      </c>
      <c r="R76" s="8">
        <v>1121</v>
      </c>
      <c r="S76" s="9">
        <f t="shared" si="8"/>
        <v>2.0683333333333331E-2</v>
      </c>
      <c r="T76" s="9">
        <f t="shared" si="9"/>
        <v>2.1274285714285714E-2</v>
      </c>
    </row>
    <row r="77" spans="1:20" ht="204" x14ac:dyDescent="0.2">
      <c r="A77" s="8">
        <v>64</v>
      </c>
      <c r="B77" s="1" t="s">
        <v>226</v>
      </c>
      <c r="C77" s="8">
        <v>2022</v>
      </c>
      <c r="D77" s="8" t="s">
        <v>227</v>
      </c>
      <c r="E77" s="8" t="s">
        <v>27</v>
      </c>
      <c r="F77" s="8" t="s">
        <v>230</v>
      </c>
      <c r="G77" s="8">
        <f>-149-36/60</f>
        <v>-149.6</v>
      </c>
      <c r="H77" s="8">
        <f>-17-34/60</f>
        <v>-17.566666666666666</v>
      </c>
      <c r="I77" s="8"/>
      <c r="J77" s="8"/>
      <c r="K77" s="8" t="s">
        <v>24</v>
      </c>
      <c r="L77" s="1" t="s">
        <v>229</v>
      </c>
      <c r="M77" s="8">
        <v>7.0000000000000007E-2</v>
      </c>
      <c r="N77" s="8">
        <v>1536.3433338801099</v>
      </c>
      <c r="O77" s="8">
        <f t="shared" si="6"/>
        <v>4.2091598188496162</v>
      </c>
      <c r="P77" s="8">
        <v>1501</v>
      </c>
      <c r="Q77" s="8">
        <f t="shared" si="7"/>
        <v>4.1123287671232873</v>
      </c>
      <c r="R77" s="8">
        <v>64</v>
      </c>
      <c r="S77" s="9">
        <f t="shared" si="8"/>
        <v>1.6630397279410347E-2</v>
      </c>
      <c r="T77" s="9">
        <f t="shared" si="9"/>
        <v>1.70219853431046E-2</v>
      </c>
    </row>
    <row r="78" spans="1:20" ht="34" x14ac:dyDescent="0.2">
      <c r="A78" s="8">
        <v>65</v>
      </c>
      <c r="B78" s="8" t="s">
        <v>44</v>
      </c>
      <c r="C78" s="8">
        <v>2016</v>
      </c>
      <c r="D78" s="8" t="s">
        <v>227</v>
      </c>
      <c r="E78" s="8" t="s">
        <v>27</v>
      </c>
      <c r="F78" s="8" t="s">
        <v>231</v>
      </c>
      <c r="G78" s="8">
        <f>149+36/60</f>
        <v>149.6</v>
      </c>
      <c r="H78" s="8">
        <f>-17-34/60</f>
        <v>-17.566666666666666</v>
      </c>
      <c r="I78" s="8" t="s">
        <v>48</v>
      </c>
      <c r="J78" s="8" t="s">
        <v>232</v>
      </c>
      <c r="K78" s="8" t="s">
        <v>50</v>
      </c>
      <c r="L78" s="1" t="s">
        <v>233</v>
      </c>
      <c r="M78" s="8">
        <v>0.94</v>
      </c>
      <c r="N78" s="8">
        <v>1536.3433338801099</v>
      </c>
      <c r="O78" s="8">
        <f t="shared" si="6"/>
        <v>4.2091598188496162</v>
      </c>
      <c r="P78" s="8">
        <v>1501</v>
      </c>
      <c r="Q78" s="8">
        <f t="shared" si="7"/>
        <v>4.1123287671232873</v>
      </c>
      <c r="R78" s="8">
        <v>97</v>
      </c>
      <c r="S78" s="9">
        <f t="shared" si="8"/>
        <v>0.22332247775208178</v>
      </c>
      <c r="T78" s="9">
        <f t="shared" si="9"/>
        <v>0.22858094603597603</v>
      </c>
    </row>
    <row r="79" spans="1:20" ht="51" x14ac:dyDescent="0.2">
      <c r="A79" s="8">
        <v>66</v>
      </c>
      <c r="B79" s="8" t="s">
        <v>32</v>
      </c>
      <c r="C79" s="8">
        <v>2018</v>
      </c>
      <c r="D79" s="8" t="s">
        <v>234</v>
      </c>
      <c r="E79" s="8" t="s">
        <v>158</v>
      </c>
      <c r="F79" s="8" t="s">
        <v>235</v>
      </c>
      <c r="G79" s="8">
        <v>14.1030555555555</v>
      </c>
      <c r="H79" s="8">
        <v>47.494444444444397</v>
      </c>
      <c r="I79" s="8" t="s">
        <v>35</v>
      </c>
      <c r="J79" s="8" t="s">
        <v>36</v>
      </c>
      <c r="K79" s="8" t="s">
        <v>37</v>
      </c>
      <c r="L79" s="1" t="s">
        <v>38</v>
      </c>
      <c r="M79" s="8">
        <v>0.16274</v>
      </c>
      <c r="N79" s="8">
        <v>1084.5</v>
      </c>
      <c r="O79" s="8">
        <f t="shared" si="6"/>
        <v>2.9712328767123286</v>
      </c>
      <c r="P79" s="8">
        <v>737</v>
      </c>
      <c r="Q79" s="8">
        <f t="shared" si="7"/>
        <v>2.0191780821917806</v>
      </c>
      <c r="R79" s="8"/>
      <c r="S79" s="9">
        <f t="shared" si="8"/>
        <v>5.4771876440756109E-2</v>
      </c>
      <c r="T79" s="9">
        <f t="shared" si="9"/>
        <v>8.0597150610583451E-2</v>
      </c>
    </row>
    <row r="80" spans="1:20" ht="238" x14ac:dyDescent="0.2">
      <c r="A80" s="8">
        <v>67</v>
      </c>
      <c r="B80" s="1" t="s">
        <v>236</v>
      </c>
      <c r="C80" s="8">
        <v>2009</v>
      </c>
      <c r="D80" s="8" t="s">
        <v>234</v>
      </c>
      <c r="E80" s="8" t="s">
        <v>158</v>
      </c>
      <c r="F80" s="8" t="s">
        <v>237</v>
      </c>
      <c r="G80" s="8">
        <v>13.9928873768097</v>
      </c>
      <c r="H80" s="8">
        <v>53.039492676633003</v>
      </c>
      <c r="I80" s="8" t="s">
        <v>238</v>
      </c>
      <c r="J80" s="8" t="s">
        <v>36</v>
      </c>
      <c r="K80" s="8" t="s">
        <v>37</v>
      </c>
      <c r="L80" s="1" t="s">
        <v>239</v>
      </c>
      <c r="M80" s="8">
        <v>0.17</v>
      </c>
      <c r="N80" s="8">
        <v>588</v>
      </c>
      <c r="O80" s="8">
        <f t="shared" si="6"/>
        <v>1.6109589041095891</v>
      </c>
      <c r="P80" s="8">
        <v>789</v>
      </c>
      <c r="Q80" s="8">
        <f t="shared" si="7"/>
        <v>2.1616438356164385</v>
      </c>
      <c r="R80" s="8"/>
      <c r="S80" s="9">
        <f t="shared" si="8"/>
        <v>0.10552721088435374</v>
      </c>
      <c r="T80" s="9">
        <f t="shared" si="9"/>
        <v>7.8643852978453735E-2</v>
      </c>
    </row>
    <row r="81" spans="1:20" x14ac:dyDescent="0.2">
      <c r="A81" s="8">
        <v>124</v>
      </c>
      <c r="B81" s="8" t="s">
        <v>240</v>
      </c>
      <c r="C81" s="8">
        <v>1980</v>
      </c>
      <c r="D81" s="8" t="s">
        <v>234</v>
      </c>
      <c r="E81" s="8" t="s">
        <v>158</v>
      </c>
      <c r="F81" s="8" t="s">
        <v>241</v>
      </c>
      <c r="G81" s="8">
        <v>9.9734999999999996</v>
      </c>
      <c r="H81" s="8">
        <v>49.7819</v>
      </c>
      <c r="I81" s="8" t="s">
        <v>85</v>
      </c>
      <c r="J81" s="8" t="s">
        <v>242</v>
      </c>
      <c r="K81" s="8" t="s">
        <v>85</v>
      </c>
      <c r="L81" s="1"/>
      <c r="M81" s="8"/>
      <c r="N81" s="8"/>
      <c r="O81" s="8"/>
      <c r="P81" s="8"/>
      <c r="Q81" s="8"/>
      <c r="R81" s="8"/>
      <c r="S81" s="9" t="str">
        <f t="shared" si="8"/>
        <v/>
      </c>
      <c r="T81" s="9" t="str">
        <f t="shared" si="9"/>
        <v/>
      </c>
    </row>
    <row r="82" spans="1:20" ht="136" x14ac:dyDescent="0.2">
      <c r="A82" s="8">
        <v>155</v>
      </c>
      <c r="B82" s="8" t="s">
        <v>243</v>
      </c>
      <c r="C82" s="8">
        <v>1990</v>
      </c>
      <c r="D82" s="8" t="s">
        <v>234</v>
      </c>
      <c r="E82" s="8" t="s">
        <v>158</v>
      </c>
      <c r="F82" s="8" t="s">
        <v>244</v>
      </c>
      <c r="G82" s="8">
        <f>11+35/60</f>
        <v>11.583333333333334</v>
      </c>
      <c r="H82" s="8">
        <f>49+55/60+45/3600</f>
        <v>49.929166666666667</v>
      </c>
      <c r="I82" s="8" t="s">
        <v>245</v>
      </c>
      <c r="J82" s="8" t="s">
        <v>246</v>
      </c>
      <c r="K82" s="8" t="s">
        <v>50</v>
      </c>
      <c r="L82" s="1" t="s">
        <v>247</v>
      </c>
      <c r="M82" s="8"/>
      <c r="N82" s="8"/>
      <c r="O82" s="8"/>
      <c r="P82" s="8"/>
      <c r="Q82" s="8"/>
      <c r="R82" s="8"/>
      <c r="S82" s="9" t="str">
        <f t="shared" si="8"/>
        <v/>
      </c>
      <c r="T82" s="9" t="str">
        <f t="shared" si="9"/>
        <v/>
      </c>
    </row>
    <row r="83" spans="1:20" ht="136" x14ac:dyDescent="0.2">
      <c r="A83" s="8">
        <v>156</v>
      </c>
      <c r="B83" s="8" t="s">
        <v>243</v>
      </c>
      <c r="C83" s="8">
        <v>1990</v>
      </c>
      <c r="D83" s="8" t="s">
        <v>234</v>
      </c>
      <c r="E83" s="8" t="s">
        <v>158</v>
      </c>
      <c r="F83" s="8" t="s">
        <v>244</v>
      </c>
      <c r="G83" s="8">
        <f>11+45/60+45/3600</f>
        <v>11.762499999999999</v>
      </c>
      <c r="H83" s="8">
        <f>50+3/60+54/3600</f>
        <v>50.064999999999998</v>
      </c>
      <c r="I83" s="8" t="s">
        <v>245</v>
      </c>
      <c r="J83" s="8" t="s">
        <v>246</v>
      </c>
      <c r="K83" s="8" t="s">
        <v>50</v>
      </c>
      <c r="L83" s="1" t="s">
        <v>247</v>
      </c>
      <c r="M83" s="8"/>
      <c r="N83" s="8"/>
      <c r="O83" s="8"/>
      <c r="P83" s="8"/>
      <c r="Q83" s="8"/>
      <c r="R83" s="8"/>
      <c r="S83" s="9" t="str">
        <f t="shared" si="8"/>
        <v/>
      </c>
      <c r="T83" s="9" t="str">
        <f t="shared" si="9"/>
        <v/>
      </c>
    </row>
    <row r="84" spans="1:20" ht="34" x14ac:dyDescent="0.2">
      <c r="A84" s="8">
        <v>68</v>
      </c>
      <c r="B84" s="8" t="s">
        <v>44</v>
      </c>
      <c r="C84" s="8">
        <v>2016</v>
      </c>
      <c r="D84" s="8" t="s">
        <v>248</v>
      </c>
      <c r="E84" s="8" t="s">
        <v>46</v>
      </c>
      <c r="F84" s="8" t="s">
        <v>249</v>
      </c>
      <c r="G84" s="8">
        <f>68+55/60</f>
        <v>68.916666666666671</v>
      </c>
      <c r="H84" s="8">
        <f>23+7/60</f>
        <v>23.116666666666667</v>
      </c>
      <c r="I84" s="8" t="s">
        <v>48</v>
      </c>
      <c r="J84" s="8" t="s">
        <v>250</v>
      </c>
      <c r="K84" s="8" t="s">
        <v>50</v>
      </c>
      <c r="L84" s="1" t="s">
        <v>251</v>
      </c>
      <c r="M84" s="8">
        <v>0.66</v>
      </c>
      <c r="N84" s="8">
        <v>354.46666590546602</v>
      </c>
      <c r="O84" s="8">
        <f t="shared" si="6"/>
        <v>0.97114155042593431</v>
      </c>
      <c r="P84" s="8">
        <v>2110</v>
      </c>
      <c r="Q84" s="8">
        <f t="shared" si="7"/>
        <v>5.7808219178082192</v>
      </c>
      <c r="R84" s="8">
        <v>21</v>
      </c>
      <c r="S84" s="9">
        <f t="shared" si="8"/>
        <v>0.67961256493508049</v>
      </c>
      <c r="T84" s="9">
        <f t="shared" si="9"/>
        <v>0.11417061611374409</v>
      </c>
    </row>
    <row r="85" spans="1:20" ht="136" x14ac:dyDescent="0.2">
      <c r="A85" s="8">
        <v>69</v>
      </c>
      <c r="B85" s="1" t="s">
        <v>252</v>
      </c>
      <c r="C85" s="8">
        <v>2006</v>
      </c>
      <c r="D85" s="1" t="s">
        <v>248</v>
      </c>
      <c r="E85" s="8" t="s">
        <v>46</v>
      </c>
      <c r="F85" s="1" t="s">
        <v>253</v>
      </c>
      <c r="G85" s="10">
        <f>68+45/60</f>
        <v>68.75</v>
      </c>
      <c r="H85" s="8">
        <f>23+14/60</f>
        <v>23.233333333333334</v>
      </c>
      <c r="I85" s="8"/>
      <c r="J85" s="8" t="s">
        <v>254</v>
      </c>
      <c r="K85" s="8" t="s">
        <v>24</v>
      </c>
      <c r="L85" s="1" t="s">
        <v>255</v>
      </c>
      <c r="M85" s="8">
        <v>1.575E-2</v>
      </c>
      <c r="N85" s="8">
        <v>300</v>
      </c>
      <c r="O85" s="8">
        <f t="shared" si="6"/>
        <v>0.82191780821917804</v>
      </c>
      <c r="P85" s="8">
        <v>2114</v>
      </c>
      <c r="Q85" s="8">
        <f t="shared" si="7"/>
        <v>5.7917808219178086</v>
      </c>
      <c r="R85" s="8">
        <v>21</v>
      </c>
      <c r="S85" s="9">
        <f t="shared" si="8"/>
        <v>1.9162500000000002E-2</v>
      </c>
      <c r="T85" s="9">
        <f t="shared" si="9"/>
        <v>2.7193708609271521E-3</v>
      </c>
    </row>
    <row r="86" spans="1:20" ht="85" x14ac:dyDescent="0.2">
      <c r="A86" s="8">
        <v>70</v>
      </c>
      <c r="B86" s="8" t="s">
        <v>256</v>
      </c>
      <c r="C86" s="8">
        <v>2000</v>
      </c>
      <c r="D86" s="8" t="s">
        <v>248</v>
      </c>
      <c r="E86" s="8" t="s">
        <v>46</v>
      </c>
      <c r="F86" s="8" t="s">
        <v>257</v>
      </c>
      <c r="G86" s="8">
        <f>78+5/60</f>
        <v>78.083333333333329</v>
      </c>
      <c r="H86" s="8">
        <f>27+10/60</f>
        <v>27.166666666666668</v>
      </c>
      <c r="I86" s="8" t="s">
        <v>258</v>
      </c>
      <c r="J86" s="8" t="s">
        <v>259</v>
      </c>
      <c r="K86" s="8" t="s">
        <v>37</v>
      </c>
      <c r="L86" s="1" t="s">
        <v>260</v>
      </c>
      <c r="M86" s="8">
        <v>0.59</v>
      </c>
      <c r="N86" s="8">
        <v>648.38000220581898</v>
      </c>
      <c r="O86" s="8">
        <f t="shared" si="6"/>
        <v>1.7763835676871753</v>
      </c>
      <c r="P86" s="8">
        <v>1847</v>
      </c>
      <c r="Q86" s="8">
        <f t="shared" si="7"/>
        <v>5.0602739726027401</v>
      </c>
      <c r="R86" s="8"/>
      <c r="S86" s="9">
        <f t="shared" si="8"/>
        <v>0.33213547497974838</v>
      </c>
      <c r="T86" s="9">
        <f t="shared" si="9"/>
        <v>0.11659447753113154</v>
      </c>
    </row>
    <row r="87" spans="1:20" ht="85" x14ac:dyDescent="0.2">
      <c r="A87" s="8">
        <v>125</v>
      </c>
      <c r="B87" s="8" t="s">
        <v>256</v>
      </c>
      <c r="C87" s="8">
        <v>2000</v>
      </c>
      <c r="D87" s="8" t="s">
        <v>248</v>
      </c>
      <c r="E87" s="8" t="s">
        <v>46</v>
      </c>
      <c r="F87" s="8" t="s">
        <v>257</v>
      </c>
      <c r="G87" s="8">
        <f>78+5/60</f>
        <v>78.083333333333329</v>
      </c>
      <c r="H87" s="8">
        <f>27+10/60</f>
        <v>27.166666666666668</v>
      </c>
      <c r="I87" s="8" t="s">
        <v>258</v>
      </c>
      <c r="J87" s="8" t="s">
        <v>259</v>
      </c>
      <c r="K87" s="8" t="s">
        <v>24</v>
      </c>
      <c r="L87" s="1" t="s">
        <v>260</v>
      </c>
      <c r="M87" s="8">
        <v>0.59</v>
      </c>
      <c r="N87" s="8">
        <v>648.38000220581898</v>
      </c>
      <c r="O87" s="8">
        <f t="shared" si="6"/>
        <v>1.7763835676871753</v>
      </c>
      <c r="P87" s="8">
        <v>1847</v>
      </c>
      <c r="Q87" s="8">
        <f t="shared" si="7"/>
        <v>5.0602739726027401</v>
      </c>
      <c r="R87" s="8"/>
      <c r="S87" s="9">
        <f t="shared" si="8"/>
        <v>0.33213547497974838</v>
      </c>
      <c r="T87" s="9">
        <f t="shared" si="9"/>
        <v>0.11659447753113154</v>
      </c>
    </row>
    <row r="88" spans="1:20" x14ac:dyDescent="0.2">
      <c r="A88" s="8">
        <v>160</v>
      </c>
      <c r="B88" s="8" t="s">
        <v>261</v>
      </c>
      <c r="C88" s="8">
        <v>2005</v>
      </c>
      <c r="D88" s="8" t="s">
        <v>262</v>
      </c>
      <c r="E88" s="8" t="s">
        <v>46</v>
      </c>
      <c r="F88" s="8" t="s">
        <v>263</v>
      </c>
      <c r="G88" s="8">
        <v>120.183333</v>
      </c>
      <c r="H88" s="8">
        <v>-1.4666669999999999</v>
      </c>
      <c r="I88" s="8" t="s">
        <v>264</v>
      </c>
      <c r="J88" s="8" t="s">
        <v>265</v>
      </c>
      <c r="K88" s="8" t="s">
        <v>37</v>
      </c>
      <c r="L88" s="1"/>
      <c r="M88" s="8"/>
      <c r="N88" s="8">
        <v>1830</v>
      </c>
      <c r="O88" s="8">
        <f t="shared" si="6"/>
        <v>5.0136986301369859</v>
      </c>
      <c r="P88" s="8">
        <v>1253</v>
      </c>
      <c r="Q88" s="8">
        <f t="shared" si="7"/>
        <v>3.4328767123287673</v>
      </c>
      <c r="R88" s="8">
        <v>1430</v>
      </c>
      <c r="S88" s="9">
        <f t="shared" si="8"/>
        <v>0</v>
      </c>
      <c r="T88" s="9">
        <f t="shared" si="9"/>
        <v>0</v>
      </c>
    </row>
    <row r="89" spans="1:20" ht="68" x14ac:dyDescent="0.2">
      <c r="A89" s="8">
        <v>71</v>
      </c>
      <c r="B89" s="8" t="s">
        <v>266</v>
      </c>
      <c r="C89" s="8">
        <v>2021</v>
      </c>
      <c r="D89" s="8" t="s">
        <v>267</v>
      </c>
      <c r="E89" s="8" t="s">
        <v>46</v>
      </c>
      <c r="F89" s="8" t="s">
        <v>543</v>
      </c>
      <c r="G89" s="8">
        <f>34+23/60</f>
        <v>34.383333333333333</v>
      </c>
      <c r="H89" s="8">
        <f>30+56/60</f>
        <v>30.933333333333334</v>
      </c>
      <c r="I89" s="8"/>
      <c r="J89" s="8" t="s">
        <v>268</v>
      </c>
      <c r="K89" s="8" t="s">
        <v>24</v>
      </c>
      <c r="L89" s="1" t="s">
        <v>269</v>
      </c>
      <c r="M89" s="8">
        <v>9.1670000000000001E-2</v>
      </c>
      <c r="N89" s="8">
        <v>66.5</v>
      </c>
      <c r="O89" s="8">
        <f t="shared" si="6"/>
        <v>0.18219178082191781</v>
      </c>
      <c r="P89" s="8">
        <v>2600</v>
      </c>
      <c r="Q89" s="8">
        <f t="shared" si="7"/>
        <v>7.1232876712328768</v>
      </c>
      <c r="R89" s="8">
        <v>535</v>
      </c>
      <c r="S89" s="9">
        <f t="shared" si="8"/>
        <v>0.50315112781954885</v>
      </c>
      <c r="T89" s="9">
        <f t="shared" si="9"/>
        <v>1.2869057692307692E-2</v>
      </c>
    </row>
    <row r="90" spans="1:20" ht="187" x14ac:dyDescent="0.2">
      <c r="A90" s="8">
        <v>72</v>
      </c>
      <c r="B90" s="1" t="s">
        <v>270</v>
      </c>
      <c r="C90" s="8">
        <v>2002</v>
      </c>
      <c r="D90" s="8" t="s">
        <v>267</v>
      </c>
      <c r="E90" s="8" t="s">
        <v>46</v>
      </c>
      <c r="F90" s="8" t="s">
        <v>271</v>
      </c>
      <c r="G90" s="8">
        <v>34.875700000000002</v>
      </c>
      <c r="H90" s="8">
        <v>30.714099999999998</v>
      </c>
      <c r="I90" s="8" t="s">
        <v>272</v>
      </c>
      <c r="J90" s="1" t="s">
        <v>544</v>
      </c>
      <c r="K90" s="1" t="s">
        <v>24</v>
      </c>
      <c r="L90" s="1" t="s">
        <v>273</v>
      </c>
      <c r="M90" s="8">
        <v>3.4000000000000002E-2</v>
      </c>
      <c r="N90" s="8">
        <v>95</v>
      </c>
      <c r="O90" s="8">
        <f t="shared" si="6"/>
        <v>0.26027397260273971</v>
      </c>
      <c r="P90" s="8">
        <v>2611</v>
      </c>
      <c r="Q90" s="8">
        <f t="shared" si="7"/>
        <v>7.1534246575342468</v>
      </c>
      <c r="R90" s="8"/>
      <c r="S90" s="9">
        <f t="shared" si="8"/>
        <v>0.13063157894736843</v>
      </c>
      <c r="T90" s="9">
        <f t="shared" si="9"/>
        <v>4.7529682114132521E-3</v>
      </c>
    </row>
    <row r="91" spans="1:20" ht="187" x14ac:dyDescent="0.2">
      <c r="A91" s="8">
        <v>73</v>
      </c>
      <c r="B91" s="1" t="s">
        <v>270</v>
      </c>
      <c r="C91" s="8">
        <v>2002</v>
      </c>
      <c r="D91" s="8" t="s">
        <v>267</v>
      </c>
      <c r="E91" s="8" t="s">
        <v>46</v>
      </c>
      <c r="F91" s="8" t="s">
        <v>271</v>
      </c>
      <c r="G91" s="8">
        <v>34.875700000000002</v>
      </c>
      <c r="H91" s="8">
        <v>30.714099999999998</v>
      </c>
      <c r="I91" s="8" t="s">
        <v>272</v>
      </c>
      <c r="J91" s="8" t="s">
        <v>274</v>
      </c>
      <c r="K91" s="8" t="s">
        <v>37</v>
      </c>
      <c r="L91" s="1" t="s">
        <v>275</v>
      </c>
      <c r="M91" s="8">
        <v>0.32</v>
      </c>
      <c r="N91" s="8">
        <v>95</v>
      </c>
      <c r="O91" s="8">
        <f t="shared" si="6"/>
        <v>0.26027397260273971</v>
      </c>
      <c r="P91" s="8">
        <v>2611</v>
      </c>
      <c r="Q91" s="8">
        <f t="shared" si="7"/>
        <v>7.1534246575342468</v>
      </c>
      <c r="R91" s="8"/>
      <c r="S91" s="9">
        <f t="shared" si="8"/>
        <v>1.2294736842105265</v>
      </c>
      <c r="T91" s="9">
        <f t="shared" si="9"/>
        <v>4.4733818460360016E-2</v>
      </c>
    </row>
    <row r="92" spans="1:20" ht="119" x14ac:dyDescent="0.2">
      <c r="A92" s="8">
        <v>74</v>
      </c>
      <c r="B92" s="8" t="s">
        <v>276</v>
      </c>
      <c r="C92" s="8">
        <v>2002</v>
      </c>
      <c r="D92" s="8" t="s">
        <v>267</v>
      </c>
      <c r="E92" s="8" t="s">
        <v>46</v>
      </c>
      <c r="F92" s="2" t="s">
        <v>277</v>
      </c>
      <c r="G92" s="8">
        <f>34+53/60</f>
        <v>34.883333333333333</v>
      </c>
      <c r="H92" s="8">
        <f>31+8/60</f>
        <v>31.133333333333333</v>
      </c>
      <c r="I92" s="8" t="s">
        <v>73</v>
      </c>
      <c r="J92" s="1" t="s">
        <v>278</v>
      </c>
      <c r="K92" s="1" t="s">
        <v>24</v>
      </c>
      <c r="L92" s="1" t="s">
        <v>279</v>
      </c>
      <c r="M92" s="8">
        <v>0.35</v>
      </c>
      <c r="N92" s="8">
        <v>115</v>
      </c>
      <c r="O92" s="8">
        <f t="shared" si="6"/>
        <v>0.31506849315068491</v>
      </c>
      <c r="P92" s="8">
        <v>2750</v>
      </c>
      <c r="Q92" s="8">
        <f t="shared" si="7"/>
        <v>7.5342465753424657</v>
      </c>
      <c r="R92" s="8">
        <v>400</v>
      </c>
      <c r="S92" s="9">
        <f t="shared" si="8"/>
        <v>1.1108695652173912</v>
      </c>
      <c r="T92" s="9">
        <f t="shared" si="9"/>
        <v>4.645454545454545E-2</v>
      </c>
    </row>
    <row r="93" spans="1:20" ht="51" x14ac:dyDescent="0.2">
      <c r="A93" s="8">
        <v>75</v>
      </c>
      <c r="B93" s="8" t="s">
        <v>280</v>
      </c>
      <c r="C93" s="8">
        <v>2000</v>
      </c>
      <c r="D93" s="8" t="s">
        <v>267</v>
      </c>
      <c r="E93" s="8" t="s">
        <v>46</v>
      </c>
      <c r="F93" s="8" t="s">
        <v>281</v>
      </c>
      <c r="G93" s="2">
        <v>34.875700000000002</v>
      </c>
      <c r="H93" s="2">
        <v>30.714099999999998</v>
      </c>
      <c r="I93" s="8" t="s">
        <v>282</v>
      </c>
      <c r="J93" s="8" t="s">
        <v>283</v>
      </c>
      <c r="K93" s="8" t="s">
        <v>24</v>
      </c>
      <c r="L93" s="1" t="s">
        <v>284</v>
      </c>
      <c r="M93" s="8">
        <v>0.23</v>
      </c>
      <c r="N93" s="8">
        <v>93</v>
      </c>
      <c r="O93" s="8">
        <f t="shared" si="6"/>
        <v>0.25479452054794521</v>
      </c>
      <c r="P93" s="8"/>
      <c r="Q93" s="8"/>
      <c r="R93" s="8" t="s">
        <v>285</v>
      </c>
      <c r="S93" s="9">
        <f t="shared" si="8"/>
        <v>0.90268817204301077</v>
      </c>
      <c r="T93" s="9" t="str">
        <f t="shared" si="9"/>
        <v/>
      </c>
    </row>
    <row r="94" spans="1:20" ht="51" x14ac:dyDescent="0.2">
      <c r="A94" s="8">
        <v>76</v>
      </c>
      <c r="B94" s="8" t="s">
        <v>286</v>
      </c>
      <c r="C94" s="8">
        <v>1999</v>
      </c>
      <c r="D94" s="8" t="s">
        <v>267</v>
      </c>
      <c r="E94" s="8" t="s">
        <v>46</v>
      </c>
      <c r="F94" s="8" t="s">
        <v>287</v>
      </c>
      <c r="G94" s="8">
        <v>34.422600000000003</v>
      </c>
      <c r="H94" s="8">
        <v>30.885999999999999</v>
      </c>
      <c r="I94" s="8"/>
      <c r="J94" s="8" t="s">
        <v>288</v>
      </c>
      <c r="K94" s="8" t="s">
        <v>24</v>
      </c>
      <c r="L94" s="1" t="s">
        <v>289</v>
      </c>
      <c r="M94" s="8">
        <v>0.09</v>
      </c>
      <c r="N94" s="8">
        <v>125</v>
      </c>
      <c r="O94" s="8">
        <f t="shared" si="6"/>
        <v>0.34246575342465752</v>
      </c>
      <c r="P94" s="8">
        <v>2300</v>
      </c>
      <c r="Q94" s="8">
        <f t="shared" si="7"/>
        <v>6.3013698630136989</v>
      </c>
      <c r="R94" s="8">
        <v>245</v>
      </c>
      <c r="S94" s="9">
        <f t="shared" si="8"/>
        <v>0.26279999999999998</v>
      </c>
      <c r="T94" s="9">
        <f t="shared" si="9"/>
        <v>1.4282608695652173E-2</v>
      </c>
    </row>
    <row r="95" spans="1:20" ht="51" x14ac:dyDescent="0.2">
      <c r="A95" s="8">
        <v>77</v>
      </c>
      <c r="B95" s="8" t="s">
        <v>286</v>
      </c>
      <c r="C95" s="8">
        <v>1999</v>
      </c>
      <c r="D95" s="8" t="s">
        <v>267</v>
      </c>
      <c r="E95" s="8" t="s">
        <v>46</v>
      </c>
      <c r="F95" s="8" t="s">
        <v>290</v>
      </c>
      <c r="G95" s="8">
        <v>34.793100000000003</v>
      </c>
      <c r="H95" s="8">
        <v>30.8736</v>
      </c>
      <c r="I95" s="8"/>
      <c r="J95" s="8" t="s">
        <v>288</v>
      </c>
      <c r="K95" s="8" t="s">
        <v>24</v>
      </c>
      <c r="L95" s="1" t="s">
        <v>289</v>
      </c>
      <c r="M95" s="8">
        <v>0.15</v>
      </c>
      <c r="N95" s="8">
        <v>125</v>
      </c>
      <c r="O95" s="8">
        <f t="shared" si="6"/>
        <v>0.34246575342465752</v>
      </c>
      <c r="P95" s="8"/>
      <c r="Q95" s="8"/>
      <c r="R95" s="8">
        <v>535</v>
      </c>
      <c r="S95" s="9">
        <f t="shared" si="8"/>
        <v>0.438</v>
      </c>
      <c r="T95" s="9" t="str">
        <f t="shared" si="9"/>
        <v/>
      </c>
    </row>
    <row r="96" spans="1:20" ht="51" x14ac:dyDescent="0.2">
      <c r="A96" s="8">
        <v>78</v>
      </c>
      <c r="B96" s="8" t="s">
        <v>286</v>
      </c>
      <c r="C96" s="8">
        <v>1999</v>
      </c>
      <c r="D96" s="8" t="s">
        <v>267</v>
      </c>
      <c r="E96" s="8" t="s">
        <v>46</v>
      </c>
      <c r="F96" s="8" t="s">
        <v>291</v>
      </c>
      <c r="G96" s="8">
        <v>34.5608</v>
      </c>
      <c r="H96" s="8">
        <v>30.493600000000001</v>
      </c>
      <c r="I96" s="8"/>
      <c r="J96" s="8" t="s">
        <v>288</v>
      </c>
      <c r="K96" s="8" t="s">
        <v>24</v>
      </c>
      <c r="L96" s="1" t="s">
        <v>289</v>
      </c>
      <c r="M96" s="8">
        <v>0.14000000000000001</v>
      </c>
      <c r="N96" s="8">
        <v>125</v>
      </c>
      <c r="O96" s="8">
        <f t="shared" si="6"/>
        <v>0.34246575342465752</v>
      </c>
      <c r="P96" s="8"/>
      <c r="Q96" s="8"/>
      <c r="R96" s="8">
        <v>990</v>
      </c>
      <c r="S96" s="9">
        <f t="shared" si="8"/>
        <v>0.40880000000000005</v>
      </c>
      <c r="T96" s="9" t="str">
        <f t="shared" si="9"/>
        <v/>
      </c>
    </row>
    <row r="97" spans="1:20" x14ac:dyDescent="0.2">
      <c r="A97" s="8">
        <v>117</v>
      </c>
      <c r="B97" s="8" t="s">
        <v>292</v>
      </c>
      <c r="C97" s="8">
        <v>2011</v>
      </c>
      <c r="D97" s="8" t="s">
        <v>267</v>
      </c>
      <c r="E97" s="8" t="s">
        <v>46</v>
      </c>
      <c r="F97" s="8" t="s">
        <v>293</v>
      </c>
      <c r="G97" s="8">
        <v>34.75</v>
      </c>
      <c r="H97" s="8">
        <v>30.8333333333333</v>
      </c>
      <c r="I97" s="8"/>
      <c r="J97" s="8" t="s">
        <v>294</v>
      </c>
      <c r="K97" s="2" t="s">
        <v>24</v>
      </c>
      <c r="L97" s="4"/>
      <c r="M97" s="8">
        <v>0.21</v>
      </c>
      <c r="N97" s="8">
        <v>92.263333533207458</v>
      </c>
      <c r="O97" s="8">
        <f t="shared" si="6"/>
        <v>0.25277625625536287</v>
      </c>
      <c r="P97" s="8">
        <v>2300</v>
      </c>
      <c r="Q97" s="8">
        <f t="shared" si="7"/>
        <v>6.3013698630136989</v>
      </c>
      <c r="R97" s="8" t="s">
        <v>295</v>
      </c>
      <c r="S97" s="9">
        <f t="shared" si="8"/>
        <v>0.83077423137342099</v>
      </c>
      <c r="T97" s="9">
        <f t="shared" si="9"/>
        <v>3.3326086956521735E-2</v>
      </c>
    </row>
    <row r="98" spans="1:20" x14ac:dyDescent="0.2">
      <c r="A98" s="8">
        <v>118</v>
      </c>
      <c r="B98" s="8" t="s">
        <v>292</v>
      </c>
      <c r="C98" s="8">
        <v>2011</v>
      </c>
      <c r="D98" s="8" t="s">
        <v>267</v>
      </c>
      <c r="E98" s="8" t="s">
        <v>46</v>
      </c>
      <c r="F98" s="8" t="s">
        <v>296</v>
      </c>
      <c r="G98" s="8">
        <v>34.75</v>
      </c>
      <c r="H98" s="8">
        <v>30.8333333333333</v>
      </c>
      <c r="I98" s="8"/>
      <c r="J98" s="8" t="s">
        <v>294</v>
      </c>
      <c r="K98" s="2" t="s">
        <v>24</v>
      </c>
      <c r="L98" s="4"/>
      <c r="M98" s="8">
        <v>0.1</v>
      </c>
      <c r="N98" s="8">
        <v>92.263333533207458</v>
      </c>
      <c r="O98" s="8">
        <f t="shared" si="6"/>
        <v>0.25277625625536287</v>
      </c>
      <c r="P98" s="8">
        <v>2300</v>
      </c>
      <c r="Q98" s="8">
        <f t="shared" si="7"/>
        <v>6.3013698630136989</v>
      </c>
      <c r="R98" s="8" t="s">
        <v>295</v>
      </c>
      <c r="S98" s="9">
        <f t="shared" si="8"/>
        <v>0.3956067768444862</v>
      </c>
      <c r="T98" s="9">
        <f t="shared" si="9"/>
        <v>1.5869565217391305E-2</v>
      </c>
    </row>
    <row r="99" spans="1:20" ht="51" x14ac:dyDescent="0.2">
      <c r="A99" s="8">
        <v>127</v>
      </c>
      <c r="B99" s="8" t="s">
        <v>297</v>
      </c>
      <c r="C99" s="8">
        <v>2005</v>
      </c>
      <c r="D99" s="8" t="s">
        <v>267</v>
      </c>
      <c r="E99" s="8" t="s">
        <v>46</v>
      </c>
      <c r="F99" s="8" t="s">
        <v>298</v>
      </c>
      <c r="G99" s="2">
        <v>34.875700000000002</v>
      </c>
      <c r="H99" s="2">
        <v>30.714099999999998</v>
      </c>
      <c r="I99" s="8" t="s">
        <v>299</v>
      </c>
      <c r="J99" s="8" t="s">
        <v>300</v>
      </c>
      <c r="K99" s="8" t="s">
        <v>24</v>
      </c>
      <c r="L99" s="1" t="s">
        <v>301</v>
      </c>
      <c r="M99" s="8"/>
      <c r="N99" s="8">
        <v>95</v>
      </c>
      <c r="O99" s="8">
        <f t="shared" si="6"/>
        <v>0.26027397260273971</v>
      </c>
      <c r="P99" s="8"/>
      <c r="Q99" s="8"/>
      <c r="R99" s="8">
        <v>550</v>
      </c>
      <c r="S99" s="9">
        <f t="shared" si="8"/>
        <v>0</v>
      </c>
      <c r="T99" s="9" t="str">
        <f t="shared" si="9"/>
        <v/>
      </c>
    </row>
    <row r="100" spans="1:20" ht="68" x14ac:dyDescent="0.2">
      <c r="A100" s="8">
        <v>128</v>
      </c>
      <c r="B100" s="8" t="s">
        <v>302</v>
      </c>
      <c r="C100" s="8">
        <v>2010</v>
      </c>
      <c r="D100" s="8" t="s">
        <v>267</v>
      </c>
      <c r="E100" s="8" t="s">
        <v>46</v>
      </c>
      <c r="F100" s="8" t="s">
        <v>303</v>
      </c>
      <c r="G100" s="2">
        <v>34.875700000000002</v>
      </c>
      <c r="H100" s="2">
        <v>30.714099999999998</v>
      </c>
      <c r="I100" s="8" t="s">
        <v>304</v>
      </c>
      <c r="J100" s="8" t="s">
        <v>305</v>
      </c>
      <c r="K100" s="8" t="s">
        <v>24</v>
      </c>
      <c r="L100" s="1" t="s">
        <v>306</v>
      </c>
      <c r="M100" s="8"/>
      <c r="N100" s="8"/>
      <c r="O100" s="8"/>
      <c r="P100" s="8"/>
      <c r="Q100" s="8"/>
      <c r="R100" s="8"/>
      <c r="S100" s="9" t="str">
        <f t="shared" si="8"/>
        <v/>
      </c>
      <c r="T100" s="9" t="str">
        <f t="shared" si="9"/>
        <v/>
      </c>
    </row>
    <row r="101" spans="1:20" ht="102" x14ac:dyDescent="0.2">
      <c r="A101" s="8">
        <v>129</v>
      </c>
      <c r="B101" s="8" t="s">
        <v>307</v>
      </c>
      <c r="C101" s="8">
        <v>2011</v>
      </c>
      <c r="D101" s="8" t="s">
        <v>267</v>
      </c>
      <c r="E101" s="8" t="s">
        <v>46</v>
      </c>
      <c r="F101" s="8" t="s">
        <v>308</v>
      </c>
      <c r="G101" s="2">
        <v>34.75</v>
      </c>
      <c r="H101" s="2">
        <v>30.8333333333333</v>
      </c>
      <c r="I101" s="8" t="s">
        <v>282</v>
      </c>
      <c r="J101" s="8" t="s">
        <v>309</v>
      </c>
      <c r="K101" s="8" t="s">
        <v>24</v>
      </c>
      <c r="L101" s="1" t="s">
        <v>310</v>
      </c>
      <c r="M101" s="8"/>
      <c r="N101" s="8">
        <v>95</v>
      </c>
      <c r="O101" s="8">
        <f t="shared" si="6"/>
        <v>0.26027397260273971</v>
      </c>
      <c r="P101" s="8"/>
      <c r="Q101" s="8"/>
      <c r="R101" s="8">
        <v>500</v>
      </c>
      <c r="S101" s="9">
        <f t="shared" si="8"/>
        <v>0</v>
      </c>
      <c r="T101" s="9" t="str">
        <f t="shared" si="9"/>
        <v/>
      </c>
    </row>
    <row r="102" spans="1:20" x14ac:dyDescent="0.2">
      <c r="A102" s="8">
        <v>130</v>
      </c>
      <c r="B102" s="8" t="s">
        <v>311</v>
      </c>
      <c r="C102" s="8">
        <v>2015</v>
      </c>
      <c r="D102" s="8" t="s">
        <v>267</v>
      </c>
      <c r="E102" s="8" t="s">
        <v>46</v>
      </c>
      <c r="F102" s="8" t="s">
        <v>312</v>
      </c>
      <c r="G102" s="8">
        <f>34+46/60</f>
        <v>34.766666666666666</v>
      </c>
      <c r="H102" s="8">
        <f>30+51/60</f>
        <v>30.85</v>
      </c>
      <c r="I102" s="8" t="s">
        <v>313</v>
      </c>
      <c r="J102" s="8" t="s">
        <v>314</v>
      </c>
      <c r="K102" s="8" t="s">
        <v>37</v>
      </c>
      <c r="L102" s="1"/>
      <c r="M102" s="8"/>
      <c r="N102" s="8"/>
      <c r="O102" s="8"/>
      <c r="P102" s="8"/>
      <c r="Q102" s="8"/>
      <c r="R102" s="8">
        <v>460</v>
      </c>
      <c r="S102" s="9" t="str">
        <f t="shared" si="8"/>
        <v/>
      </c>
      <c r="T102" s="9" t="str">
        <f t="shared" si="9"/>
        <v/>
      </c>
    </row>
    <row r="103" spans="1:20" ht="85" x14ac:dyDescent="0.2">
      <c r="A103" s="8">
        <v>132</v>
      </c>
      <c r="B103" s="8" t="s">
        <v>315</v>
      </c>
      <c r="C103" s="8">
        <v>2000</v>
      </c>
      <c r="D103" s="8" t="s">
        <v>267</v>
      </c>
      <c r="E103" s="8" t="s">
        <v>46</v>
      </c>
      <c r="F103" s="8" t="s">
        <v>316</v>
      </c>
      <c r="G103" s="8">
        <v>34.422499999999999</v>
      </c>
      <c r="H103" s="8">
        <v>30.886111</v>
      </c>
      <c r="I103" s="8" t="s">
        <v>317</v>
      </c>
      <c r="J103" s="8" t="s">
        <v>318</v>
      </c>
      <c r="K103" s="8" t="s">
        <v>24</v>
      </c>
      <c r="L103" s="1" t="s">
        <v>319</v>
      </c>
      <c r="M103" s="8"/>
      <c r="N103" s="8">
        <v>100</v>
      </c>
      <c r="O103" s="8">
        <f t="shared" si="6"/>
        <v>0.27397260273972601</v>
      </c>
      <c r="P103" s="8"/>
      <c r="Q103" s="8"/>
      <c r="R103" s="8"/>
      <c r="S103" s="9">
        <f t="shared" si="8"/>
        <v>0</v>
      </c>
      <c r="T103" s="9" t="str">
        <f t="shared" si="9"/>
        <v/>
      </c>
    </row>
    <row r="104" spans="1:20" x14ac:dyDescent="0.2">
      <c r="A104" s="8">
        <v>157</v>
      </c>
      <c r="B104" s="8" t="s">
        <v>320</v>
      </c>
      <c r="C104" s="8">
        <v>2003</v>
      </c>
      <c r="D104" s="8" t="s">
        <v>267</v>
      </c>
      <c r="E104" s="8" t="s">
        <v>46</v>
      </c>
      <c r="F104" s="8" t="s">
        <v>321</v>
      </c>
      <c r="G104" s="8">
        <f>34+53/60</f>
        <v>34.883333333333333</v>
      </c>
      <c r="H104" s="8">
        <f>31+8/60</f>
        <v>31.133333333333333</v>
      </c>
      <c r="I104" s="8"/>
      <c r="J104" s="8"/>
      <c r="K104" s="8" t="s">
        <v>24</v>
      </c>
      <c r="L104" s="1"/>
      <c r="M104" s="8"/>
      <c r="N104" s="8"/>
      <c r="O104" s="8"/>
      <c r="P104" s="8"/>
      <c r="Q104" s="8"/>
      <c r="R104" s="8">
        <v>115</v>
      </c>
      <c r="S104" s="9" t="str">
        <f t="shared" si="8"/>
        <v/>
      </c>
      <c r="T104" s="9" t="str">
        <f t="shared" si="9"/>
        <v/>
      </c>
    </row>
    <row r="105" spans="1:20" x14ac:dyDescent="0.2">
      <c r="A105" s="8">
        <v>168</v>
      </c>
      <c r="B105" s="8" t="s">
        <v>322</v>
      </c>
      <c r="C105" s="8">
        <v>2000</v>
      </c>
      <c r="D105" s="8" t="s">
        <v>267</v>
      </c>
      <c r="E105" s="8" t="s">
        <v>46</v>
      </c>
      <c r="F105" s="8" t="s">
        <v>323</v>
      </c>
      <c r="G105" s="8">
        <v>34.75</v>
      </c>
      <c r="H105" s="8">
        <v>30.833333</v>
      </c>
      <c r="I105" s="8" t="s">
        <v>85</v>
      </c>
      <c r="J105" s="8"/>
      <c r="K105" s="8" t="s">
        <v>85</v>
      </c>
      <c r="L105" s="1"/>
      <c r="M105" s="8"/>
      <c r="N105" s="8"/>
      <c r="O105" s="8"/>
      <c r="P105" s="8"/>
      <c r="Q105" s="8"/>
      <c r="R105" s="8"/>
      <c r="S105" s="9" t="str">
        <f t="shared" si="8"/>
        <v/>
      </c>
      <c r="T105" s="9" t="str">
        <f t="shared" si="9"/>
        <v/>
      </c>
    </row>
    <row r="106" spans="1:20" x14ac:dyDescent="0.2">
      <c r="A106" s="8">
        <v>173</v>
      </c>
      <c r="B106" s="8" t="s">
        <v>324</v>
      </c>
      <c r="C106" s="8">
        <v>2017</v>
      </c>
      <c r="D106" s="8" t="s">
        <v>267</v>
      </c>
      <c r="E106" s="8" t="s">
        <v>46</v>
      </c>
      <c r="F106" s="8" t="s">
        <v>325</v>
      </c>
      <c r="G106" s="8">
        <f>34+23/60</f>
        <v>34.383333333333333</v>
      </c>
      <c r="H106" s="8">
        <f>30+56/60</f>
        <v>30.933333333333334</v>
      </c>
      <c r="I106" s="8" t="s">
        <v>326</v>
      </c>
      <c r="J106" s="8" t="s">
        <v>327</v>
      </c>
      <c r="K106" s="8" t="s">
        <v>24</v>
      </c>
      <c r="L106" s="1"/>
      <c r="M106" s="8"/>
      <c r="N106" s="8">
        <v>95</v>
      </c>
      <c r="O106" s="8">
        <f t="shared" si="6"/>
        <v>0.26027397260273971</v>
      </c>
      <c r="P106" s="8"/>
      <c r="Q106" s="8"/>
      <c r="R106" s="8"/>
      <c r="S106" s="9">
        <f t="shared" si="8"/>
        <v>0</v>
      </c>
      <c r="T106" s="9" t="str">
        <f t="shared" si="9"/>
        <v/>
      </c>
    </row>
    <row r="107" spans="1:20" x14ac:dyDescent="0.2">
      <c r="A107" s="8">
        <v>126</v>
      </c>
      <c r="B107" s="8" t="s">
        <v>328</v>
      </c>
      <c r="C107" s="8">
        <v>1998</v>
      </c>
      <c r="D107" s="8" t="s">
        <v>329</v>
      </c>
      <c r="E107" s="8" t="s">
        <v>46</v>
      </c>
      <c r="F107" s="8" t="s">
        <v>330</v>
      </c>
      <c r="G107" s="8">
        <v>35.197400000000002</v>
      </c>
      <c r="H107" s="8">
        <v>31.770600000000002</v>
      </c>
      <c r="I107" s="8" t="s">
        <v>299</v>
      </c>
      <c r="J107" s="8"/>
      <c r="K107" s="8" t="s">
        <v>50</v>
      </c>
      <c r="L107" s="1"/>
      <c r="M107" s="8"/>
      <c r="N107" s="8"/>
      <c r="O107" s="8"/>
      <c r="P107" s="8"/>
      <c r="Q107" s="8"/>
      <c r="R107" s="8"/>
      <c r="S107" s="9" t="str">
        <f t="shared" si="8"/>
        <v/>
      </c>
      <c r="T107" s="9" t="str">
        <f t="shared" si="9"/>
        <v/>
      </c>
    </row>
    <row r="108" spans="1:20" x14ac:dyDescent="0.2">
      <c r="A108" s="8">
        <v>131</v>
      </c>
      <c r="B108" s="8" t="s">
        <v>331</v>
      </c>
      <c r="C108" s="8">
        <v>1988</v>
      </c>
      <c r="D108" s="8" t="s">
        <v>332</v>
      </c>
      <c r="E108" s="8" t="s">
        <v>180</v>
      </c>
      <c r="F108" s="8" t="s">
        <v>333</v>
      </c>
      <c r="G108" s="8">
        <v>37.347499999999997</v>
      </c>
      <c r="H108" s="8">
        <v>3.0316670000000001</v>
      </c>
      <c r="I108" s="8" t="s">
        <v>334</v>
      </c>
      <c r="J108" s="8" t="s">
        <v>335</v>
      </c>
      <c r="K108" s="8" t="s">
        <v>37</v>
      </c>
      <c r="L108" s="1"/>
      <c r="M108" s="8"/>
      <c r="N108" s="8">
        <v>600</v>
      </c>
      <c r="O108" s="8">
        <f t="shared" si="6"/>
        <v>1.6438356164383561</v>
      </c>
      <c r="P108" s="8"/>
      <c r="Q108" s="8"/>
      <c r="R108" s="8">
        <v>1500</v>
      </c>
      <c r="S108" s="9">
        <f t="shared" si="8"/>
        <v>0</v>
      </c>
      <c r="T108" s="9" t="str">
        <f t="shared" si="9"/>
        <v/>
      </c>
    </row>
    <row r="109" spans="1:20" ht="153" x14ac:dyDescent="0.2">
      <c r="A109" s="8">
        <v>79</v>
      </c>
      <c r="B109" s="1" t="s">
        <v>336</v>
      </c>
      <c r="C109" s="8">
        <v>2016</v>
      </c>
      <c r="D109" s="8" t="s">
        <v>337</v>
      </c>
      <c r="E109" s="8" t="s">
        <v>46</v>
      </c>
      <c r="F109" s="8" t="s">
        <v>338</v>
      </c>
      <c r="G109" s="8">
        <v>35.581299999999999</v>
      </c>
      <c r="H109" s="8">
        <v>33.694800000000001</v>
      </c>
      <c r="I109" s="8"/>
      <c r="J109" s="10" t="s">
        <v>339</v>
      </c>
      <c r="K109" s="10" t="s">
        <v>24</v>
      </c>
      <c r="L109" s="3" t="s">
        <v>340</v>
      </c>
      <c r="M109" s="8">
        <v>0.13</v>
      </c>
      <c r="N109" s="8">
        <v>230.3</v>
      </c>
      <c r="O109" s="8">
        <f t="shared" si="6"/>
        <v>0.6309589041095891</v>
      </c>
      <c r="P109" s="8">
        <v>1838</v>
      </c>
      <c r="Q109" s="8">
        <f t="shared" si="7"/>
        <v>5.0356164383561648</v>
      </c>
      <c r="R109" s="8">
        <v>920</v>
      </c>
      <c r="S109" s="9">
        <f t="shared" si="8"/>
        <v>0.20603560573165436</v>
      </c>
      <c r="T109" s="9">
        <f t="shared" si="9"/>
        <v>2.5816104461371055E-2</v>
      </c>
    </row>
    <row r="110" spans="1:20" ht="170" x14ac:dyDescent="0.2">
      <c r="A110" s="8">
        <v>165</v>
      </c>
      <c r="B110" s="8" t="s">
        <v>341</v>
      </c>
      <c r="C110" s="8">
        <v>2014</v>
      </c>
      <c r="D110" s="8" t="s">
        <v>342</v>
      </c>
      <c r="E110" s="8" t="s">
        <v>180</v>
      </c>
      <c r="F110" s="8" t="s">
        <v>343</v>
      </c>
      <c r="G110" s="8">
        <v>47</v>
      </c>
      <c r="H110" s="8">
        <v>-20</v>
      </c>
      <c r="I110" s="8" t="s">
        <v>344</v>
      </c>
      <c r="J110" s="8"/>
      <c r="K110" s="8" t="s">
        <v>24</v>
      </c>
      <c r="L110" s="1" t="s">
        <v>345</v>
      </c>
      <c r="M110" s="8"/>
      <c r="N110" s="8">
        <v>360</v>
      </c>
      <c r="O110" s="8">
        <f t="shared" si="6"/>
        <v>0.98630136986301364</v>
      </c>
      <c r="P110" s="8">
        <v>1244</v>
      </c>
      <c r="Q110" s="8">
        <f t="shared" si="7"/>
        <v>3.408219178082192</v>
      </c>
      <c r="R110" s="8">
        <v>10</v>
      </c>
      <c r="S110" s="9">
        <f t="shared" si="8"/>
        <v>0</v>
      </c>
      <c r="T110" s="9">
        <f t="shared" si="9"/>
        <v>0</v>
      </c>
    </row>
    <row r="111" spans="1:20" ht="170" x14ac:dyDescent="0.2">
      <c r="A111" s="8">
        <v>166</v>
      </c>
      <c r="B111" s="8" t="s">
        <v>341</v>
      </c>
      <c r="C111" s="8">
        <v>2014</v>
      </c>
      <c r="D111" s="8" t="s">
        <v>342</v>
      </c>
      <c r="E111" s="8" t="s">
        <v>180</v>
      </c>
      <c r="F111" s="8" t="s">
        <v>346</v>
      </c>
      <c r="G111" s="8">
        <v>48.179699999999997</v>
      </c>
      <c r="H111" s="8">
        <v>-14.632199999999999</v>
      </c>
      <c r="I111" s="8" t="s">
        <v>344</v>
      </c>
      <c r="J111" s="8"/>
      <c r="K111" s="8" t="s">
        <v>24</v>
      </c>
      <c r="L111" s="1" t="s">
        <v>345</v>
      </c>
      <c r="M111" s="8"/>
      <c r="N111" s="8">
        <v>660</v>
      </c>
      <c r="O111" s="8">
        <f t="shared" si="6"/>
        <v>1.8082191780821917</v>
      </c>
      <c r="P111" s="8">
        <v>2010</v>
      </c>
      <c r="Q111" s="8">
        <f t="shared" si="7"/>
        <v>5.506849315068493</v>
      </c>
      <c r="R111" s="8">
        <v>260</v>
      </c>
      <c r="S111" s="9">
        <f t="shared" si="8"/>
        <v>0</v>
      </c>
      <c r="T111" s="9">
        <f t="shared" si="9"/>
        <v>0</v>
      </c>
    </row>
    <row r="112" spans="1:20" ht="34" x14ac:dyDescent="0.2">
      <c r="A112" s="8">
        <v>81</v>
      </c>
      <c r="B112" s="8" t="s">
        <v>347</v>
      </c>
      <c r="C112" s="8">
        <v>1999</v>
      </c>
      <c r="D112" s="8" t="s">
        <v>348</v>
      </c>
      <c r="E112" s="8" t="s">
        <v>56</v>
      </c>
      <c r="F112" s="8" t="s">
        <v>349</v>
      </c>
      <c r="G112" s="8">
        <f>-10-2/60</f>
        <v>-10.033333333333333</v>
      </c>
      <c r="H112" s="8">
        <f>29+35/60</f>
        <v>29.583333333333332</v>
      </c>
      <c r="I112" s="8" t="s">
        <v>48</v>
      </c>
      <c r="J112" s="8" t="s">
        <v>350</v>
      </c>
      <c r="K112" s="8" t="s">
        <v>50</v>
      </c>
      <c r="L112" s="1" t="s">
        <v>351</v>
      </c>
      <c r="M112" s="8">
        <v>0.98</v>
      </c>
      <c r="N112" s="8">
        <v>49</v>
      </c>
      <c r="O112" s="8">
        <f t="shared" si="6"/>
        <v>0.13424657534246576</v>
      </c>
      <c r="P112" s="8">
        <v>1610</v>
      </c>
      <c r="Q112" s="8">
        <f t="shared" si="7"/>
        <v>4.4109589041095889</v>
      </c>
      <c r="R112" s="8">
        <v>43</v>
      </c>
      <c r="S112" s="9">
        <f t="shared" si="8"/>
        <v>7.3</v>
      </c>
      <c r="T112" s="9">
        <f t="shared" si="9"/>
        <v>0.22217391304347828</v>
      </c>
    </row>
    <row r="113" spans="1:20" x14ac:dyDescent="0.2">
      <c r="A113" s="8">
        <v>149</v>
      </c>
      <c r="B113" s="8" t="s">
        <v>352</v>
      </c>
      <c r="C113" s="8">
        <v>2003</v>
      </c>
      <c r="D113" s="8" t="s">
        <v>348</v>
      </c>
      <c r="E113" s="8" t="s">
        <v>56</v>
      </c>
      <c r="F113" s="8" t="s">
        <v>353</v>
      </c>
      <c r="G113" s="8">
        <f>-105-3/60</f>
        <v>-105.05</v>
      </c>
      <c r="H113" s="8">
        <f>19+30/60</f>
        <v>19.5</v>
      </c>
      <c r="I113" s="8" t="s">
        <v>354</v>
      </c>
      <c r="J113" s="8" t="s">
        <v>355</v>
      </c>
      <c r="K113" s="8" t="s">
        <v>37</v>
      </c>
      <c r="L113" s="1"/>
      <c r="M113" s="8">
        <v>0.1085</v>
      </c>
      <c r="N113" s="8">
        <v>740</v>
      </c>
      <c r="O113" s="8">
        <f t="shared" si="6"/>
        <v>2.0273972602739727</v>
      </c>
      <c r="P113" s="8">
        <v>1658</v>
      </c>
      <c r="Q113" s="8">
        <f t="shared" si="7"/>
        <v>4.5424657534246577</v>
      </c>
      <c r="R113" s="8"/>
      <c r="S113" s="9">
        <f t="shared" si="8"/>
        <v>5.3516891891891891E-2</v>
      </c>
      <c r="T113" s="9">
        <f t="shared" si="9"/>
        <v>2.38857056694813E-2</v>
      </c>
    </row>
    <row r="114" spans="1:20" ht="136" x14ac:dyDescent="0.2">
      <c r="A114" s="8">
        <v>150</v>
      </c>
      <c r="B114" s="8" t="s">
        <v>347</v>
      </c>
      <c r="C114" s="8">
        <v>1999</v>
      </c>
      <c r="D114" s="8" t="s">
        <v>348</v>
      </c>
      <c r="E114" s="8" t="s">
        <v>56</v>
      </c>
      <c r="F114" s="1" t="s">
        <v>356</v>
      </c>
      <c r="G114" s="8">
        <f>-105-3/60</f>
        <v>-105.05</v>
      </c>
      <c r="H114" s="8">
        <f>19+30/60</f>
        <v>19.5</v>
      </c>
      <c r="I114" s="8" t="s">
        <v>357</v>
      </c>
      <c r="J114" s="8" t="s">
        <v>358</v>
      </c>
      <c r="K114" s="8" t="s">
        <v>37</v>
      </c>
      <c r="L114" s="1"/>
      <c r="M114" s="8"/>
      <c r="N114" s="8">
        <v>700</v>
      </c>
      <c r="O114" s="8">
        <f t="shared" si="6"/>
        <v>1.9178082191780821</v>
      </c>
      <c r="P114" s="8">
        <v>1658</v>
      </c>
      <c r="Q114" s="8">
        <f t="shared" si="7"/>
        <v>4.5424657534246577</v>
      </c>
      <c r="R114" s="8"/>
      <c r="S114" s="9">
        <f t="shared" si="8"/>
        <v>0</v>
      </c>
      <c r="T114" s="9">
        <f t="shared" si="9"/>
        <v>0</v>
      </c>
    </row>
    <row r="115" spans="1:20" x14ac:dyDescent="0.2">
      <c r="A115" s="8">
        <v>80</v>
      </c>
      <c r="B115" s="8" t="s">
        <v>44</v>
      </c>
      <c r="C115" s="8">
        <v>2016</v>
      </c>
      <c r="D115" s="8" t="s">
        <v>359</v>
      </c>
      <c r="E115" s="8" t="s">
        <v>180</v>
      </c>
      <c r="F115" s="8" t="s">
        <v>353</v>
      </c>
      <c r="G115" s="8">
        <f>-105-3/60</f>
        <v>-105.05</v>
      </c>
      <c r="H115" s="8">
        <f>19+30/60</f>
        <v>19.5</v>
      </c>
      <c r="I115" s="8" t="s">
        <v>354</v>
      </c>
      <c r="J115" s="8" t="s">
        <v>355</v>
      </c>
      <c r="K115" s="8" t="s">
        <v>37</v>
      </c>
      <c r="L115" s="1"/>
      <c r="M115" s="8"/>
      <c r="N115" s="8">
        <v>740</v>
      </c>
      <c r="O115" s="8">
        <f t="shared" si="6"/>
        <v>2.0273972602739727</v>
      </c>
      <c r="P115" s="8">
        <v>1658</v>
      </c>
      <c r="Q115" s="8">
        <f t="shared" si="7"/>
        <v>4.5424657534246577</v>
      </c>
      <c r="R115" s="8"/>
      <c r="S115" s="9">
        <f t="shared" si="8"/>
        <v>0</v>
      </c>
      <c r="T115" s="9">
        <f t="shared" si="9"/>
        <v>0</v>
      </c>
    </row>
    <row r="116" spans="1:20" ht="68" x14ac:dyDescent="0.2">
      <c r="A116" s="8">
        <v>82</v>
      </c>
      <c r="B116" s="8" t="s">
        <v>360</v>
      </c>
      <c r="C116" s="8">
        <v>2012</v>
      </c>
      <c r="D116" s="8" t="s">
        <v>359</v>
      </c>
      <c r="E116" s="8" t="s">
        <v>180</v>
      </c>
      <c r="F116" s="8" t="s">
        <v>361</v>
      </c>
      <c r="G116" s="8">
        <v>-10.0351</v>
      </c>
      <c r="H116" s="8">
        <v>29.579699999999999</v>
      </c>
      <c r="I116" s="8"/>
      <c r="J116" s="1" t="s">
        <v>362</v>
      </c>
      <c r="K116" s="1" t="s">
        <v>24</v>
      </c>
      <c r="L116" s="1" t="s">
        <v>363</v>
      </c>
      <c r="M116" s="8">
        <v>0.1</v>
      </c>
      <c r="N116" s="8">
        <v>49</v>
      </c>
      <c r="O116" s="8">
        <f t="shared" si="6"/>
        <v>0.13424657534246576</v>
      </c>
      <c r="P116" s="8">
        <v>1560</v>
      </c>
      <c r="Q116" s="8">
        <f t="shared" si="7"/>
        <v>4.2739726027397262</v>
      </c>
      <c r="R116" s="8"/>
      <c r="S116" s="9">
        <f t="shared" si="8"/>
        <v>0.74489795918367352</v>
      </c>
      <c r="T116" s="9">
        <f t="shared" si="9"/>
        <v>2.3397435897435898E-2</v>
      </c>
    </row>
    <row r="117" spans="1:20" ht="68" x14ac:dyDescent="0.2">
      <c r="A117" s="8">
        <v>83</v>
      </c>
      <c r="B117" s="8" t="s">
        <v>360</v>
      </c>
      <c r="C117" s="8">
        <v>2012</v>
      </c>
      <c r="D117" s="8" t="s">
        <v>359</v>
      </c>
      <c r="E117" s="8" t="s">
        <v>180</v>
      </c>
      <c r="F117" s="8" t="s">
        <v>364</v>
      </c>
      <c r="G117" s="8">
        <v>-10</v>
      </c>
      <c r="H117" s="8">
        <v>29.566666666666599</v>
      </c>
      <c r="I117" s="8"/>
      <c r="J117" s="1" t="s">
        <v>362</v>
      </c>
      <c r="K117" s="1" t="s">
        <v>24</v>
      </c>
      <c r="L117" s="1" t="s">
        <v>365</v>
      </c>
      <c r="M117" s="8">
        <v>0.14199999999999999</v>
      </c>
      <c r="N117" s="8">
        <v>49</v>
      </c>
      <c r="O117" s="8">
        <f t="shared" si="6"/>
        <v>0.13424657534246576</v>
      </c>
      <c r="P117" s="8">
        <v>1698</v>
      </c>
      <c r="Q117" s="8">
        <f t="shared" si="7"/>
        <v>4.6520547945205477</v>
      </c>
      <c r="R117" s="8"/>
      <c r="S117" s="9">
        <f t="shared" si="8"/>
        <v>1.0577551020408162</v>
      </c>
      <c r="T117" s="9">
        <f t="shared" si="9"/>
        <v>3.0524146054181387E-2</v>
      </c>
    </row>
    <row r="118" spans="1:20" ht="136" x14ac:dyDescent="0.2">
      <c r="A118" s="8">
        <v>84</v>
      </c>
      <c r="B118" s="1" t="s">
        <v>366</v>
      </c>
      <c r="C118" s="8">
        <v>2011</v>
      </c>
      <c r="D118" s="8" t="s">
        <v>367</v>
      </c>
      <c r="E118" s="8" t="s">
        <v>180</v>
      </c>
      <c r="F118" s="8" t="s">
        <v>368</v>
      </c>
      <c r="G118" s="8">
        <f>-10-2/60</f>
        <v>-10.033333333333333</v>
      </c>
      <c r="H118" s="8">
        <f>29+35/60</f>
        <v>29.583333333333332</v>
      </c>
      <c r="I118" s="8"/>
      <c r="J118" s="8" t="s">
        <v>254</v>
      </c>
      <c r="K118" s="8" t="s">
        <v>24</v>
      </c>
      <c r="L118" s="1" t="s">
        <v>363</v>
      </c>
      <c r="M118" s="8">
        <v>5.178E-2</v>
      </c>
      <c r="N118" s="8">
        <v>49</v>
      </c>
      <c r="O118" s="8">
        <f t="shared" si="6"/>
        <v>0.13424657534246576</v>
      </c>
      <c r="P118" s="8">
        <v>1610</v>
      </c>
      <c r="Q118" s="8">
        <f t="shared" si="7"/>
        <v>4.4109589041095889</v>
      </c>
      <c r="R118" s="8">
        <v>43</v>
      </c>
      <c r="S118" s="9">
        <f t="shared" si="8"/>
        <v>0.3857081632653061</v>
      </c>
      <c r="T118" s="9">
        <f t="shared" si="9"/>
        <v>1.1738944099378883E-2</v>
      </c>
    </row>
    <row r="119" spans="1:20" x14ac:dyDescent="0.2">
      <c r="A119" s="8">
        <v>161</v>
      </c>
      <c r="B119" s="8" t="s">
        <v>369</v>
      </c>
      <c r="C119" s="8">
        <v>2011</v>
      </c>
      <c r="D119" s="8" t="s">
        <v>370</v>
      </c>
      <c r="E119" s="8" t="s">
        <v>180</v>
      </c>
      <c r="F119" s="8" t="s">
        <v>371</v>
      </c>
      <c r="G119" s="8">
        <v>15.033333000000001</v>
      </c>
      <c r="H119" s="2">
        <v>-23.55</v>
      </c>
      <c r="I119" s="8" t="s">
        <v>372</v>
      </c>
      <c r="J119" s="8" t="s">
        <v>373</v>
      </c>
      <c r="K119" s="8" t="s">
        <v>24</v>
      </c>
      <c r="L119" s="1"/>
      <c r="M119" s="8"/>
      <c r="N119" s="8"/>
      <c r="O119" s="8"/>
      <c r="P119" s="8"/>
      <c r="Q119" s="8"/>
      <c r="R119" s="8"/>
      <c r="S119" s="9" t="str">
        <f t="shared" si="8"/>
        <v/>
      </c>
      <c r="T119" s="9" t="str">
        <f t="shared" si="9"/>
        <v/>
      </c>
    </row>
    <row r="120" spans="1:20" x14ac:dyDescent="0.2">
      <c r="A120" s="8">
        <v>167</v>
      </c>
      <c r="B120" s="8" t="s">
        <v>374</v>
      </c>
      <c r="C120" s="8">
        <v>2008</v>
      </c>
      <c r="D120" s="8" t="s">
        <v>370</v>
      </c>
      <c r="E120" s="8" t="s">
        <v>180</v>
      </c>
      <c r="F120" s="8" t="s">
        <v>375</v>
      </c>
      <c r="G120" s="8">
        <v>15.2605</v>
      </c>
      <c r="H120" s="8">
        <v>-24.288900000000002</v>
      </c>
      <c r="I120" s="8"/>
      <c r="J120" s="8"/>
      <c r="K120" s="8" t="s">
        <v>24</v>
      </c>
      <c r="L120" s="1"/>
      <c r="M120" s="8"/>
      <c r="N120" s="8"/>
      <c r="O120" s="8"/>
      <c r="P120" s="8"/>
      <c r="Q120" s="8"/>
      <c r="R120" s="8"/>
      <c r="S120" s="9" t="str">
        <f t="shared" si="8"/>
        <v/>
      </c>
      <c r="T120" s="9" t="str">
        <f t="shared" si="9"/>
        <v/>
      </c>
    </row>
    <row r="121" spans="1:20" x14ac:dyDescent="0.2">
      <c r="A121" s="8">
        <v>169</v>
      </c>
      <c r="B121" s="8" t="s">
        <v>376</v>
      </c>
      <c r="C121" s="8">
        <v>2015</v>
      </c>
      <c r="D121" s="8" t="s">
        <v>370</v>
      </c>
      <c r="E121" s="8" t="s">
        <v>180</v>
      </c>
      <c r="F121" s="8" t="s">
        <v>377</v>
      </c>
      <c r="G121" s="8">
        <v>15.15</v>
      </c>
      <c r="H121" s="8">
        <v>-22.9166666666666</v>
      </c>
      <c r="I121" s="8" t="s">
        <v>372</v>
      </c>
      <c r="J121" s="8" t="s">
        <v>95</v>
      </c>
      <c r="K121" s="8" t="s">
        <v>50</v>
      </c>
      <c r="L121" s="1"/>
      <c r="M121" s="8"/>
      <c r="N121" s="8"/>
      <c r="O121" s="8"/>
      <c r="P121" s="8"/>
      <c r="Q121" s="8"/>
      <c r="R121" s="8"/>
      <c r="S121" s="9" t="str">
        <f t="shared" si="8"/>
        <v/>
      </c>
      <c r="T121" s="9" t="str">
        <f t="shared" si="9"/>
        <v/>
      </c>
    </row>
    <row r="122" spans="1:20" x14ac:dyDescent="0.2">
      <c r="A122" s="8">
        <v>170</v>
      </c>
      <c r="B122" s="8" t="s">
        <v>378</v>
      </c>
      <c r="C122" s="8">
        <v>2012</v>
      </c>
      <c r="D122" s="8" t="s">
        <v>370</v>
      </c>
      <c r="E122" s="8" t="s">
        <v>180</v>
      </c>
      <c r="F122" s="8" t="s">
        <v>379</v>
      </c>
      <c r="G122" s="8">
        <f>14+43.439/60</f>
        <v>14.723983333333333</v>
      </c>
      <c r="H122" s="8">
        <f>-23-1.008/60</f>
        <v>-23.0168</v>
      </c>
      <c r="I122" s="8" t="s">
        <v>380</v>
      </c>
      <c r="J122" s="8" t="s">
        <v>381</v>
      </c>
      <c r="K122" s="8" t="s">
        <v>37</v>
      </c>
      <c r="L122" s="1"/>
      <c r="M122" s="8"/>
      <c r="N122" s="8"/>
      <c r="O122" s="8"/>
      <c r="P122" s="8"/>
      <c r="Q122" s="8"/>
      <c r="R122" s="8">
        <v>180</v>
      </c>
      <c r="S122" s="9" t="str">
        <f t="shared" si="8"/>
        <v/>
      </c>
      <c r="T122" s="9" t="str">
        <f t="shared" si="9"/>
        <v/>
      </c>
    </row>
    <row r="123" spans="1:20" x14ac:dyDescent="0.2">
      <c r="A123" s="8">
        <v>171</v>
      </c>
      <c r="B123" s="8" t="s">
        <v>378</v>
      </c>
      <c r="C123" s="8">
        <v>2012</v>
      </c>
      <c r="D123" s="8" t="s">
        <v>370</v>
      </c>
      <c r="E123" s="8" t="s">
        <v>180</v>
      </c>
      <c r="F123" s="8" t="s">
        <v>382</v>
      </c>
      <c r="G123" s="8">
        <f>15+2.805/60</f>
        <v>15.046749999999999</v>
      </c>
      <c r="H123" s="8">
        <f>-23-32.311/60</f>
        <v>-23.538516666666666</v>
      </c>
      <c r="I123" s="8" t="s">
        <v>380</v>
      </c>
      <c r="J123" s="8" t="s">
        <v>383</v>
      </c>
      <c r="K123" s="8" t="s">
        <v>37</v>
      </c>
      <c r="L123" s="1"/>
      <c r="M123" s="8"/>
      <c r="N123" s="8"/>
      <c r="O123" s="8"/>
      <c r="P123" s="8"/>
      <c r="Q123" s="8"/>
      <c r="R123" s="8">
        <v>412</v>
      </c>
      <c r="S123" s="9" t="str">
        <f t="shared" si="8"/>
        <v/>
      </c>
      <c r="T123" s="9" t="str">
        <f t="shared" si="9"/>
        <v/>
      </c>
    </row>
    <row r="124" spans="1:20" x14ac:dyDescent="0.2">
      <c r="A124" s="8">
        <v>172</v>
      </c>
      <c r="B124" s="8" t="s">
        <v>384</v>
      </c>
      <c r="C124" s="8">
        <v>2017</v>
      </c>
      <c r="D124" s="8" t="s">
        <v>370</v>
      </c>
      <c r="E124" s="8" t="s">
        <v>180</v>
      </c>
      <c r="F124" s="8" t="s">
        <v>375</v>
      </c>
      <c r="G124" s="8">
        <v>15.2605</v>
      </c>
      <c r="H124" s="8">
        <v>-24.288900000000002</v>
      </c>
      <c r="I124" s="8" t="s">
        <v>334</v>
      </c>
      <c r="J124" s="8"/>
      <c r="K124" s="8" t="s">
        <v>24</v>
      </c>
      <c r="L124" s="1"/>
      <c r="M124" s="8"/>
      <c r="N124" s="8"/>
      <c r="O124" s="8"/>
      <c r="P124" s="8">
        <v>52.066351375316799</v>
      </c>
      <c r="Q124" s="8">
        <f t="shared" si="7"/>
        <v>0.14264753801456656</v>
      </c>
      <c r="R124" s="8"/>
      <c r="S124" s="9" t="str">
        <f t="shared" si="8"/>
        <v/>
      </c>
      <c r="T124" s="9">
        <f t="shared" si="9"/>
        <v>0</v>
      </c>
    </row>
    <row r="125" spans="1:20" ht="34" x14ac:dyDescent="0.2">
      <c r="A125" s="8">
        <v>85</v>
      </c>
      <c r="B125" s="8" t="s">
        <v>385</v>
      </c>
      <c r="C125" s="8">
        <v>2009</v>
      </c>
      <c r="D125" s="8" t="s">
        <v>386</v>
      </c>
      <c r="E125" s="8" t="s">
        <v>158</v>
      </c>
      <c r="F125" s="8" t="s">
        <v>387</v>
      </c>
      <c r="G125" s="8">
        <f>-5-38/60</f>
        <v>-5.6333333333333329</v>
      </c>
      <c r="H125" s="8">
        <f>51+58/60</f>
        <v>51.966666666666669</v>
      </c>
      <c r="I125" s="8" t="s">
        <v>388</v>
      </c>
      <c r="J125" s="8" t="s">
        <v>36</v>
      </c>
      <c r="K125" s="8" t="s">
        <v>37</v>
      </c>
      <c r="L125" s="1" t="s">
        <v>389</v>
      </c>
      <c r="M125" s="8">
        <v>0.1</v>
      </c>
      <c r="N125" s="8">
        <v>830</v>
      </c>
      <c r="O125" s="8">
        <f t="shared" si="6"/>
        <v>2.2739726027397262</v>
      </c>
      <c r="P125" s="8"/>
      <c r="Q125" s="8"/>
      <c r="R125" s="8"/>
      <c r="S125" s="9">
        <f t="shared" si="8"/>
        <v>4.3975903614457829E-2</v>
      </c>
      <c r="T125" s="9" t="str">
        <f t="shared" si="9"/>
        <v/>
      </c>
    </row>
    <row r="126" spans="1:20" ht="136" x14ac:dyDescent="0.2">
      <c r="A126" s="8">
        <v>86</v>
      </c>
      <c r="B126" s="8" t="s">
        <v>390</v>
      </c>
      <c r="C126" s="8">
        <v>2012</v>
      </c>
      <c r="D126" s="8" t="s">
        <v>391</v>
      </c>
      <c r="E126" s="8" t="s">
        <v>158</v>
      </c>
      <c r="F126" s="8" t="s">
        <v>392</v>
      </c>
      <c r="G126" s="8">
        <f>17+2/60</f>
        <v>17.033333333333335</v>
      </c>
      <c r="H126" s="8">
        <f>51+7/60</f>
        <v>51.116666666666667</v>
      </c>
      <c r="I126" s="1" t="s">
        <v>393</v>
      </c>
      <c r="J126" s="1" t="s">
        <v>394</v>
      </c>
      <c r="K126" s="1" t="s">
        <v>37</v>
      </c>
      <c r="L126" s="1" t="s">
        <v>395</v>
      </c>
      <c r="M126" s="8">
        <v>0.17899999999999999</v>
      </c>
      <c r="N126" s="8">
        <v>581.15000004768399</v>
      </c>
      <c r="O126" s="8">
        <f t="shared" si="6"/>
        <v>1.592191780952559</v>
      </c>
      <c r="P126" s="8">
        <v>837</v>
      </c>
      <c r="Q126" s="8">
        <f t="shared" si="7"/>
        <v>2.2931506849315069</v>
      </c>
      <c r="R126" s="8">
        <v>120</v>
      </c>
      <c r="S126" s="9">
        <f t="shared" si="8"/>
        <v>0.11242364276802751</v>
      </c>
      <c r="T126" s="9">
        <f t="shared" si="9"/>
        <v>7.8058542413381116E-2</v>
      </c>
    </row>
    <row r="127" spans="1:20" ht="136" x14ac:dyDescent="0.2">
      <c r="A127" s="8">
        <v>136</v>
      </c>
      <c r="B127" s="8" t="s">
        <v>390</v>
      </c>
      <c r="C127" s="8">
        <v>2012</v>
      </c>
      <c r="D127" s="8" t="s">
        <v>391</v>
      </c>
      <c r="E127" s="8" t="s">
        <v>158</v>
      </c>
      <c r="F127" s="8" t="s">
        <v>392</v>
      </c>
      <c r="G127" s="8">
        <f>17+2/60</f>
        <v>17.033333333333335</v>
      </c>
      <c r="H127" s="8">
        <f>51+7/60</f>
        <v>51.116666666666667</v>
      </c>
      <c r="I127" s="1" t="s">
        <v>393</v>
      </c>
      <c r="J127" s="1" t="s">
        <v>394</v>
      </c>
      <c r="K127" s="1" t="s">
        <v>37</v>
      </c>
      <c r="L127" s="1" t="s">
        <v>395</v>
      </c>
      <c r="M127" s="8">
        <v>0.17899999999999999</v>
      </c>
      <c r="N127" s="8">
        <v>581.15000004768399</v>
      </c>
      <c r="O127" s="8">
        <f t="shared" si="6"/>
        <v>1.592191780952559</v>
      </c>
      <c r="P127" s="8">
        <v>837</v>
      </c>
      <c r="Q127" s="8">
        <f t="shared" si="7"/>
        <v>2.2931506849315069</v>
      </c>
      <c r="R127" s="8">
        <v>120</v>
      </c>
      <c r="S127" s="9">
        <f t="shared" si="8"/>
        <v>0.11242364276802751</v>
      </c>
      <c r="T127" s="9">
        <f t="shared" si="9"/>
        <v>7.8058542413381116E-2</v>
      </c>
    </row>
    <row r="128" spans="1:20" ht="85" x14ac:dyDescent="0.2">
      <c r="A128" s="8">
        <v>87</v>
      </c>
      <c r="B128" s="8" t="s">
        <v>396</v>
      </c>
      <c r="C128" s="8">
        <v>2007</v>
      </c>
      <c r="D128" s="8" t="s">
        <v>397</v>
      </c>
      <c r="E128" s="8" t="s">
        <v>46</v>
      </c>
      <c r="F128" s="8" t="s">
        <v>398</v>
      </c>
      <c r="G128" s="8">
        <v>42.511699999999998</v>
      </c>
      <c r="H128" s="8">
        <v>18.246500000000001</v>
      </c>
      <c r="I128" s="1" t="s">
        <v>372</v>
      </c>
      <c r="J128" s="1"/>
      <c r="K128" s="1" t="s">
        <v>24</v>
      </c>
      <c r="L128" s="1"/>
      <c r="M128" s="8">
        <v>9.8000000000000004E-2</v>
      </c>
      <c r="N128" s="8">
        <v>259.299999237061</v>
      </c>
      <c r="O128" s="8">
        <f t="shared" si="6"/>
        <v>0.71041095681386579</v>
      </c>
      <c r="P128" s="8">
        <v>2167</v>
      </c>
      <c r="Q128" s="8">
        <f t="shared" si="7"/>
        <v>5.9369863013698634</v>
      </c>
      <c r="R128" s="8"/>
      <c r="S128" s="9">
        <f t="shared" si="8"/>
        <v>0.13794832281236466</v>
      </c>
      <c r="T128" s="9">
        <f t="shared" si="9"/>
        <v>1.650669127826488E-2</v>
      </c>
    </row>
    <row r="129" spans="1:20" ht="34" x14ac:dyDescent="0.2">
      <c r="A129" s="8">
        <v>88</v>
      </c>
      <c r="B129" s="8" t="s">
        <v>399</v>
      </c>
      <c r="C129" s="8">
        <v>2005</v>
      </c>
      <c r="D129" s="1" t="s">
        <v>397</v>
      </c>
      <c r="E129" s="8" t="s">
        <v>46</v>
      </c>
      <c r="F129" s="8" t="s">
        <v>400</v>
      </c>
      <c r="G129" s="8">
        <f>50+1/60</f>
        <v>50.016666666666666</v>
      </c>
      <c r="H129" s="8">
        <f>26+3/60</f>
        <v>26.05</v>
      </c>
      <c r="I129" s="8" t="s">
        <v>85</v>
      </c>
      <c r="J129" s="8"/>
      <c r="K129" s="8" t="s">
        <v>50</v>
      </c>
      <c r="L129" s="1" t="s">
        <v>401</v>
      </c>
      <c r="M129" s="8">
        <v>0.22</v>
      </c>
      <c r="N129" s="8">
        <v>68.889999989420204</v>
      </c>
      <c r="O129" s="8">
        <f t="shared" si="6"/>
        <v>0.18873972599841152</v>
      </c>
      <c r="P129" s="8"/>
      <c r="Q129" s="8"/>
      <c r="R129" s="8"/>
      <c r="S129" s="9">
        <f t="shared" si="8"/>
        <v>1.1656263610441586</v>
      </c>
      <c r="T129" s="9" t="str">
        <f t="shared" si="9"/>
        <v/>
      </c>
    </row>
    <row r="130" spans="1:20" ht="85" x14ac:dyDescent="0.2">
      <c r="A130" s="8">
        <v>137</v>
      </c>
      <c r="B130" s="8" t="s">
        <v>396</v>
      </c>
      <c r="C130" s="8">
        <v>2007</v>
      </c>
      <c r="D130" s="8" t="s">
        <v>397</v>
      </c>
      <c r="E130" s="8" t="s">
        <v>46</v>
      </c>
      <c r="F130" s="8" t="s">
        <v>402</v>
      </c>
      <c r="G130" s="8">
        <v>42.372</v>
      </c>
      <c r="H130" s="8" t="s">
        <v>403</v>
      </c>
      <c r="I130" s="1" t="s">
        <v>372</v>
      </c>
      <c r="J130" s="1"/>
      <c r="K130" s="8" t="s">
        <v>50</v>
      </c>
      <c r="L130" s="1"/>
      <c r="M130" s="8">
        <v>22.9</v>
      </c>
      <c r="N130" s="8"/>
      <c r="O130" s="8"/>
      <c r="P130" s="8"/>
      <c r="Q130" s="8"/>
      <c r="R130" s="8"/>
      <c r="S130" s="9" t="str">
        <f t="shared" si="8"/>
        <v/>
      </c>
      <c r="T130" s="9" t="str">
        <f t="shared" si="9"/>
        <v/>
      </c>
    </row>
    <row r="131" spans="1:20" ht="85" x14ac:dyDescent="0.2">
      <c r="A131" s="8">
        <v>138</v>
      </c>
      <c r="B131" s="8" t="s">
        <v>396</v>
      </c>
      <c r="C131" s="8">
        <v>2007</v>
      </c>
      <c r="D131" s="8" t="s">
        <v>397</v>
      </c>
      <c r="E131" s="8" t="s">
        <v>46</v>
      </c>
      <c r="F131" s="8" t="s">
        <v>404</v>
      </c>
      <c r="G131" s="8">
        <v>42.372</v>
      </c>
      <c r="H131" s="8" t="s">
        <v>403</v>
      </c>
      <c r="I131" s="1" t="s">
        <v>372</v>
      </c>
      <c r="J131" s="1"/>
      <c r="K131" s="8" t="s">
        <v>50</v>
      </c>
      <c r="L131" s="1"/>
      <c r="M131" s="8">
        <v>12.9</v>
      </c>
      <c r="N131" s="8"/>
      <c r="O131" s="8"/>
      <c r="P131" s="8"/>
      <c r="Q131" s="8"/>
      <c r="R131" s="8"/>
      <c r="S131" s="9" t="str">
        <f t="shared" si="8"/>
        <v/>
      </c>
      <c r="T131" s="9" t="str">
        <f t="shared" si="9"/>
        <v/>
      </c>
    </row>
    <row r="132" spans="1:20" x14ac:dyDescent="0.2">
      <c r="A132" s="8">
        <v>148</v>
      </c>
      <c r="B132" s="8" t="s">
        <v>405</v>
      </c>
      <c r="C132" s="8">
        <v>2009</v>
      </c>
      <c r="D132" s="8" t="s">
        <v>397</v>
      </c>
      <c r="E132" s="8" t="s">
        <v>46</v>
      </c>
      <c r="F132" s="8" t="s">
        <v>406</v>
      </c>
      <c r="G132" s="8">
        <v>42.5</v>
      </c>
      <c r="H132" s="8">
        <v>18.2</v>
      </c>
      <c r="I132" s="8" t="s">
        <v>372</v>
      </c>
      <c r="J132" s="8" t="s">
        <v>407</v>
      </c>
      <c r="K132" s="8" t="s">
        <v>50</v>
      </c>
      <c r="L132" s="1"/>
      <c r="M132" s="8"/>
      <c r="N132" s="8">
        <v>120</v>
      </c>
      <c r="O132" s="8">
        <f t="shared" ref="O132:O173" si="10">IFERROR(N132/365,"")</f>
        <v>0.32876712328767121</v>
      </c>
      <c r="P132" s="8">
        <v>2177</v>
      </c>
      <c r="Q132" s="8">
        <f t="shared" ref="Q132:Q166" si="11">IFERROR(P132/365,"")</f>
        <v>5.9643835616438352</v>
      </c>
      <c r="R132" s="12">
        <v>2200</v>
      </c>
      <c r="S132" s="9">
        <f t="shared" si="8"/>
        <v>0</v>
      </c>
      <c r="T132" s="9">
        <f t="shared" si="9"/>
        <v>0</v>
      </c>
    </row>
    <row r="133" spans="1:20" ht="68" x14ac:dyDescent="0.2">
      <c r="A133" s="8">
        <v>89</v>
      </c>
      <c r="B133" s="8" t="s">
        <v>408</v>
      </c>
      <c r="C133" s="8">
        <v>2013</v>
      </c>
      <c r="D133" s="8" t="s">
        <v>409</v>
      </c>
      <c r="E133" s="8" t="s">
        <v>46</v>
      </c>
      <c r="F133" s="8" t="s">
        <v>410</v>
      </c>
      <c r="G133" s="8">
        <v>18.6666666666666</v>
      </c>
      <c r="H133" s="8">
        <v>-31.3333333333333</v>
      </c>
      <c r="I133" s="8" t="s">
        <v>73</v>
      </c>
      <c r="J133" s="1" t="s">
        <v>411</v>
      </c>
      <c r="K133" s="1" t="s">
        <v>24</v>
      </c>
      <c r="L133" s="1"/>
      <c r="M133" s="8">
        <v>0.1</v>
      </c>
      <c r="N133" s="8">
        <v>151.920000268519</v>
      </c>
      <c r="O133" s="8">
        <f t="shared" si="10"/>
        <v>0.4162191788178603</v>
      </c>
      <c r="P133" s="8">
        <v>1987</v>
      </c>
      <c r="Q133" s="8">
        <f t="shared" si="11"/>
        <v>5.4438356164383563</v>
      </c>
      <c r="R133" s="8">
        <v>180</v>
      </c>
      <c r="S133" s="9">
        <f t="shared" si="8"/>
        <v>0.24025803011773403</v>
      </c>
      <c r="T133" s="9">
        <f t="shared" si="9"/>
        <v>1.836940110719678E-2</v>
      </c>
    </row>
    <row r="134" spans="1:20" ht="85" x14ac:dyDescent="0.2">
      <c r="A134" s="8">
        <v>116</v>
      </c>
      <c r="B134" s="8" t="s">
        <v>412</v>
      </c>
      <c r="C134" s="8">
        <v>2007</v>
      </c>
      <c r="D134" s="8" t="s">
        <v>409</v>
      </c>
      <c r="E134" s="8" t="s">
        <v>46</v>
      </c>
      <c r="F134" s="8" t="s">
        <v>413</v>
      </c>
      <c r="G134" s="8">
        <f>18+38/60+33/3600</f>
        <v>18.642499999999998</v>
      </c>
      <c r="H134" s="8">
        <f>-31-18/60-47.5/3600</f>
        <v>-31.313194444444445</v>
      </c>
      <c r="I134" s="8" t="s">
        <v>326</v>
      </c>
      <c r="J134" s="8" t="s">
        <v>414</v>
      </c>
      <c r="K134" s="2" t="s">
        <v>37</v>
      </c>
      <c r="L134" s="1" t="s">
        <v>415</v>
      </c>
      <c r="M134" s="8">
        <v>0.35</v>
      </c>
      <c r="N134" s="8">
        <v>151.920000268519</v>
      </c>
      <c r="O134" s="8">
        <f t="shared" si="10"/>
        <v>0.4162191788178603</v>
      </c>
      <c r="P134" s="8">
        <v>1972</v>
      </c>
      <c r="Q134" s="8">
        <f t="shared" si="11"/>
        <v>5.4027397260273968</v>
      </c>
      <c r="R134" s="2"/>
      <c r="S134" s="9">
        <f t="shared" si="8"/>
        <v>0.84090310541206903</v>
      </c>
      <c r="T134" s="9">
        <f t="shared" si="9"/>
        <v>6.4781947261663281E-2</v>
      </c>
    </row>
    <row r="135" spans="1:20" ht="187" x14ac:dyDescent="0.2">
      <c r="A135" s="8">
        <v>90</v>
      </c>
      <c r="B135" s="1" t="s">
        <v>416</v>
      </c>
      <c r="C135" s="8">
        <v>2015</v>
      </c>
      <c r="D135" s="8" t="s">
        <v>417</v>
      </c>
      <c r="E135" s="8" t="s">
        <v>158</v>
      </c>
      <c r="F135" s="8" t="s">
        <v>418</v>
      </c>
      <c r="G135" s="8">
        <f>-2-26/60</f>
        <v>-2.4333333333333336</v>
      </c>
      <c r="H135" s="8">
        <f>37+1/60</f>
        <v>37.016666666666666</v>
      </c>
      <c r="I135" s="8"/>
      <c r="J135" s="1" t="s">
        <v>545</v>
      </c>
      <c r="K135" s="1" t="s">
        <v>37</v>
      </c>
      <c r="L135" s="1" t="s">
        <v>419</v>
      </c>
      <c r="M135" s="8">
        <v>0.09</v>
      </c>
      <c r="N135" s="8">
        <v>374.55666751960899</v>
      </c>
      <c r="O135" s="8">
        <f t="shared" si="10"/>
        <v>1.0261826507386547</v>
      </c>
      <c r="P135" s="8">
        <v>1558</v>
      </c>
      <c r="Q135" s="8">
        <f t="shared" si="11"/>
        <v>4.2684931506849315</v>
      </c>
      <c r="R135" s="8"/>
      <c r="S135" s="9">
        <f t="shared" si="8"/>
        <v>8.7703685045948943E-2</v>
      </c>
      <c r="T135" s="9">
        <f t="shared" si="9"/>
        <v>2.1084724005134788E-2</v>
      </c>
    </row>
    <row r="136" spans="1:20" ht="136" x14ac:dyDescent="0.2">
      <c r="A136" s="8">
        <v>91</v>
      </c>
      <c r="B136" s="1" t="s">
        <v>420</v>
      </c>
      <c r="C136" s="8">
        <v>2013</v>
      </c>
      <c r="D136" s="8" t="s">
        <v>417</v>
      </c>
      <c r="E136" s="8" t="s">
        <v>158</v>
      </c>
      <c r="F136" s="8" t="s">
        <v>421</v>
      </c>
      <c r="G136" s="8">
        <v>-0.74670000000000003</v>
      </c>
      <c r="H136" s="8">
        <v>38.939</v>
      </c>
      <c r="I136" s="8" t="s">
        <v>422</v>
      </c>
      <c r="J136" s="8" t="s">
        <v>339</v>
      </c>
      <c r="K136" s="10" t="s">
        <v>24</v>
      </c>
      <c r="L136" s="11" t="s">
        <v>423</v>
      </c>
      <c r="M136" s="8">
        <v>0.17</v>
      </c>
      <c r="N136" s="8">
        <v>220</v>
      </c>
      <c r="O136" s="8">
        <f t="shared" si="10"/>
        <v>0.60273972602739723</v>
      </c>
      <c r="P136" s="8">
        <v>1441</v>
      </c>
      <c r="Q136" s="8">
        <f t="shared" si="11"/>
        <v>3.9479452054794519</v>
      </c>
      <c r="R136" s="8"/>
      <c r="S136" s="9">
        <f t="shared" ref="S136:S172" si="12">IFERROR(M136/O136,"")</f>
        <v>0.2820454545454546</v>
      </c>
      <c r="T136" s="9">
        <f t="shared" ref="T136:T172" si="13">IFERROR(M136/Q136,"")</f>
        <v>4.3060374739764054E-2</v>
      </c>
    </row>
    <row r="137" spans="1:20" ht="51" x14ac:dyDescent="0.2">
      <c r="A137" s="8">
        <v>92</v>
      </c>
      <c r="B137" s="8" t="s">
        <v>424</v>
      </c>
      <c r="C137" s="8">
        <v>2006</v>
      </c>
      <c r="D137" s="1" t="s">
        <v>417</v>
      </c>
      <c r="E137" s="8" t="s">
        <v>158</v>
      </c>
      <c r="F137" s="10" t="s">
        <v>425</v>
      </c>
      <c r="G137" s="8">
        <f>-2-22/60</f>
        <v>-2.3666666666666667</v>
      </c>
      <c r="H137" s="8">
        <f>37+8/60</f>
        <v>37.133333333333333</v>
      </c>
      <c r="I137" s="8" t="s">
        <v>426</v>
      </c>
      <c r="J137" s="8"/>
      <c r="K137" s="8" t="s">
        <v>24</v>
      </c>
      <c r="L137" s="1" t="s">
        <v>427</v>
      </c>
      <c r="M137" s="8">
        <v>7.2220000000000006E-2</v>
      </c>
      <c r="N137" s="8">
        <v>200</v>
      </c>
      <c r="O137" s="8">
        <f t="shared" si="10"/>
        <v>0.54794520547945202</v>
      </c>
      <c r="P137" s="8">
        <v>1654</v>
      </c>
      <c r="Q137" s="8">
        <f t="shared" si="11"/>
        <v>4.5315068493150683</v>
      </c>
      <c r="R137" s="8">
        <v>630</v>
      </c>
      <c r="S137" s="9">
        <f t="shared" si="12"/>
        <v>0.13180150000000002</v>
      </c>
      <c r="T137" s="9">
        <f t="shared" si="13"/>
        <v>1.5937303506650548E-2</v>
      </c>
    </row>
    <row r="138" spans="1:20" ht="170" x14ac:dyDescent="0.2">
      <c r="A138" s="8">
        <v>112</v>
      </c>
      <c r="B138" s="1" t="s">
        <v>428</v>
      </c>
      <c r="C138" s="8">
        <v>2015</v>
      </c>
      <c r="D138" s="8" t="s">
        <v>417</v>
      </c>
      <c r="E138" s="8" t="s">
        <v>158</v>
      </c>
      <c r="F138" s="8" t="s">
        <v>429</v>
      </c>
      <c r="G138" s="8">
        <f>-2-26/60-30/3600</f>
        <v>-2.4416666666666669</v>
      </c>
      <c r="H138" s="8">
        <f>37+37/3600</f>
        <v>37.01027777777778</v>
      </c>
      <c r="I138" s="8" t="s">
        <v>430</v>
      </c>
      <c r="J138" s="8" t="s">
        <v>546</v>
      </c>
      <c r="K138" s="8" t="s">
        <v>24</v>
      </c>
      <c r="L138" s="1" t="s">
        <v>431</v>
      </c>
      <c r="M138" s="8">
        <v>0.1225</v>
      </c>
      <c r="N138" s="8">
        <v>235</v>
      </c>
      <c r="O138" s="8">
        <f t="shared" si="10"/>
        <v>0.64383561643835618</v>
      </c>
      <c r="P138" s="8">
        <v>1571</v>
      </c>
      <c r="Q138" s="8">
        <f t="shared" si="11"/>
        <v>4.3041095890410963</v>
      </c>
      <c r="R138" s="8" t="s">
        <v>432</v>
      </c>
      <c r="S138" s="9">
        <f t="shared" si="12"/>
        <v>0.19026595744680849</v>
      </c>
      <c r="T138" s="9">
        <f t="shared" si="13"/>
        <v>2.8461171228516866E-2</v>
      </c>
    </row>
    <row r="139" spans="1:20" ht="170" x14ac:dyDescent="0.2">
      <c r="A139" s="8">
        <v>113</v>
      </c>
      <c r="B139" s="1" t="s">
        <v>428</v>
      </c>
      <c r="C139" s="8">
        <v>2015</v>
      </c>
      <c r="D139" s="8" t="s">
        <v>417</v>
      </c>
      <c r="E139" s="8" t="s">
        <v>158</v>
      </c>
      <c r="F139" s="8" t="s">
        <v>429</v>
      </c>
      <c r="G139" s="8">
        <f>-2-26/60-30/3600</f>
        <v>-2.4416666666666669</v>
      </c>
      <c r="H139" s="8">
        <f>37+37/3600</f>
        <v>37.01027777777778</v>
      </c>
      <c r="I139" s="8" t="s">
        <v>430</v>
      </c>
      <c r="J139" s="8" t="s">
        <v>433</v>
      </c>
      <c r="K139" s="8" t="s">
        <v>24</v>
      </c>
      <c r="L139" s="1" t="s">
        <v>431</v>
      </c>
      <c r="M139" s="8">
        <v>7.3499999999999996E-2</v>
      </c>
      <c r="N139" s="8">
        <v>235</v>
      </c>
      <c r="O139" s="8">
        <f t="shared" si="10"/>
        <v>0.64383561643835618</v>
      </c>
      <c r="P139" s="8">
        <v>1571</v>
      </c>
      <c r="Q139" s="8">
        <f t="shared" si="11"/>
        <v>4.3041095890410963</v>
      </c>
      <c r="R139" s="8" t="s">
        <v>432</v>
      </c>
      <c r="S139" s="9">
        <f t="shared" si="12"/>
        <v>0.1141595744680851</v>
      </c>
      <c r="T139" s="9">
        <f t="shared" si="13"/>
        <v>1.7076702737110119E-2</v>
      </c>
    </row>
    <row r="140" spans="1:20" ht="17" x14ac:dyDescent="0.2">
      <c r="A140" s="8">
        <v>141</v>
      </c>
      <c r="B140" s="8" t="s">
        <v>434</v>
      </c>
      <c r="C140" s="8">
        <v>2007</v>
      </c>
      <c r="D140" s="8" t="s">
        <v>417</v>
      </c>
      <c r="E140" s="8" t="s">
        <v>158</v>
      </c>
      <c r="F140" s="8" t="s">
        <v>435</v>
      </c>
      <c r="G140" s="8">
        <f>-2-26/60</f>
        <v>-2.4333333333333336</v>
      </c>
      <c r="H140" s="8">
        <f>37+1/60</f>
        <v>37.016666666666666</v>
      </c>
      <c r="I140" s="8" t="s">
        <v>436</v>
      </c>
      <c r="J140" s="1" t="s">
        <v>95</v>
      </c>
      <c r="K140" s="8" t="s">
        <v>24</v>
      </c>
      <c r="L140" s="1"/>
      <c r="M140" s="8"/>
      <c r="N140" s="8">
        <v>250</v>
      </c>
      <c r="O140" s="8">
        <f t="shared" si="10"/>
        <v>0.68493150684931503</v>
      </c>
      <c r="P140" s="8">
        <v>1558</v>
      </c>
      <c r="Q140" s="8">
        <f t="shared" si="11"/>
        <v>4.2684931506849315</v>
      </c>
      <c r="R140" s="8">
        <v>210</v>
      </c>
      <c r="S140" s="9">
        <f t="shared" si="12"/>
        <v>0</v>
      </c>
      <c r="T140" s="9">
        <f t="shared" si="13"/>
        <v>0</v>
      </c>
    </row>
    <row r="141" spans="1:20" x14ac:dyDescent="0.2">
      <c r="A141" s="8">
        <v>162</v>
      </c>
      <c r="B141" s="8" t="s">
        <v>437</v>
      </c>
      <c r="C141" s="8">
        <v>2007</v>
      </c>
      <c r="D141" s="8" t="s">
        <v>417</v>
      </c>
      <c r="E141" s="8" t="s">
        <v>158</v>
      </c>
      <c r="F141" s="8" t="s">
        <v>438</v>
      </c>
      <c r="G141" s="8">
        <v>-4</v>
      </c>
      <c r="H141" s="8">
        <v>40.5</v>
      </c>
      <c r="I141" s="8" t="s">
        <v>439</v>
      </c>
      <c r="J141" s="8" t="s">
        <v>440</v>
      </c>
      <c r="K141" s="8" t="s">
        <v>50</v>
      </c>
      <c r="L141" s="4"/>
      <c r="M141" s="8">
        <v>7</v>
      </c>
      <c r="N141" s="8">
        <v>400</v>
      </c>
      <c r="O141" s="8">
        <f t="shared" si="10"/>
        <v>1.095890410958904</v>
      </c>
      <c r="P141" s="8">
        <v>1413</v>
      </c>
      <c r="Q141" s="8">
        <f t="shared" si="11"/>
        <v>3.871232876712329</v>
      </c>
      <c r="R141" s="8" t="s">
        <v>441</v>
      </c>
      <c r="S141" s="9">
        <f t="shared" si="12"/>
        <v>6.3875000000000002</v>
      </c>
      <c r="T141" s="9">
        <f t="shared" si="13"/>
        <v>1.808209483368719</v>
      </c>
    </row>
    <row r="142" spans="1:20" x14ac:dyDescent="0.2">
      <c r="A142" s="8">
        <v>163</v>
      </c>
      <c r="B142" s="8" t="s">
        <v>437</v>
      </c>
      <c r="C142" s="8">
        <v>2007</v>
      </c>
      <c r="D142" s="8" t="s">
        <v>417</v>
      </c>
      <c r="E142" s="8" t="s">
        <v>158</v>
      </c>
      <c r="F142" s="8" t="s">
        <v>438</v>
      </c>
      <c r="G142" s="8">
        <v>-4</v>
      </c>
      <c r="H142" s="8">
        <v>40.5</v>
      </c>
      <c r="I142" s="8" t="s">
        <v>439</v>
      </c>
      <c r="J142" s="8" t="s">
        <v>442</v>
      </c>
      <c r="K142" s="8" t="s">
        <v>50</v>
      </c>
      <c r="L142" s="4"/>
      <c r="M142" s="8">
        <v>2</v>
      </c>
      <c r="N142" s="8">
        <v>400</v>
      </c>
      <c r="O142" s="8">
        <f t="shared" si="10"/>
        <v>1.095890410958904</v>
      </c>
      <c r="P142" s="8">
        <v>1413</v>
      </c>
      <c r="Q142" s="8">
        <f t="shared" si="11"/>
        <v>3.871232876712329</v>
      </c>
      <c r="R142" s="8" t="s">
        <v>441</v>
      </c>
      <c r="S142" s="9">
        <f t="shared" si="12"/>
        <v>1.8250000000000002</v>
      </c>
      <c r="T142" s="9">
        <f t="shared" si="13"/>
        <v>0.51663128096249111</v>
      </c>
    </row>
    <row r="143" spans="1:20" x14ac:dyDescent="0.2">
      <c r="A143" s="8">
        <v>164</v>
      </c>
      <c r="B143" s="8" t="s">
        <v>437</v>
      </c>
      <c r="C143" s="8">
        <v>2007</v>
      </c>
      <c r="D143" s="8" t="s">
        <v>417</v>
      </c>
      <c r="E143" s="8" t="s">
        <v>158</v>
      </c>
      <c r="F143" s="8" t="s">
        <v>438</v>
      </c>
      <c r="G143" s="8">
        <v>-4</v>
      </c>
      <c r="H143" s="8">
        <v>40.5</v>
      </c>
      <c r="I143" s="8" t="s">
        <v>439</v>
      </c>
      <c r="J143" s="8" t="s">
        <v>443</v>
      </c>
      <c r="K143" s="8" t="s">
        <v>50</v>
      </c>
      <c r="L143" s="4"/>
      <c r="M143" s="1">
        <v>4.5999999999999996</v>
      </c>
      <c r="N143" s="8">
        <v>400</v>
      </c>
      <c r="O143" s="8">
        <f t="shared" si="10"/>
        <v>1.095890410958904</v>
      </c>
      <c r="P143" s="8">
        <v>1413</v>
      </c>
      <c r="Q143" s="8">
        <f t="shared" si="11"/>
        <v>3.871232876712329</v>
      </c>
      <c r="R143" s="8" t="s">
        <v>444</v>
      </c>
      <c r="S143" s="9">
        <f t="shared" si="12"/>
        <v>4.1974999999999998</v>
      </c>
      <c r="T143" s="9">
        <f t="shared" si="13"/>
        <v>1.1882519462137295</v>
      </c>
    </row>
    <row r="144" spans="1:20" ht="51" x14ac:dyDescent="0.2">
      <c r="A144" s="8">
        <v>93</v>
      </c>
      <c r="B144" s="8" t="s">
        <v>445</v>
      </c>
      <c r="C144" s="8">
        <v>1994</v>
      </c>
      <c r="D144" s="8" t="s">
        <v>446</v>
      </c>
      <c r="E144" s="8" t="s">
        <v>158</v>
      </c>
      <c r="F144" s="8" t="s">
        <v>447</v>
      </c>
      <c r="G144" s="8">
        <f>5+45/60</f>
        <v>5.75</v>
      </c>
      <c r="H144" s="8">
        <f>51+59/60</f>
        <v>51.983333333333334</v>
      </c>
      <c r="I144" s="8" t="s">
        <v>448</v>
      </c>
      <c r="J144" s="8" t="s">
        <v>449</v>
      </c>
      <c r="K144" s="8" t="s">
        <v>37</v>
      </c>
      <c r="L144" s="1" t="s">
        <v>450</v>
      </c>
      <c r="M144" s="8">
        <v>0.41</v>
      </c>
      <c r="N144" s="8"/>
      <c r="O144" s="8"/>
      <c r="P144" s="8">
        <v>725</v>
      </c>
      <c r="Q144" s="8">
        <f t="shared" si="11"/>
        <v>1.9863013698630136</v>
      </c>
      <c r="R144" s="8"/>
      <c r="S144" s="9" t="str">
        <f t="shared" si="12"/>
        <v/>
      </c>
      <c r="T144" s="9">
        <f t="shared" si="13"/>
        <v>0.20641379310344826</v>
      </c>
    </row>
    <row r="145" spans="1:20" ht="102" x14ac:dyDescent="0.2">
      <c r="A145" s="8">
        <v>119</v>
      </c>
      <c r="B145" s="8" t="s">
        <v>451</v>
      </c>
      <c r="C145" s="8">
        <v>1991</v>
      </c>
      <c r="D145" s="8" t="s">
        <v>446</v>
      </c>
      <c r="E145" s="8" t="s">
        <v>158</v>
      </c>
      <c r="F145" s="8" t="s">
        <v>452</v>
      </c>
      <c r="G145" s="8">
        <v>4.8833333333333302</v>
      </c>
      <c r="H145" s="8">
        <v>52.366666666666603</v>
      </c>
      <c r="I145" s="8" t="s">
        <v>85</v>
      </c>
      <c r="J145" s="8" t="s">
        <v>453</v>
      </c>
      <c r="K145" s="8" t="s">
        <v>85</v>
      </c>
      <c r="L145" s="1" t="s">
        <v>454</v>
      </c>
      <c r="M145" s="8"/>
      <c r="N145" s="8"/>
      <c r="O145" s="8"/>
      <c r="P145" s="8"/>
      <c r="Q145" s="8"/>
      <c r="R145" s="8"/>
      <c r="S145" s="9" t="str">
        <f t="shared" si="12"/>
        <v/>
      </c>
      <c r="T145" s="9" t="str">
        <f t="shared" si="13"/>
        <v/>
      </c>
    </row>
    <row r="146" spans="1:20" ht="119" x14ac:dyDescent="0.2">
      <c r="A146" s="8">
        <v>140</v>
      </c>
      <c r="B146" s="8" t="s">
        <v>455</v>
      </c>
      <c r="C146" s="8">
        <v>2010</v>
      </c>
      <c r="D146" s="8" t="s">
        <v>446</v>
      </c>
      <c r="E146" s="8" t="s">
        <v>158</v>
      </c>
      <c r="F146" s="8" t="s">
        <v>456</v>
      </c>
      <c r="G146" s="8">
        <f>4.927</f>
        <v>4.9269999999999996</v>
      </c>
      <c r="H146" s="8">
        <v>51.97</v>
      </c>
      <c r="I146" s="8"/>
      <c r="J146" s="1" t="s">
        <v>457</v>
      </c>
      <c r="K146" s="8" t="s">
        <v>24</v>
      </c>
      <c r="L146" s="1"/>
      <c r="M146" s="8"/>
      <c r="N146" s="8"/>
      <c r="O146" s="8"/>
      <c r="P146" s="8"/>
      <c r="Q146" s="8"/>
      <c r="R146" s="8">
        <v>-0.7</v>
      </c>
      <c r="S146" s="9" t="str">
        <f t="shared" si="12"/>
        <v/>
      </c>
      <c r="T146" s="9" t="str">
        <f t="shared" si="13"/>
        <v/>
      </c>
    </row>
    <row r="147" spans="1:20" x14ac:dyDescent="0.2">
      <c r="A147" s="8">
        <v>151</v>
      </c>
      <c r="B147" s="8" t="s">
        <v>458</v>
      </c>
      <c r="C147" s="8">
        <v>2010</v>
      </c>
      <c r="D147" s="8" t="s">
        <v>459</v>
      </c>
      <c r="E147" s="8" t="s">
        <v>158</v>
      </c>
      <c r="F147" s="8" t="s">
        <v>460</v>
      </c>
      <c r="G147" s="8">
        <f>35+21/60</f>
        <v>35.35</v>
      </c>
      <c r="H147" s="8">
        <f>37+1/60</f>
        <v>37.016666666666666</v>
      </c>
      <c r="I147" s="8" t="s">
        <v>461</v>
      </c>
      <c r="J147" s="8" t="s">
        <v>462</v>
      </c>
      <c r="K147" s="8" t="s">
        <v>24</v>
      </c>
      <c r="L147" s="1"/>
      <c r="M147" s="8"/>
      <c r="N147" s="8"/>
      <c r="O147" s="8"/>
      <c r="P147" s="8"/>
      <c r="Q147" s="8"/>
      <c r="R147" s="8" t="s">
        <v>463</v>
      </c>
      <c r="S147" s="9" t="str">
        <f t="shared" si="12"/>
        <v/>
      </c>
      <c r="T147" s="9" t="str">
        <f t="shared" si="13"/>
        <v/>
      </c>
    </row>
    <row r="148" spans="1:20" x14ac:dyDescent="0.2">
      <c r="A148" s="8">
        <v>120</v>
      </c>
      <c r="B148" s="8" t="s">
        <v>464</v>
      </c>
      <c r="C148" s="8">
        <v>1954</v>
      </c>
      <c r="D148" s="8" t="s">
        <v>465</v>
      </c>
      <c r="E148" s="8" t="s">
        <v>158</v>
      </c>
      <c r="F148" s="8" t="s">
        <v>466</v>
      </c>
      <c r="G148" s="8">
        <v>-0.116666666666666</v>
      </c>
      <c r="H148" s="8">
        <v>51.5</v>
      </c>
      <c r="I148" s="2"/>
      <c r="J148" s="8"/>
      <c r="K148" s="8" t="s">
        <v>37</v>
      </c>
      <c r="L148" s="1"/>
      <c r="M148" s="8"/>
      <c r="N148" s="8"/>
      <c r="O148" s="8"/>
      <c r="P148" s="8"/>
      <c r="Q148" s="8"/>
      <c r="R148" s="8"/>
      <c r="S148" s="9" t="str">
        <f t="shared" si="12"/>
        <v/>
      </c>
      <c r="T148" s="9" t="str">
        <f t="shared" si="13"/>
        <v/>
      </c>
    </row>
    <row r="149" spans="1:20" x14ac:dyDescent="0.2">
      <c r="A149" s="8">
        <v>94</v>
      </c>
      <c r="B149" s="8" t="s">
        <v>467</v>
      </c>
      <c r="C149" s="8">
        <v>2019</v>
      </c>
      <c r="D149" s="8" t="s">
        <v>468</v>
      </c>
      <c r="E149" s="8" t="s">
        <v>56</v>
      </c>
      <c r="F149" s="8" t="s">
        <v>469</v>
      </c>
      <c r="G149" s="8">
        <v>-109.38800000000001</v>
      </c>
      <c r="H149" s="8">
        <v>38.247999999999998</v>
      </c>
      <c r="I149" s="8"/>
      <c r="J149" s="8" t="s">
        <v>36</v>
      </c>
      <c r="K149" s="8" t="s">
        <v>37</v>
      </c>
      <c r="L149" s="1"/>
      <c r="M149" s="8">
        <v>0.1</v>
      </c>
      <c r="N149" s="8">
        <v>374.87999802827801</v>
      </c>
      <c r="O149" s="8">
        <f t="shared" si="10"/>
        <v>1.0270684877487068</v>
      </c>
      <c r="P149" s="8">
        <v>1678</v>
      </c>
      <c r="Q149" s="8">
        <f t="shared" si="11"/>
        <v>4.5972602739726032</v>
      </c>
      <c r="R149" s="8"/>
      <c r="S149" s="9">
        <f t="shared" si="12"/>
        <v>9.7364490482222871E-2</v>
      </c>
      <c r="T149" s="9">
        <f t="shared" si="13"/>
        <v>2.1752085816448153E-2</v>
      </c>
    </row>
    <row r="150" spans="1:20" x14ac:dyDescent="0.2">
      <c r="A150" s="8">
        <v>95</v>
      </c>
      <c r="B150" s="8" t="s">
        <v>467</v>
      </c>
      <c r="C150" s="8">
        <v>2019</v>
      </c>
      <c r="D150" s="8" t="s">
        <v>468</v>
      </c>
      <c r="E150" s="8" t="s">
        <v>56</v>
      </c>
      <c r="F150" s="8" t="s">
        <v>470</v>
      </c>
      <c r="G150" s="8">
        <v>-106.843</v>
      </c>
      <c r="H150" s="8">
        <v>32.591000000000001</v>
      </c>
      <c r="I150" s="8"/>
      <c r="J150" s="8" t="s">
        <v>36</v>
      </c>
      <c r="K150" s="8" t="s">
        <v>37</v>
      </c>
      <c r="L150" s="1"/>
      <c r="M150" s="8">
        <v>0.16</v>
      </c>
      <c r="N150" s="8">
        <v>268.51000080853697</v>
      </c>
      <c r="O150" s="8">
        <f t="shared" si="10"/>
        <v>0.73564383783160814</v>
      </c>
      <c r="P150" s="8">
        <v>2161</v>
      </c>
      <c r="Q150" s="8">
        <f t="shared" si="11"/>
        <v>5.9205479452054792</v>
      </c>
      <c r="R150" s="8"/>
      <c r="S150" s="9">
        <f t="shared" si="12"/>
        <v>0.21749655440820079</v>
      </c>
      <c r="T150" s="9">
        <f t="shared" si="13"/>
        <v>2.7024525682554375E-2</v>
      </c>
    </row>
    <row r="151" spans="1:20" x14ac:dyDescent="0.2">
      <c r="A151" s="8">
        <v>96</v>
      </c>
      <c r="B151" s="8" t="s">
        <v>467</v>
      </c>
      <c r="C151" s="8">
        <v>2019</v>
      </c>
      <c r="D151" s="8" t="s">
        <v>468</v>
      </c>
      <c r="E151" s="8" t="s">
        <v>56</v>
      </c>
      <c r="F151" s="8" t="s">
        <v>471</v>
      </c>
      <c r="G151" s="8" t="s">
        <v>472</v>
      </c>
      <c r="H151" s="8">
        <v>40.177999999999997</v>
      </c>
      <c r="I151" s="8"/>
      <c r="J151" s="8" t="s">
        <v>36</v>
      </c>
      <c r="K151" s="8" t="s">
        <v>37</v>
      </c>
      <c r="L151" s="1"/>
      <c r="M151" s="8">
        <v>0.04</v>
      </c>
      <c r="N151" s="8"/>
      <c r="O151" s="8"/>
      <c r="P151" s="8"/>
      <c r="Q151" s="8"/>
      <c r="R151" s="8"/>
      <c r="S151" s="9" t="str">
        <f t="shared" si="12"/>
        <v/>
      </c>
      <c r="T151" s="9" t="str">
        <f t="shared" si="13"/>
        <v/>
      </c>
    </row>
    <row r="152" spans="1:20" x14ac:dyDescent="0.2">
      <c r="A152" s="8">
        <v>97</v>
      </c>
      <c r="B152" s="8" t="s">
        <v>467</v>
      </c>
      <c r="C152" s="8">
        <v>2019</v>
      </c>
      <c r="D152" s="8" t="s">
        <v>468</v>
      </c>
      <c r="E152" s="8" t="s">
        <v>56</v>
      </c>
      <c r="F152" s="8" t="s">
        <v>473</v>
      </c>
      <c r="G152" s="8" t="s">
        <v>474</v>
      </c>
      <c r="H152" s="8">
        <v>39.100999999999999</v>
      </c>
      <c r="I152" s="8"/>
      <c r="J152" s="8" t="s">
        <v>36</v>
      </c>
      <c r="K152" s="8" t="s">
        <v>37</v>
      </c>
      <c r="L152" s="1"/>
      <c r="M152" s="8">
        <v>0.16</v>
      </c>
      <c r="N152" s="8"/>
      <c r="O152" s="8"/>
      <c r="P152" s="8"/>
      <c r="Q152" s="8"/>
      <c r="R152" s="8"/>
      <c r="S152" s="9" t="str">
        <f t="shared" si="12"/>
        <v/>
      </c>
      <c r="T152" s="9" t="str">
        <f t="shared" si="13"/>
        <v/>
      </c>
    </row>
    <row r="153" spans="1:20" x14ac:dyDescent="0.2">
      <c r="A153" s="8">
        <v>98</v>
      </c>
      <c r="B153" s="8" t="s">
        <v>467</v>
      </c>
      <c r="C153" s="8">
        <v>2019</v>
      </c>
      <c r="D153" s="8" t="s">
        <v>468</v>
      </c>
      <c r="E153" s="8" t="s">
        <v>56</v>
      </c>
      <c r="F153" s="8" t="s">
        <v>475</v>
      </c>
      <c r="G153" s="8" t="s">
        <v>476</v>
      </c>
      <c r="H153" s="8">
        <v>40.816000000000003</v>
      </c>
      <c r="I153" s="8"/>
      <c r="J153" s="8" t="s">
        <v>36</v>
      </c>
      <c r="K153" s="8" t="s">
        <v>37</v>
      </c>
      <c r="L153" s="1"/>
      <c r="M153" s="8">
        <v>0.01</v>
      </c>
      <c r="N153" s="8"/>
      <c r="O153" s="8"/>
      <c r="P153" s="8"/>
      <c r="Q153" s="8"/>
      <c r="R153" s="8"/>
      <c r="S153" s="9" t="str">
        <f t="shared" si="12"/>
        <v/>
      </c>
      <c r="T153" s="9" t="str">
        <f t="shared" si="13"/>
        <v/>
      </c>
    </row>
    <row r="154" spans="1:20" x14ac:dyDescent="0.2">
      <c r="A154" s="8">
        <v>99</v>
      </c>
      <c r="B154" s="8" t="s">
        <v>467</v>
      </c>
      <c r="C154" s="8">
        <v>2019</v>
      </c>
      <c r="D154" s="8" t="s">
        <v>468</v>
      </c>
      <c r="E154" s="8" t="s">
        <v>56</v>
      </c>
      <c r="F154" s="8" t="s">
        <v>477</v>
      </c>
      <c r="G154" s="8" t="s">
        <v>478</v>
      </c>
      <c r="H154" s="8">
        <v>35.411000000000001</v>
      </c>
      <c r="I154" s="8"/>
      <c r="J154" s="8" t="s">
        <v>36</v>
      </c>
      <c r="K154" s="8" t="s">
        <v>37</v>
      </c>
      <c r="L154" s="1"/>
      <c r="M154" s="8">
        <v>0.14000000000000001</v>
      </c>
      <c r="N154" s="8"/>
      <c r="O154" s="8"/>
      <c r="P154" s="8"/>
      <c r="Q154" s="8"/>
      <c r="R154" s="8"/>
      <c r="S154" s="9" t="str">
        <f t="shared" si="12"/>
        <v/>
      </c>
      <c r="T154" s="9" t="str">
        <f t="shared" si="13"/>
        <v/>
      </c>
    </row>
    <row r="155" spans="1:20" x14ac:dyDescent="0.2">
      <c r="A155" s="8">
        <v>100</v>
      </c>
      <c r="B155" s="8" t="s">
        <v>467</v>
      </c>
      <c r="C155" s="8">
        <v>2019</v>
      </c>
      <c r="D155" s="8" t="s">
        <v>468</v>
      </c>
      <c r="E155" s="8" t="s">
        <v>56</v>
      </c>
      <c r="F155" s="8" t="s">
        <v>479</v>
      </c>
      <c r="G155" s="8" t="s">
        <v>480</v>
      </c>
      <c r="H155" s="8">
        <v>63.875999999999998</v>
      </c>
      <c r="I155" s="8"/>
      <c r="J155" s="8" t="s">
        <v>36</v>
      </c>
      <c r="K155" s="8" t="s">
        <v>37</v>
      </c>
      <c r="L155" s="1"/>
      <c r="M155" s="8">
        <v>0.11</v>
      </c>
      <c r="N155" s="8"/>
      <c r="O155" s="8"/>
      <c r="P155" s="8"/>
      <c r="Q155" s="8"/>
      <c r="R155" s="8"/>
      <c r="S155" s="9" t="str">
        <f t="shared" si="12"/>
        <v/>
      </c>
      <c r="T155" s="9" t="str">
        <f t="shared" si="13"/>
        <v/>
      </c>
    </row>
    <row r="156" spans="1:20" x14ac:dyDescent="0.2">
      <c r="A156" s="8">
        <v>101</v>
      </c>
      <c r="B156" s="8" t="s">
        <v>467</v>
      </c>
      <c r="C156" s="8">
        <v>2019</v>
      </c>
      <c r="D156" s="8" t="s">
        <v>468</v>
      </c>
      <c r="E156" s="8" t="s">
        <v>56</v>
      </c>
      <c r="F156" s="8" t="s">
        <v>481</v>
      </c>
      <c r="G156" s="8" t="s">
        <v>482</v>
      </c>
      <c r="H156" s="8">
        <v>47.161999999999999</v>
      </c>
      <c r="I156" s="8"/>
      <c r="J156" s="8" t="s">
        <v>36</v>
      </c>
      <c r="K156" s="8" t="s">
        <v>37</v>
      </c>
      <c r="L156" s="1"/>
      <c r="M156" s="8">
        <v>0.42</v>
      </c>
      <c r="N156" s="8"/>
      <c r="O156" s="8"/>
      <c r="P156" s="8"/>
      <c r="Q156" s="8"/>
      <c r="R156" s="8"/>
      <c r="S156" s="9" t="str">
        <f t="shared" si="12"/>
        <v/>
      </c>
      <c r="T156" s="9" t="str">
        <f t="shared" si="13"/>
        <v/>
      </c>
    </row>
    <row r="157" spans="1:20" x14ac:dyDescent="0.2">
      <c r="A157" s="8">
        <v>102</v>
      </c>
      <c r="B157" s="8" t="s">
        <v>467</v>
      </c>
      <c r="C157" s="8">
        <v>2019</v>
      </c>
      <c r="D157" s="8" t="s">
        <v>468</v>
      </c>
      <c r="E157" s="8" t="s">
        <v>56</v>
      </c>
      <c r="F157" s="8" t="s">
        <v>483</v>
      </c>
      <c r="G157" s="8" t="s">
        <v>484</v>
      </c>
      <c r="H157" s="8">
        <v>47.128</v>
      </c>
      <c r="I157" s="8"/>
      <c r="J157" s="8" t="s">
        <v>36</v>
      </c>
      <c r="K157" s="8" t="s">
        <v>37</v>
      </c>
      <c r="L157" s="1"/>
      <c r="M157" s="8">
        <v>0.14000000000000001</v>
      </c>
      <c r="N157" s="8"/>
      <c r="O157" s="8"/>
      <c r="P157" s="8"/>
      <c r="Q157" s="8"/>
      <c r="R157" s="8"/>
      <c r="S157" s="9" t="str">
        <f t="shared" si="12"/>
        <v/>
      </c>
      <c r="T157" s="9" t="str">
        <f t="shared" si="13"/>
        <v/>
      </c>
    </row>
    <row r="158" spans="1:20" x14ac:dyDescent="0.2">
      <c r="A158" s="8">
        <v>103</v>
      </c>
      <c r="B158" s="8" t="s">
        <v>467</v>
      </c>
      <c r="C158" s="8">
        <v>2019</v>
      </c>
      <c r="D158" s="8" t="s">
        <v>468</v>
      </c>
      <c r="E158" s="8" t="s">
        <v>56</v>
      </c>
      <c r="F158" s="8" t="s">
        <v>485</v>
      </c>
      <c r="G158" s="8" t="s">
        <v>486</v>
      </c>
      <c r="H158" s="8">
        <v>28.125</v>
      </c>
      <c r="I158" s="8"/>
      <c r="J158" s="8" t="s">
        <v>36</v>
      </c>
      <c r="K158" s="8" t="s">
        <v>37</v>
      </c>
      <c r="L158" s="1"/>
      <c r="M158" s="8">
        <v>1.45</v>
      </c>
      <c r="N158" s="8"/>
      <c r="O158" s="8"/>
      <c r="P158" s="8"/>
      <c r="Q158" s="8"/>
      <c r="R158" s="8"/>
      <c r="S158" s="9" t="str">
        <f t="shared" si="12"/>
        <v/>
      </c>
      <c r="T158" s="9" t="str">
        <f t="shared" si="13"/>
        <v/>
      </c>
    </row>
    <row r="159" spans="1:20" x14ac:dyDescent="0.2">
      <c r="A159" s="8">
        <v>104</v>
      </c>
      <c r="B159" s="8" t="s">
        <v>467</v>
      </c>
      <c r="C159" s="8">
        <v>2019</v>
      </c>
      <c r="D159" s="8" t="s">
        <v>468</v>
      </c>
      <c r="E159" s="8" t="s">
        <v>56</v>
      </c>
      <c r="F159" s="8" t="s">
        <v>487</v>
      </c>
      <c r="G159" s="8" t="s">
        <v>488</v>
      </c>
      <c r="H159" s="8">
        <v>18.021000000000001</v>
      </c>
      <c r="I159" s="8"/>
      <c r="J159" s="8" t="s">
        <v>36</v>
      </c>
      <c r="K159" s="8" t="s">
        <v>37</v>
      </c>
      <c r="L159" s="1"/>
      <c r="M159" s="8">
        <v>0.52</v>
      </c>
      <c r="N159" s="8"/>
      <c r="O159" s="8"/>
      <c r="P159" s="8"/>
      <c r="Q159" s="8"/>
      <c r="R159" s="8"/>
      <c r="S159" s="9" t="str">
        <f t="shared" si="12"/>
        <v/>
      </c>
      <c r="T159" s="9" t="str">
        <f t="shared" si="13"/>
        <v/>
      </c>
    </row>
    <row r="160" spans="1:20" ht="17" x14ac:dyDescent="0.2">
      <c r="A160" s="8">
        <v>105</v>
      </c>
      <c r="B160" s="8" t="s">
        <v>489</v>
      </c>
      <c r="C160" s="8">
        <v>1998</v>
      </c>
      <c r="D160" s="8" t="s">
        <v>468</v>
      </c>
      <c r="E160" s="8" t="s">
        <v>56</v>
      </c>
      <c r="F160" s="8" t="s">
        <v>490</v>
      </c>
      <c r="G160" s="8">
        <f>-12-44/60</f>
        <v>-12.733333333333333</v>
      </c>
      <c r="H160" s="8">
        <f>41+33/60</f>
        <v>41.55</v>
      </c>
      <c r="I160" s="8" t="s">
        <v>491</v>
      </c>
      <c r="J160" s="1"/>
      <c r="K160" s="1" t="s">
        <v>37</v>
      </c>
      <c r="L160" s="1"/>
      <c r="M160" s="8">
        <v>0.23</v>
      </c>
      <c r="N160" s="8"/>
      <c r="O160" s="8"/>
      <c r="P160" s="8"/>
      <c r="Q160" s="8"/>
      <c r="R160" s="8" t="s">
        <v>492</v>
      </c>
      <c r="S160" s="9" t="str">
        <f t="shared" si="12"/>
        <v/>
      </c>
      <c r="T160" s="9" t="str">
        <f t="shared" si="13"/>
        <v/>
      </c>
    </row>
    <row r="161" spans="1:20" ht="17" x14ac:dyDescent="0.2">
      <c r="A161" s="8">
        <v>106</v>
      </c>
      <c r="B161" s="8" t="s">
        <v>489</v>
      </c>
      <c r="C161" s="8">
        <v>1998</v>
      </c>
      <c r="D161" s="8" t="s">
        <v>468</v>
      </c>
      <c r="E161" s="8" t="s">
        <v>56</v>
      </c>
      <c r="F161" s="8" t="s">
        <v>490</v>
      </c>
      <c r="G161" s="8">
        <f>-12-44/60</f>
        <v>-12.733333333333333</v>
      </c>
      <c r="H161" s="8">
        <f>41+33/60</f>
        <v>41.55</v>
      </c>
      <c r="I161" s="8" t="s">
        <v>491</v>
      </c>
      <c r="J161" s="1"/>
      <c r="K161" s="1" t="s">
        <v>37</v>
      </c>
      <c r="L161" s="1"/>
      <c r="M161" s="8">
        <v>0.23</v>
      </c>
      <c r="N161" s="8"/>
      <c r="O161" s="8"/>
      <c r="P161" s="8"/>
      <c r="Q161" s="8"/>
      <c r="R161" s="8" t="s">
        <v>492</v>
      </c>
      <c r="S161" s="9" t="str">
        <f t="shared" si="12"/>
        <v/>
      </c>
      <c r="T161" s="9" t="str">
        <f t="shared" si="13"/>
        <v/>
      </c>
    </row>
    <row r="162" spans="1:20" x14ac:dyDescent="0.2">
      <c r="A162" s="8">
        <v>122</v>
      </c>
      <c r="B162" s="8" t="s">
        <v>493</v>
      </c>
      <c r="C162" s="8">
        <v>2009</v>
      </c>
      <c r="D162" s="8" t="s">
        <v>468</v>
      </c>
      <c r="E162" s="8" t="s">
        <v>56</v>
      </c>
      <c r="F162" s="8" t="s">
        <v>494</v>
      </c>
      <c r="G162" s="8">
        <v>-93.631900000000002</v>
      </c>
      <c r="H162" s="8">
        <v>42.030799999999999</v>
      </c>
      <c r="I162" s="2"/>
      <c r="J162" s="8"/>
      <c r="K162" s="8" t="s">
        <v>37</v>
      </c>
      <c r="L162" s="1"/>
      <c r="M162" s="8"/>
      <c r="N162" s="8"/>
      <c r="O162" s="8"/>
      <c r="P162" s="8"/>
      <c r="Q162" s="8"/>
      <c r="R162" s="8"/>
      <c r="S162" s="9" t="str">
        <f t="shared" si="12"/>
        <v/>
      </c>
      <c r="T162" s="9" t="str">
        <f t="shared" si="13"/>
        <v/>
      </c>
    </row>
    <row r="163" spans="1:20" ht="187" x14ac:dyDescent="0.2">
      <c r="A163" s="8">
        <v>133</v>
      </c>
      <c r="B163" s="8" t="s">
        <v>495</v>
      </c>
      <c r="C163" s="8">
        <v>2009</v>
      </c>
      <c r="D163" s="8" t="s">
        <v>468</v>
      </c>
      <c r="E163" s="8" t="s">
        <v>56</v>
      </c>
      <c r="F163" s="8" t="s">
        <v>496</v>
      </c>
      <c r="G163" s="8">
        <f>-122-59/60</f>
        <v>-122.98333333333333</v>
      </c>
      <c r="H163" s="8">
        <f>38+24/60</f>
        <v>38.4</v>
      </c>
      <c r="I163" s="8" t="s">
        <v>497</v>
      </c>
      <c r="J163" s="1" t="s">
        <v>498</v>
      </c>
      <c r="K163" s="8" t="s">
        <v>37</v>
      </c>
      <c r="L163" s="1" t="s">
        <v>499</v>
      </c>
      <c r="M163" s="8"/>
      <c r="N163" s="8"/>
      <c r="O163" s="8"/>
      <c r="P163" s="8"/>
      <c r="Q163" s="8"/>
      <c r="R163" s="8"/>
      <c r="S163" s="9" t="str">
        <f t="shared" si="12"/>
        <v/>
      </c>
      <c r="T163" s="9" t="str">
        <f t="shared" si="13"/>
        <v/>
      </c>
    </row>
    <row r="164" spans="1:20" ht="51" x14ac:dyDescent="0.2">
      <c r="A164" s="8">
        <v>134</v>
      </c>
      <c r="B164" s="8" t="s">
        <v>500</v>
      </c>
      <c r="C164" s="8">
        <v>2007</v>
      </c>
      <c r="D164" s="8" t="s">
        <v>468</v>
      </c>
      <c r="E164" s="8" t="s">
        <v>56</v>
      </c>
      <c r="F164" s="8" t="s">
        <v>501</v>
      </c>
      <c r="G164" s="8">
        <v>-119.716667</v>
      </c>
      <c r="H164" s="8">
        <v>34</v>
      </c>
      <c r="I164" s="8" t="s">
        <v>502</v>
      </c>
      <c r="J164" s="1" t="s">
        <v>503</v>
      </c>
      <c r="K164" s="8" t="s">
        <v>37</v>
      </c>
      <c r="L164" s="1" t="s">
        <v>504</v>
      </c>
      <c r="M164" s="8"/>
      <c r="N164" s="8"/>
      <c r="O164" s="8"/>
      <c r="P164" s="8"/>
      <c r="Q164" s="8"/>
      <c r="R164" s="8"/>
      <c r="S164" s="9" t="str">
        <f t="shared" si="12"/>
        <v/>
      </c>
      <c r="T164" s="9" t="str">
        <f t="shared" si="13"/>
        <v/>
      </c>
    </row>
    <row r="165" spans="1:20" ht="34" x14ac:dyDescent="0.2">
      <c r="A165" s="8">
        <v>135</v>
      </c>
      <c r="B165" s="8" t="s">
        <v>505</v>
      </c>
      <c r="C165" s="8">
        <v>1973</v>
      </c>
      <c r="D165" s="8" t="s">
        <v>468</v>
      </c>
      <c r="E165" s="8" t="s">
        <v>56</v>
      </c>
      <c r="F165" s="8" t="s">
        <v>506</v>
      </c>
      <c r="G165" s="8">
        <v>-122.30800000000001</v>
      </c>
      <c r="H165" s="8">
        <v>47.6541</v>
      </c>
      <c r="I165" s="8" t="s">
        <v>507</v>
      </c>
      <c r="J165" s="1" t="s">
        <v>508</v>
      </c>
      <c r="K165" s="8" t="s">
        <v>37</v>
      </c>
      <c r="L165" s="1"/>
      <c r="M165" s="8"/>
      <c r="N165" s="8"/>
      <c r="O165" s="8"/>
      <c r="P165" s="8"/>
      <c r="Q165" s="8"/>
      <c r="R165" s="8"/>
      <c r="S165" s="9" t="str">
        <f t="shared" si="12"/>
        <v/>
      </c>
      <c r="T165" s="9" t="str">
        <f t="shared" si="13"/>
        <v/>
      </c>
    </row>
    <row r="166" spans="1:20" ht="68" x14ac:dyDescent="0.2">
      <c r="A166" s="8">
        <v>139</v>
      </c>
      <c r="B166" s="8" t="s">
        <v>509</v>
      </c>
      <c r="C166" s="8">
        <v>1985</v>
      </c>
      <c r="D166" s="8" t="s">
        <v>468</v>
      </c>
      <c r="E166" s="8" t="s">
        <v>56</v>
      </c>
      <c r="F166" s="8" t="s">
        <v>510</v>
      </c>
      <c r="G166" s="8">
        <v>-122.40770000000001</v>
      </c>
      <c r="H166" s="8">
        <v>37.654699999999998</v>
      </c>
      <c r="I166" s="8" t="s">
        <v>511</v>
      </c>
      <c r="J166" s="1" t="s">
        <v>512</v>
      </c>
      <c r="K166" s="8" t="s">
        <v>37</v>
      </c>
      <c r="L166" s="1" t="s">
        <v>513</v>
      </c>
      <c r="M166" s="8">
        <v>0.67</v>
      </c>
      <c r="N166" s="8">
        <v>600</v>
      </c>
      <c r="O166" s="8">
        <f t="shared" si="10"/>
        <v>1.6438356164383561</v>
      </c>
      <c r="P166" s="8">
        <v>1295</v>
      </c>
      <c r="Q166" s="8">
        <f t="shared" si="11"/>
        <v>3.547945205479452</v>
      </c>
      <c r="R166" s="8"/>
      <c r="S166" s="9">
        <f t="shared" si="12"/>
        <v>0.40758333333333335</v>
      </c>
      <c r="T166" s="9">
        <f t="shared" si="13"/>
        <v>0.18884169884169885</v>
      </c>
    </row>
    <row r="167" spans="1:20" ht="17" x14ac:dyDescent="0.2">
      <c r="A167" s="8">
        <v>143</v>
      </c>
      <c r="B167" s="8" t="s">
        <v>514</v>
      </c>
      <c r="C167" s="8">
        <v>2005</v>
      </c>
      <c r="D167" s="8" t="s">
        <v>468</v>
      </c>
      <c r="E167" s="8" t="s">
        <v>56</v>
      </c>
      <c r="F167" s="8" t="s">
        <v>547</v>
      </c>
      <c r="G167" s="8">
        <f>-123-4/60</f>
        <v>-123.06666666666666</v>
      </c>
      <c r="H167" s="8">
        <f>38+19/60</f>
        <v>38.31666666666667</v>
      </c>
      <c r="I167" s="8" t="s">
        <v>515</v>
      </c>
      <c r="J167" s="1" t="s">
        <v>516</v>
      </c>
      <c r="K167" s="8" t="s">
        <v>37</v>
      </c>
      <c r="L167" s="1"/>
      <c r="M167" s="8"/>
      <c r="N167" s="8"/>
      <c r="O167" s="8"/>
      <c r="P167" s="8"/>
      <c r="Q167" s="8"/>
      <c r="R167" s="8"/>
      <c r="S167" s="9" t="str">
        <f t="shared" si="12"/>
        <v/>
      </c>
      <c r="T167" s="9" t="str">
        <f t="shared" si="13"/>
        <v/>
      </c>
    </row>
    <row r="168" spans="1:20" ht="17" x14ac:dyDescent="0.2">
      <c r="A168" s="8">
        <v>144</v>
      </c>
      <c r="B168" s="8" t="s">
        <v>514</v>
      </c>
      <c r="C168" s="8">
        <v>2005</v>
      </c>
      <c r="D168" s="8" t="s">
        <v>468</v>
      </c>
      <c r="E168" s="8" t="s">
        <v>56</v>
      </c>
      <c r="F168" s="8" t="s">
        <v>547</v>
      </c>
      <c r="G168" s="8">
        <f>-122-57/60</f>
        <v>-122.95</v>
      </c>
      <c r="H168" s="8">
        <f>38+13/60</f>
        <v>38.216666666666669</v>
      </c>
      <c r="I168" s="8" t="s">
        <v>515</v>
      </c>
      <c r="J168" s="1" t="s">
        <v>516</v>
      </c>
      <c r="K168" s="8" t="s">
        <v>37</v>
      </c>
      <c r="L168" s="1"/>
      <c r="M168" s="8"/>
      <c r="N168" s="8"/>
      <c r="O168" s="8"/>
      <c r="P168" s="8"/>
      <c r="Q168" s="8"/>
      <c r="R168" s="8"/>
      <c r="S168" s="9" t="str">
        <f t="shared" si="12"/>
        <v/>
      </c>
      <c r="T168" s="9" t="str">
        <f t="shared" si="13"/>
        <v/>
      </c>
    </row>
    <row r="169" spans="1:20" ht="17" x14ac:dyDescent="0.2">
      <c r="A169" s="8">
        <v>145</v>
      </c>
      <c r="B169" s="8" t="s">
        <v>514</v>
      </c>
      <c r="C169" s="8">
        <v>2005</v>
      </c>
      <c r="D169" s="8" t="s">
        <v>468</v>
      </c>
      <c r="E169" s="8" t="s">
        <v>56</v>
      </c>
      <c r="F169" s="8" t="s">
        <v>547</v>
      </c>
      <c r="G169" s="8">
        <f>-122-33/60</f>
        <v>-122.55</v>
      </c>
      <c r="H169" s="8">
        <f>37+54/60</f>
        <v>37.9</v>
      </c>
      <c r="I169" s="8" t="s">
        <v>515</v>
      </c>
      <c r="J169" s="1" t="s">
        <v>516</v>
      </c>
      <c r="K169" s="8" t="s">
        <v>37</v>
      </c>
      <c r="L169" s="1"/>
      <c r="M169" s="8"/>
      <c r="N169" s="8"/>
      <c r="O169" s="8"/>
      <c r="P169" s="8"/>
      <c r="Q169" s="8"/>
      <c r="R169" s="8"/>
      <c r="S169" s="9" t="str">
        <f t="shared" si="12"/>
        <v/>
      </c>
      <c r="T169" s="9" t="str">
        <f t="shared" si="13"/>
        <v/>
      </c>
    </row>
    <row r="170" spans="1:20" ht="17" x14ac:dyDescent="0.2">
      <c r="A170" s="8">
        <v>146</v>
      </c>
      <c r="B170" s="8" t="s">
        <v>514</v>
      </c>
      <c r="C170" s="8">
        <v>2005</v>
      </c>
      <c r="D170" s="8" t="s">
        <v>468</v>
      </c>
      <c r="E170" s="8" t="s">
        <v>56</v>
      </c>
      <c r="F170" s="8" t="s">
        <v>547</v>
      </c>
      <c r="G170" s="8">
        <f>-122-35/60</f>
        <v>-122.58333333333333</v>
      </c>
      <c r="H170" s="8">
        <f>37+58/60</f>
        <v>37.966666666666669</v>
      </c>
      <c r="I170" s="8" t="s">
        <v>515</v>
      </c>
      <c r="J170" s="1" t="s">
        <v>516</v>
      </c>
      <c r="K170" s="8" t="s">
        <v>37</v>
      </c>
      <c r="L170" s="1"/>
      <c r="M170" s="8"/>
      <c r="N170" s="8"/>
      <c r="O170" s="8"/>
      <c r="P170" s="8"/>
      <c r="Q170" s="8"/>
      <c r="R170" s="8"/>
      <c r="S170" s="9" t="str">
        <f t="shared" si="12"/>
        <v/>
      </c>
      <c r="T170" s="9" t="str">
        <f t="shared" si="13"/>
        <v/>
      </c>
    </row>
    <row r="171" spans="1:20" ht="153" x14ac:dyDescent="0.2">
      <c r="A171" s="8">
        <v>147</v>
      </c>
      <c r="B171" s="1" t="s">
        <v>517</v>
      </c>
      <c r="C171" s="8">
        <v>2009</v>
      </c>
      <c r="D171" s="8" t="s">
        <v>468</v>
      </c>
      <c r="E171" s="8" t="s">
        <v>56</v>
      </c>
      <c r="F171" s="8" t="s">
        <v>518</v>
      </c>
      <c r="G171" s="8">
        <v>-93.692400000000006</v>
      </c>
      <c r="H171" s="8">
        <v>41.982100000000003</v>
      </c>
      <c r="I171" s="2"/>
      <c r="J171" s="1" t="s">
        <v>519</v>
      </c>
      <c r="K171" s="2" t="s">
        <v>37</v>
      </c>
      <c r="L171" s="1" t="s">
        <v>520</v>
      </c>
      <c r="M171" s="8"/>
      <c r="N171" s="8"/>
      <c r="O171" s="8"/>
      <c r="P171" s="8"/>
      <c r="Q171" s="8"/>
      <c r="R171" s="8"/>
      <c r="S171" s="9" t="str">
        <f t="shared" si="12"/>
        <v/>
      </c>
      <c r="T171" s="9" t="str">
        <f t="shared" si="13"/>
        <v/>
      </c>
    </row>
    <row r="172" spans="1:20" x14ac:dyDescent="0.2">
      <c r="A172" s="8">
        <v>154</v>
      </c>
      <c r="B172" s="8" t="s">
        <v>521</v>
      </c>
      <c r="C172" s="8">
        <v>2004</v>
      </c>
      <c r="D172" s="8" t="s">
        <v>468</v>
      </c>
      <c r="E172" s="8" t="s">
        <v>56</v>
      </c>
      <c r="F172" s="8" t="s">
        <v>522</v>
      </c>
      <c r="G172" s="8">
        <f>-122-59/60</f>
        <v>-122.98333333333333</v>
      </c>
      <c r="H172" s="8">
        <f>38+24/60</f>
        <v>38.4</v>
      </c>
      <c r="I172" s="8" t="s">
        <v>372</v>
      </c>
      <c r="J172" s="8" t="s">
        <v>523</v>
      </c>
      <c r="K172" s="8" t="s">
        <v>50</v>
      </c>
      <c r="L172" s="1"/>
      <c r="M172" s="8"/>
      <c r="N172" s="8"/>
      <c r="O172" s="8"/>
      <c r="P172" s="8"/>
      <c r="Q172" s="8"/>
      <c r="R172" s="8"/>
      <c r="S172" s="9" t="str">
        <f t="shared" si="12"/>
        <v/>
      </c>
      <c r="T172" s="9" t="str">
        <f t="shared" si="13"/>
        <v/>
      </c>
    </row>
    <row r="173" spans="1:20" ht="85" x14ac:dyDescent="0.2">
      <c r="A173" s="8">
        <v>158</v>
      </c>
      <c r="B173" s="8" t="s">
        <v>524</v>
      </c>
      <c r="C173" s="8">
        <v>2012</v>
      </c>
      <c r="D173" s="8" t="s">
        <v>468</v>
      </c>
      <c r="E173" s="8" t="s">
        <v>56</v>
      </c>
      <c r="F173" s="8" t="s">
        <v>525</v>
      </c>
      <c r="G173" s="8">
        <f>-82-15/60-54/3600</f>
        <v>-82.265000000000001</v>
      </c>
      <c r="H173" s="8">
        <f>35+45/60+53/3600</f>
        <v>35.764722222222225</v>
      </c>
      <c r="I173" s="8"/>
      <c r="J173" s="8" t="s">
        <v>526</v>
      </c>
      <c r="K173" s="8" t="s">
        <v>37</v>
      </c>
      <c r="L173" s="1" t="s">
        <v>527</v>
      </c>
      <c r="M173" s="8"/>
      <c r="N173" s="12">
        <v>1800</v>
      </c>
      <c r="O173" s="8">
        <f t="shared" si="10"/>
        <v>4.9315068493150687</v>
      </c>
      <c r="P173" s="12"/>
      <c r="Q173" s="8"/>
      <c r="R173" s="8"/>
      <c r="S173" s="9"/>
      <c r="T173" s="9" t="str">
        <f t="shared" ref="T173:T174" si="14">IFERROR(M173*365/P173,"")</f>
        <v/>
      </c>
    </row>
    <row r="174" spans="1:20" x14ac:dyDescent="0.2">
      <c r="A174" s="8">
        <v>159</v>
      </c>
      <c r="B174" s="8" t="s">
        <v>528</v>
      </c>
      <c r="C174" s="8">
        <v>1997</v>
      </c>
      <c r="D174" s="8" t="s">
        <v>468</v>
      </c>
      <c r="E174" s="8" t="s">
        <v>56</v>
      </c>
      <c r="F174" s="8" t="s">
        <v>529</v>
      </c>
      <c r="G174" s="8">
        <f>-105-30/60</f>
        <v>-105.5</v>
      </c>
      <c r="H174" s="8">
        <f>41+15/60</f>
        <v>41.25</v>
      </c>
      <c r="I174" s="8" t="s">
        <v>530</v>
      </c>
      <c r="J174" s="8" t="s">
        <v>531</v>
      </c>
      <c r="K174" s="8" t="s">
        <v>37</v>
      </c>
      <c r="L174" s="1"/>
      <c r="M174" s="8"/>
      <c r="N174" s="8"/>
      <c r="O174" s="8"/>
      <c r="P174" s="8"/>
      <c r="Q174" s="8"/>
      <c r="R174" s="8"/>
      <c r="S174" s="9" t="str">
        <f t="shared" ref="S174" si="15">IFERROR(M174*365/N174,"")</f>
        <v/>
      </c>
      <c r="T174" s="9" t="str">
        <f t="shared" si="14"/>
        <v/>
      </c>
    </row>
  </sheetData>
  <hyperlinks>
    <hyperlink ref="L109" r:id="rId1" tooltip="Learn more about growing seasons from ScienceDirect's AI-generated Topic Pages" xr:uid="{33991B8B-EC3F-8743-A6A8-F22C7688B61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Fan, Yuchuan</dc:creator>
  <cp:lastModifiedBy>Fan, Yuchuan</cp:lastModifiedBy>
  <dcterms:created xsi:type="dcterms:W3CDTF">2024-06-27T16:05:27Z</dcterms:created>
  <dcterms:modified xsi:type="dcterms:W3CDTF">2024-06-27T16:06:37Z</dcterms:modified>
</cp:coreProperties>
</file>