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1_ELSA\2_risco_CV_OMS_not_shared\v2\calculator\"/>
    </mc:Choice>
  </mc:AlternateContent>
  <xr:revisionPtr revIDLastSave="0" documentId="13_ncr:1_{7447C443-3DC6-4C71-A2E8-76B062C7B8C9}" xr6:coauthVersionLast="47" xr6:coauthVersionMax="47" xr10:uidLastSave="{00000000-0000-0000-0000-000000000000}"/>
  <workbookProtection workbookAlgorithmName="SHA-512" workbookHashValue="fUrEv19BtZqBgI9V19Jhg4ypsdPDXKOfTjqz6jp7MOFM653W6sZjmFQ9aLs57UWEk4NywUP9/ZWJGIjD5uCLwQ==" workbookSaltValue="GUhsun2xj+VeJT3YXh77TA==" workbookSpinCount="100000" lockStructure="1"/>
  <bookViews>
    <workbookView xWindow="-108" yWindow="-108" windowWidth="23256" windowHeight="12456" tabRatio="880" xr2:uid="{00000000-000D-0000-FFFF-FFFF00000000}"/>
  </bookViews>
  <sheets>
    <sheet name="calculator" sheetId="17" r:id="rId1"/>
    <sheet name="simulation_total_cholesterol" sheetId="26" r:id="rId2"/>
    <sheet name="total_cholesterol_conversion" sheetId="47" r:id="rId3"/>
    <sheet name="idd" sheetId="33" state="hidden" r:id="rId4"/>
    <sheet name="pas" sheetId="32" state="hidden" r:id="rId5"/>
    <sheet name="ct" sheetId="31" state="hidden" r:id="rId6"/>
    <sheet name="gr" sheetId="37" state="hidden" r:id="rId7"/>
    <sheet name="gr1" sheetId="36" state="hidden" r:id="rId8"/>
    <sheet name="gr2" sheetId="38" state="hidden" r:id="rId9"/>
    <sheet name="gr3" sheetId="39" state="hidden" r:id="rId10"/>
    <sheet name="gr4" sheetId="40" state="hidden" r:id="rId11"/>
    <sheet name="gr5" sheetId="41" state="hidden" r:id="rId12"/>
    <sheet name="gr6" sheetId="42" state="hidden" r:id="rId13"/>
    <sheet name="gr7" sheetId="43" state="hidden" r:id="rId14"/>
    <sheet name="gr8" sheetId="44" state="hidden" r:id="rId15"/>
    <sheet name="male" sheetId="45" state="hidden" r:id="rId16"/>
    <sheet name="percentile_male" sheetId="29" state="hidden" r:id="rId17"/>
    <sheet name="female" sheetId="46" state="hidden" r:id="rId18"/>
    <sheet name="percentile_female" sheetId="30" state="hidden" r:id="rId19"/>
    <sheet name="drugs" sheetId="25" state="hidden" r:id="rId20"/>
  </sheets>
  <definedNames>
    <definedName name="_xlnm._FilterDatabase" localSheetId="17" hidden="1">female!$A$1:$AB$1</definedName>
    <definedName name="_xlnm._FilterDatabase" localSheetId="15" hidden="1">male!$B$1:$AB$1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7" l="1"/>
  <c r="Q8" i="25" l="1"/>
  <c r="Q5" i="25"/>
  <c r="D6" i="26"/>
  <c r="B1" i="37" l="1"/>
  <c r="D11" i="17" l="1"/>
  <c r="D9" i="17"/>
  <c r="D8" i="17"/>
  <c r="D7" i="17"/>
  <c r="D6" i="17"/>
  <c r="D5" i="17"/>
  <c r="D4" i="17"/>
  <c r="G3" i="25" l="1"/>
  <c r="G4" i="25"/>
  <c r="G5" i="25"/>
  <c r="I5" i="25" s="1"/>
  <c r="B1" i="33"/>
  <c r="B1" i="32" l="1"/>
  <c r="B2" i="31"/>
  <c r="B3" i="31" s="1"/>
  <c r="F19" i="25"/>
  <c r="G19" i="25" s="1"/>
  <c r="I19" i="25" s="1"/>
  <c r="J19" i="25" s="1"/>
  <c r="F18" i="25"/>
  <c r="G18" i="25" s="1"/>
  <c r="I18" i="25" s="1"/>
  <c r="J18" i="25" s="1"/>
  <c r="F17" i="25"/>
  <c r="G17" i="25" s="1"/>
  <c r="I17" i="25" s="1"/>
  <c r="J17" i="25" s="1"/>
  <c r="I4" i="25"/>
  <c r="J4" i="25" s="1"/>
  <c r="F10" i="25"/>
  <c r="G10" i="25" s="1"/>
  <c r="I10" i="25" s="1"/>
  <c r="J10" i="25" s="1"/>
  <c r="F9" i="25"/>
  <c r="G9" i="25" s="1"/>
  <c r="I9" i="25" s="1"/>
  <c r="J9" i="25" s="1"/>
  <c r="F8" i="25"/>
  <c r="G8" i="25" s="1"/>
  <c r="I8" i="25" s="1"/>
  <c r="J8" i="25" s="1"/>
  <c r="F7" i="25"/>
  <c r="G7" i="25" s="1"/>
  <c r="I7" i="25" s="1"/>
  <c r="J7" i="25" s="1"/>
  <c r="F15" i="25"/>
  <c r="G15" i="25" s="1"/>
  <c r="I15" i="25" s="1"/>
  <c r="J15" i="25" s="1"/>
  <c r="F14" i="25"/>
  <c r="G14" i="25" s="1"/>
  <c r="I14" i="25" s="1"/>
  <c r="J14" i="25" s="1"/>
  <c r="F13" i="25"/>
  <c r="G13" i="25" s="1"/>
  <c r="I13" i="25" s="1"/>
  <c r="J13" i="25" s="1"/>
  <c r="F12" i="25"/>
  <c r="G12" i="25" s="1"/>
  <c r="I12" i="25" s="1"/>
  <c r="J12" i="25" s="1"/>
  <c r="I3" i="25"/>
  <c r="J3" i="25" s="1"/>
  <c r="J5" i="25"/>
  <c r="G20" i="25"/>
  <c r="I20" i="25" s="1"/>
  <c r="J20" i="25" s="1"/>
  <c r="G22" i="25"/>
  <c r="I22" i="25" s="1"/>
  <c r="J22" i="25" s="1"/>
  <c r="G23" i="25"/>
  <c r="I23" i="25" s="1"/>
  <c r="J23" i="25" s="1"/>
  <c r="G24" i="25"/>
  <c r="I24" i="25" s="1"/>
  <c r="J24" i="25" s="1"/>
  <c r="G26" i="25"/>
  <c r="I26" i="25" s="1"/>
  <c r="J26" i="25" s="1"/>
  <c r="G27" i="25"/>
  <c r="I27" i="25" s="1"/>
  <c r="J27" i="25" s="1"/>
  <c r="Q4" i="25"/>
  <c r="G2" i="25"/>
  <c r="I2" i="25" s="1"/>
  <c r="J2" i="25" s="1"/>
  <c r="B6" i="36" l="1"/>
  <c r="B5" i="36"/>
  <c r="B10" i="44"/>
  <c r="B9" i="43"/>
  <c r="B9" i="44"/>
  <c r="B8" i="43"/>
  <c r="B8" i="44"/>
  <c r="B7" i="43"/>
  <c r="B7" i="44"/>
  <c r="B6" i="44"/>
  <c r="B5" i="43"/>
  <c r="B5" i="44"/>
  <c r="B11" i="43"/>
  <c r="B11" i="44"/>
  <c r="B10" i="43"/>
  <c r="B6" i="43"/>
  <c r="B7" i="42"/>
  <c r="B6" i="42"/>
  <c r="B5" i="41"/>
  <c r="B11" i="39"/>
  <c r="B10" i="38"/>
  <c r="B5" i="42"/>
  <c r="B11" i="40"/>
  <c r="B10" i="39"/>
  <c r="B9" i="38"/>
  <c r="B11" i="41"/>
  <c r="B10" i="40"/>
  <c r="B9" i="39"/>
  <c r="B8" i="38"/>
  <c r="B11" i="42"/>
  <c r="B9" i="40"/>
  <c r="B7" i="38"/>
  <c r="B9" i="41"/>
  <c r="B7" i="39"/>
  <c r="B9" i="42"/>
  <c r="B8" i="41"/>
  <c r="B7" i="40"/>
  <c r="B6" i="39"/>
  <c r="B5" i="38"/>
  <c r="B8" i="42"/>
  <c r="B7" i="41"/>
  <c r="B6" i="40"/>
  <c r="B5" i="39"/>
  <c r="B6" i="41"/>
  <c r="B5" i="40"/>
  <c r="B11" i="38"/>
  <c r="B10" i="41"/>
  <c r="B8" i="39"/>
  <c r="B10" i="42"/>
  <c r="B8" i="40"/>
  <c r="B6" i="38"/>
  <c r="B10" i="36"/>
  <c r="B11" i="36"/>
  <c r="B7" i="36"/>
  <c r="B8" i="36"/>
  <c r="B9" i="36"/>
  <c r="Q6" i="25"/>
  <c r="Q9" i="25" s="1"/>
  <c r="B9" i="26" s="1"/>
  <c r="F2" i="44" l="1"/>
  <c r="F3" i="44" s="1"/>
  <c r="F2" i="41"/>
  <c r="F3" i="41" s="1"/>
  <c r="F2" i="43"/>
  <c r="F3" i="43" s="1"/>
  <c r="F2" i="36"/>
  <c r="F3" i="36" s="1"/>
  <c r="F2" i="40"/>
  <c r="F3" i="40" s="1"/>
  <c r="F2" i="38"/>
  <c r="F3" i="38" s="1"/>
  <c r="F2" i="42"/>
  <c r="F3" i="42" s="1"/>
  <c r="F2" i="39"/>
  <c r="F3" i="39" s="1"/>
  <c r="C11" i="17" l="1"/>
  <c r="G1" i="37"/>
  <c r="B9" i="30" l="1"/>
  <c r="B8" i="29"/>
  <c r="B8" i="30"/>
  <c r="B7" i="29"/>
  <c r="B7" i="30"/>
  <c r="B6" i="29"/>
  <c r="B9" i="29"/>
  <c r="B6" i="30"/>
  <c r="B5" i="29"/>
  <c r="B4" i="29"/>
  <c r="B4" i="30"/>
  <c r="B10" i="29"/>
  <c r="B10" i="30"/>
  <c r="B5" i="30"/>
  <c r="AE3" i="45"/>
  <c r="AE3" i="46"/>
  <c r="D1" i="29" l="1"/>
  <c r="D1" i="30"/>
  <c r="C13" i="17" l="1"/>
  <c r="AE2" i="45" l="1"/>
  <c r="AE2" i="46"/>
  <c r="C14" i="17"/>
</calcChain>
</file>

<file path=xl/sharedStrings.xml><?xml version="1.0" encoding="utf-8"?>
<sst xmlns="http://schemas.openxmlformats.org/spreadsheetml/2006/main" count="320" uniqueCount="157">
  <si>
    <t>m/f</t>
  </si>
  <si>
    <t>mmHg</t>
  </si>
  <si>
    <t>mg/dL</t>
  </si>
  <si>
    <t>simvastatin 10</t>
  </si>
  <si>
    <t>simvastatin 20</t>
  </si>
  <si>
    <t>simvastatin 40</t>
  </si>
  <si>
    <t>atorvastatin 10</t>
  </si>
  <si>
    <t>atorvastatin 20</t>
  </si>
  <si>
    <t>atorvastatin 40</t>
  </si>
  <si>
    <t>atorvastatin 80</t>
  </si>
  <si>
    <t>rosuvastatin 5</t>
  </si>
  <si>
    <t>rosuvastatin 10</t>
  </si>
  <si>
    <t>rosuvastatin 20</t>
  </si>
  <si>
    <t>rosuvastatin 40</t>
  </si>
  <si>
    <t>Dose</t>
  </si>
  <si>
    <t>simvastatin 5</t>
  </si>
  <si>
    <t>pravastatin 10</t>
  </si>
  <si>
    <t>pravastatin 20</t>
  </si>
  <si>
    <t>pravastatin 40</t>
  </si>
  <si>
    <t>pravastatin 80</t>
  </si>
  <si>
    <t>5 mg</t>
  </si>
  <si>
    <t>10 mg</t>
  </si>
  <si>
    <t>20 mg</t>
  </si>
  <si>
    <t>40 mg</t>
  </si>
  <si>
    <t>80 mg</t>
  </si>
  <si>
    <t>Drug</t>
  </si>
  <si>
    <t>pitavastatin 1</t>
  </si>
  <si>
    <t>pitavastatin 2</t>
  </si>
  <si>
    <t>pitavastatin 4</t>
  </si>
  <si>
    <t>1 mg</t>
  </si>
  <si>
    <t>2 mg</t>
  </si>
  <si>
    <t>4 mg</t>
  </si>
  <si>
    <t>conversion factor</t>
  </si>
  <si>
    <t>ct2 = ct1 - ct1 * red_perc</t>
  </si>
  <si>
    <t>ct1 = ct2 / (1 - red_perc)</t>
  </si>
  <si>
    <t xml:space="preserve">ct1 = ct2 * (1 /(1- red_perc)) </t>
  </si>
  <si>
    <t>Referências</t>
  </si>
  <si>
    <t>-</t>
  </si>
  <si>
    <t>linked cell for ezetimibe</t>
  </si>
  <si>
    <t>ct com med</t>
  </si>
  <si>
    <t>fator conv EZE</t>
  </si>
  <si>
    <t>Drug and dosage</t>
  </si>
  <si>
    <t>TC reduction</t>
  </si>
  <si>
    <t>%</t>
  </si>
  <si>
    <t>ezetimibe alone</t>
  </si>
  <si>
    <t>ezetimibe on top of statin</t>
  </si>
  <si>
    <t>ct pos EZE</t>
  </si>
  <si>
    <t>fator conv ESTATINA</t>
  </si>
  <si>
    <t>ct pos ESTATINA</t>
  </si>
  <si>
    <t>criar variável ct_mmoll = colesterol total em mmol/L</t>
  </si>
  <si>
    <t>ct_mmoll</t>
  </si>
  <si>
    <t>cat_ct_mmoll</t>
  </si>
  <si>
    <t>&lt;4</t>
  </si>
  <si>
    <t>4-&lt;5</t>
  </si>
  <si>
    <t>5-&lt;6</t>
  </si>
  <si>
    <t>6-&lt;7</t>
  </si>
  <si>
    <t>&gt;=7</t>
  </si>
  <si>
    <t>cat_pas</t>
  </si>
  <si>
    <t>pas</t>
  </si>
  <si>
    <t>&lt;120</t>
  </si>
  <si>
    <t>120-&lt;140</t>
  </si>
  <si>
    <t>140-&lt;160</t>
  </si>
  <si>
    <t>160-&lt;180</t>
  </si>
  <si>
    <t>&gt;=180</t>
  </si>
  <si>
    <t>cat_idd</t>
  </si>
  <si>
    <t>idd</t>
  </si>
  <si>
    <t>40-44</t>
  </si>
  <si>
    <t>45-49</t>
  </si>
  <si>
    <t>50-54</t>
  </si>
  <si>
    <t>55-59</t>
  </si>
  <si>
    <t>60-64</t>
  </si>
  <si>
    <t>65-69</t>
  </si>
  <si>
    <t>70-74</t>
  </si>
  <si>
    <t>dm</t>
  </si>
  <si>
    <t>risco</t>
  </si>
  <si>
    <t>tabag</t>
  </si>
  <si>
    <t>não</t>
  </si>
  <si>
    <t>masc</t>
  </si>
  <si>
    <t>gr</t>
  </si>
  <si>
    <t>sexo</t>
  </si>
  <si>
    <t>sim</t>
  </si>
  <si>
    <t>fem</t>
  </si>
  <si>
    <t>percentil</t>
  </si>
  <si>
    <t>Masc</t>
  </si>
  <si>
    <t>Fem</t>
  </si>
  <si>
    <t>CV risk</t>
  </si>
  <si>
    <t>cat_idade</t>
  </si>
  <si>
    <t>percentile</t>
  </si>
  <si>
    <t>MALE</t>
  </si>
  <si>
    <t>FEMALE</t>
  </si>
  <si>
    <t>ct2 = ct1 * (1 - red_perc)</t>
  </si>
  <si>
    <t>m</t>
  </si>
  <si>
    <t>10-year risk of cardiovascular (CV) disease*</t>
  </si>
  <si>
    <t>Factor</t>
  </si>
  <si>
    <t>Value or unit</t>
  </si>
  <si>
    <t>Enter the values here</t>
  </si>
  <si>
    <t>Sex</t>
  </si>
  <si>
    <t>Age</t>
  </si>
  <si>
    <t>Systolic blood pressure</t>
  </si>
  <si>
    <t>Smoking</t>
  </si>
  <si>
    <t>years</t>
  </si>
  <si>
    <t>y/n</t>
  </si>
  <si>
    <t>This calculator should only be used in the absence of CV disease</t>
  </si>
  <si>
    <t>This means that</t>
  </si>
  <si>
    <t>% of people of the same sex and age group have a lower calculated risk.</t>
  </si>
  <si>
    <t>Reference</t>
  </si>
  <si>
    <t>yim</t>
  </si>
  <si>
    <t>n</t>
  </si>
  <si>
    <t>Estimate the total cholesterol level without medication</t>
  </si>
  <si>
    <t>Total cholesterol with medication</t>
  </si>
  <si>
    <t>Select a statin below</t>
  </si>
  <si>
    <t>Select a daily dosage</t>
  </si>
  <si>
    <t>Use of ezetimibe</t>
  </si>
  <si>
    <t>Estimated total cholesterol without medication</t>
  </si>
  <si>
    <t>Technical note</t>
  </si>
  <si>
    <t xml:space="preserve">For the estimation of total cholesterol without medication, </t>
  </si>
  <si>
    <t xml:space="preserve">the mean or median percentage reduction in total cholesterol compared to placebo was considered, </t>
  </si>
  <si>
    <t>whenever this information was available.</t>
  </si>
  <si>
    <t xml:space="preserve">Under use of statin and ezetimibe, the total cholesterol level was first estimated without ezetimibe and with statin, </t>
  </si>
  <si>
    <t>and then the total cholesterol level without both drugs.</t>
  </si>
  <si>
    <t>None</t>
  </si>
  <si>
    <t>Atorvastatin</t>
  </si>
  <si>
    <t>Pitavastatin</t>
  </si>
  <si>
    <t>Pravastatin</t>
  </si>
  <si>
    <t>Rosuvastatin</t>
  </si>
  <si>
    <t>Simvastatin</t>
  </si>
  <si>
    <t>Total cholesterol**</t>
  </si>
  <si>
    <t>Percentile for sex and age***</t>
  </si>
  <si>
    <t>* myocardial infarction or stroke, both fatal or non-fatal</t>
  </si>
  <si>
    <t>40-44 years</t>
  </si>
  <si>
    <t>45-49 years</t>
  </si>
  <si>
    <t>50-54 years</t>
  </si>
  <si>
    <t>55-59 years</t>
  </si>
  <si>
    <t>60-64 years</t>
  </si>
  <si>
    <t>65-69 years</t>
  </si>
  <si>
    <t>70-74 years</t>
  </si>
  <si>
    <t>Patient</t>
  </si>
  <si>
    <t>10-year risk of CV disease*</t>
  </si>
  <si>
    <t>Crestor. Prescribing information. USA. 2020. Available at www.fda.gov</t>
  </si>
  <si>
    <t>Lipitor. Prescribing information. USA. 2020. Available at www.fda.gov</t>
  </si>
  <si>
    <t>Livalo. Prescribing information. USA. 2022. Available at www.fda.gov</t>
  </si>
  <si>
    <t>Pravachol. Prescribing information. USA. 2022. Available at www.fda.gov</t>
  </si>
  <si>
    <t>Zetia. Prescribing information. USA. 2012. Available at www.fda.gov</t>
  </si>
  <si>
    <t>Zocor. Prescribing information. USA. 2022. Available at www.fda.gov</t>
  </si>
  <si>
    <t>Conversions</t>
  </si>
  <si>
    <t>Enter mmol/L below</t>
  </si>
  <si>
    <t xml:space="preserve">To convert total cholesterol from mmol/L to mg/dL </t>
  </si>
  <si>
    <t>Total cholesterol in mg/dL</t>
  </si>
  <si>
    <t>** in the presence of lipid-lowering medication, a total cholesterol level without medication can be estimated in the worksheet "simulation_total_cholesterol";</t>
  </si>
  <si>
    <t>use the worksheet "total_cholesterol_conversion" to convert total cholesterol from mmol/L to mg/dL</t>
  </si>
  <si>
    <t>Diabetes mellitus</t>
  </si>
  <si>
    <t>WHO CVD Risk Chart Working Group</t>
  </si>
  <si>
    <t>World Health Organization cardiovascular disease risk charts: revised models to estimate risk in 21 global regions</t>
  </si>
  <si>
    <t>Lancet Glob Health 2019;7(10):e1332-e1345</t>
  </si>
  <si>
    <t>doi: 10.1016/S2214-109X(19)30318-3</t>
  </si>
  <si>
    <t>*** based on baseline data from the ELSA-Brasil study involving 13,364 participants without atherosclerotic cardiovascular disease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</si>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</sst>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8" fillId="0" borderId="4" applyNumberFormat="0" applyFill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5" borderId="5" applyNumberFormat="0" applyFont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5" fillId="0" borderId="2" xfId="3" applyProtection="1"/>
    <xf numFmtId="0" fontId="5" fillId="0" borderId="2" xfId="3" applyAlignment="1" applyProtection="1">
      <alignment horizontal="center"/>
    </xf>
    <xf numFmtId="0" fontId="7" fillId="3" borderId="1" xfId="6" applyFont="1" applyBorder="1" applyAlignment="1" applyProtection="1">
      <alignment horizontal="center" vertical="center"/>
    </xf>
    <xf numFmtId="0" fontId="7" fillId="3" borderId="6" xfId="6" applyFont="1" applyBorder="1" applyAlignment="1" applyProtection="1">
      <alignment horizontal="center" vertical="center"/>
    </xf>
    <xf numFmtId="0" fontId="7" fillId="3" borderId="7" xfId="6" applyFont="1" applyBorder="1" applyAlignment="1" applyProtection="1">
      <alignment horizontal="center" vertical="center"/>
    </xf>
    <xf numFmtId="0" fontId="1" fillId="2" borderId="1" xfId="2" applyBorder="1" applyProtection="1"/>
    <xf numFmtId="0" fontId="1" fillId="2" borderId="6" xfId="2" applyBorder="1" applyAlignment="1" applyProtection="1">
      <alignment horizontal="center"/>
    </xf>
    <xf numFmtId="0" fontId="2" fillId="0" borderId="0" xfId="1" applyProtection="1"/>
    <xf numFmtId="0" fontId="0" fillId="2" borderId="1" xfId="2" applyFont="1" applyBorder="1" applyProtection="1"/>
    <xf numFmtId="49" fontId="3" fillId="4" borderId="0" xfId="7" applyNumberFormat="1" applyFont="1" applyAlignment="1" applyProtection="1"/>
    <xf numFmtId="9" fontId="3" fillId="4" borderId="0" xfId="7" applyNumberFormat="1" applyFont="1" applyAlignment="1" applyProtection="1">
      <alignment horizontal="center"/>
    </xf>
    <xf numFmtId="0" fontId="8" fillId="0" borderId="4" xfId="5" applyProtection="1"/>
    <xf numFmtId="0" fontId="9" fillId="0" borderId="0" xfId="11" applyProtection="1"/>
    <xf numFmtId="0" fontId="0" fillId="9" borderId="0" xfId="0" applyFill="1" applyAlignment="1" applyProtection="1">
      <alignment horizontal="center"/>
      <protection locked="0"/>
    </xf>
    <xf numFmtId="0" fontId="0" fillId="8" borderId="0" xfId="0" applyFill="1" applyProtection="1">
      <protection locked="0"/>
    </xf>
    <xf numFmtId="0" fontId="0" fillId="8" borderId="0" xfId="0" applyFill="1" applyAlignment="1" applyProtection="1">
      <alignment horizontal="center"/>
      <protection locked="0"/>
    </xf>
    <xf numFmtId="0" fontId="6" fillId="0" borderId="3" xfId="4" applyProtection="1"/>
    <xf numFmtId="2" fontId="0" fillId="0" borderId="0" xfId="0" applyNumberFormat="1" applyAlignment="1" applyProtection="1">
      <alignment horizontal="center"/>
      <protection locked="0"/>
    </xf>
    <xf numFmtId="49" fontId="0" fillId="0" borderId="0" xfId="0" applyNumberFormat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10" borderId="0" xfId="0" applyFill="1"/>
    <xf numFmtId="0" fontId="16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2" borderId="8" xfId="2" applyFont="1" applyBorder="1" applyAlignment="1" applyProtection="1">
      <alignment horizontal="center"/>
      <protection locked="0"/>
    </xf>
    <xf numFmtId="1" fontId="1" fillId="2" borderId="8" xfId="2" applyNumberFormat="1" applyBorder="1" applyAlignment="1" applyProtection="1">
      <alignment horizontal="center"/>
      <protection locked="0"/>
    </xf>
    <xf numFmtId="0" fontId="0" fillId="9" borderId="0" xfId="0" applyFill="1"/>
    <xf numFmtId="0" fontId="7" fillId="7" borderId="0" xfId="0" applyFont="1" applyFill="1"/>
    <xf numFmtId="0" fontId="7" fillId="0" borderId="0" xfId="0" applyFont="1"/>
    <xf numFmtId="0" fontId="0" fillId="8" borderId="0" xfId="0" applyFill="1"/>
    <xf numFmtId="0" fontId="10" fillId="8" borderId="0" xfId="0" applyFont="1" applyFill="1"/>
    <xf numFmtId="1" fontId="0" fillId="9" borderId="0" xfId="0" applyNumberFormat="1" applyFill="1" applyAlignment="1">
      <alignment horizontal="center"/>
    </xf>
    <xf numFmtId="0" fontId="4" fillId="3" borderId="0" xfId="6" applyAlignment="1" applyProtection="1">
      <alignment horizontal="center"/>
    </xf>
    <xf numFmtId="1" fontId="0" fillId="11" borderId="0" xfId="0" applyNumberFormat="1" applyFill="1"/>
    <xf numFmtId="0" fontId="0" fillId="11" borderId="0" xfId="0" applyFill="1"/>
    <xf numFmtId="3" fontId="0" fillId="0" borderId="0" xfId="0" applyNumberFormat="1"/>
    <xf numFmtId="0" fontId="0" fillId="5" borderId="11" xfId="10" applyFont="1" applyBorder="1" applyAlignment="1" applyProtection="1">
      <alignment horizontal="center" vertical="center"/>
    </xf>
    <xf numFmtId="0" fontId="0" fillId="5" borderId="12" xfId="10" applyFont="1" applyBorder="1" applyAlignment="1" applyProtection="1">
      <alignment horizontal="center" vertical="center"/>
    </xf>
    <xf numFmtId="0" fontId="0" fillId="5" borderId="13" xfId="10" applyFont="1" applyBorder="1" applyAlignment="1" applyProtection="1">
      <alignment horizontal="center" vertical="center"/>
    </xf>
    <xf numFmtId="0" fontId="0" fillId="5" borderId="14" xfId="10" applyFont="1" applyBorder="1" applyAlignment="1" applyProtection="1">
      <alignment horizontal="center" vertical="center"/>
    </xf>
    <xf numFmtId="0" fontId="0" fillId="5" borderId="15" xfId="10" applyFont="1" applyBorder="1" applyAlignment="1" applyProtection="1">
      <alignment horizontal="center" vertical="center"/>
    </xf>
    <xf numFmtId="0" fontId="0" fillId="5" borderId="16" xfId="10" applyFont="1" applyBorder="1" applyAlignment="1" applyProtection="1">
      <alignment horizontal="center" vertical="center"/>
    </xf>
    <xf numFmtId="0" fontId="8" fillId="0" borderId="0" xfId="5" applyBorder="1" applyProtection="1"/>
  </cellXfs>
  <cellStyles count="12">
    <cellStyle name="20% - Accent5" xfId="2" builtinId="46"/>
    <cellStyle name="40% - Accent6" xfId="7" builtinId="51"/>
    <cellStyle name="Accent5" xfId="6" builtinId="45"/>
    <cellStyle name="Comma 2" xfId="9" xr:uid="{A733EF11-BE30-47E8-9828-A53238195AA7}"/>
    <cellStyle name="Heading 1" xfId="3" builtinId="16"/>
    <cellStyle name="Heading 2" xfId="4" builtinId="17"/>
    <cellStyle name="Heading 3" xfId="5" builtinId="18"/>
    <cellStyle name="Hyperlink" xfId="11" builtinId="8"/>
    <cellStyle name="Normal" xfId="0" builtinId="0"/>
    <cellStyle name="Normal 2" xfId="8" xr:uid="{4FD4C417-4C77-4779-BD77-AAF99BD69A26}"/>
    <cellStyle name="Note" xfId="10" builtinId="10"/>
    <cellStyle name="Warning Text" xfId="1" builtinId="11"/>
  </cellStyles>
  <dxfs count="0"/>
  <tableStyles count="0" defaultTableStyle="TableStyleMedium2" defaultPivotStyle="PivotStyleLight16"/>
  <colors>
    <mruColors>
      <color rgb="FFFFEB84"/>
      <color rgb="FFCDE4BE"/>
      <color rgb="FFFFE89F"/>
      <color rgb="FFFFC9C9"/>
      <color rgb="FFFF9999"/>
      <color rgb="FFF7DAAF"/>
      <color rgb="FFF8696B"/>
      <color rgb="FF63BE7B"/>
      <color rgb="FFFF0000"/>
      <color rgb="FFF4D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male!$B$2</c:f>
              <c:strCache>
                <c:ptCount val="1"/>
                <c:pt idx="0">
                  <c:v>40-44 years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male!$D$2:$D$13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 formatCode="#,##0">
                  <c:v>14</c:v>
                </c:pt>
              </c:numCache>
            </c:numRef>
          </c:xVal>
          <c:yVal>
            <c:numRef>
              <c:f>male!$C$2:$C$13</c:f>
              <c:numCache>
                <c:formatCode>0</c:formatCode>
                <c:ptCount val="12"/>
                <c:pt idx="0">
                  <c:v>0</c:v>
                </c:pt>
                <c:pt idx="1">
                  <c:v>24.043179587831201</c:v>
                </c:pt>
                <c:pt idx="2">
                  <c:v>70.657507360156998</c:v>
                </c:pt>
                <c:pt idx="3">
                  <c:v>88.518155053974496</c:v>
                </c:pt>
                <c:pt idx="4">
                  <c:v>94.602551521099102</c:v>
                </c:pt>
                <c:pt idx="5">
                  <c:v>97.644749754661404</c:v>
                </c:pt>
                <c:pt idx="6">
                  <c:v>98.429833169774298</c:v>
                </c:pt>
                <c:pt idx="7">
                  <c:v>99.411187438665394</c:v>
                </c:pt>
                <c:pt idx="8">
                  <c:v>99.705593719332697</c:v>
                </c:pt>
                <c:pt idx="9">
                  <c:v>99.803729146221798</c:v>
                </c:pt>
                <c:pt idx="10">
                  <c:v>99.901864573110899</c:v>
                </c:pt>
                <c:pt idx="1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50-4CDE-86F5-E8408A1D0CA0}"/>
            </c:ext>
          </c:extLst>
        </c:ser>
        <c:ser>
          <c:idx val="1"/>
          <c:order val="1"/>
          <c:tx>
            <c:strRef>
              <c:f>male!$F$2</c:f>
              <c:strCache>
                <c:ptCount val="1"/>
                <c:pt idx="0">
                  <c:v>45-49 years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male!$H$2:$H$15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 formatCode="#,##0">
                  <c:v>16</c:v>
                </c:pt>
              </c:numCache>
            </c:numRef>
          </c:xVal>
          <c:yVal>
            <c:numRef>
              <c:f>male!$G$2:$G$15</c:f>
              <c:numCache>
                <c:formatCode>0</c:formatCode>
                <c:ptCount val="14"/>
                <c:pt idx="0">
                  <c:v>0</c:v>
                </c:pt>
                <c:pt idx="1">
                  <c:v>33.117350611950997</c:v>
                </c:pt>
                <c:pt idx="2">
                  <c:v>66.882649388049003</c:v>
                </c:pt>
                <c:pt idx="3">
                  <c:v>82.937365010799098</c:v>
                </c:pt>
                <c:pt idx="4">
                  <c:v>91.720662347012194</c:v>
                </c:pt>
                <c:pt idx="5">
                  <c:v>94.600431965442795</c:v>
                </c:pt>
                <c:pt idx="6">
                  <c:v>97.048236141108703</c:v>
                </c:pt>
                <c:pt idx="7">
                  <c:v>98.488120950324003</c:v>
                </c:pt>
                <c:pt idx="8">
                  <c:v>98.920086393088596</c:v>
                </c:pt>
                <c:pt idx="9">
                  <c:v>99.064074874010103</c:v>
                </c:pt>
                <c:pt idx="10">
                  <c:v>99.4240460763139</c:v>
                </c:pt>
                <c:pt idx="11">
                  <c:v>99.7120230381569</c:v>
                </c:pt>
                <c:pt idx="12">
                  <c:v>99.856011519078507</c:v>
                </c:pt>
                <c:pt idx="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50-4CDE-86F5-E8408A1D0CA0}"/>
            </c:ext>
          </c:extLst>
        </c:ser>
        <c:ser>
          <c:idx val="2"/>
          <c:order val="2"/>
          <c:tx>
            <c:strRef>
              <c:f>male!$J$2</c:f>
              <c:strCache>
                <c:ptCount val="1"/>
                <c:pt idx="0">
                  <c:v>50-54 years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F50-4CDE-86F5-E8408A1D0CA0}"/>
              </c:ext>
            </c:extLst>
          </c:dPt>
          <c:xVal>
            <c:numRef>
              <c:f>male!$L$2:$L$19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21</c:v>
                </c:pt>
                <c:pt idx="17" formatCode="#,##0">
                  <c:v>23</c:v>
                </c:pt>
              </c:numCache>
            </c:numRef>
          </c:xVal>
          <c:yVal>
            <c:numRef>
              <c:f>male!$K$2:$K$19</c:f>
              <c:numCache>
                <c:formatCode>0</c:formatCode>
                <c:ptCount val="18"/>
                <c:pt idx="0">
                  <c:v>0</c:v>
                </c:pt>
                <c:pt idx="1">
                  <c:v>2.2185702547247299</c:v>
                </c:pt>
                <c:pt idx="2">
                  <c:v>28.0197206244864</c:v>
                </c:pt>
                <c:pt idx="3">
                  <c:v>59.408381265406703</c:v>
                </c:pt>
                <c:pt idx="4">
                  <c:v>71.733771569433003</c:v>
                </c:pt>
                <c:pt idx="5">
                  <c:v>81.922760887428097</c:v>
                </c:pt>
                <c:pt idx="6">
                  <c:v>88.085456039441198</c:v>
                </c:pt>
                <c:pt idx="7">
                  <c:v>90.961380443714106</c:v>
                </c:pt>
                <c:pt idx="8">
                  <c:v>93.672966310599804</c:v>
                </c:pt>
                <c:pt idx="9">
                  <c:v>95.562859490550494</c:v>
                </c:pt>
                <c:pt idx="10">
                  <c:v>97.370583401807707</c:v>
                </c:pt>
                <c:pt idx="11">
                  <c:v>98.192276088742801</c:v>
                </c:pt>
                <c:pt idx="12">
                  <c:v>98.520953163516893</c:v>
                </c:pt>
                <c:pt idx="13">
                  <c:v>99.096138044371401</c:v>
                </c:pt>
                <c:pt idx="14">
                  <c:v>99.424815119145407</c:v>
                </c:pt>
                <c:pt idx="15">
                  <c:v>99.671322925225994</c:v>
                </c:pt>
                <c:pt idx="16">
                  <c:v>99.835661462613004</c:v>
                </c:pt>
                <c:pt idx="1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50-4CDE-86F5-E8408A1D0CA0}"/>
            </c:ext>
          </c:extLst>
        </c:ser>
        <c:ser>
          <c:idx val="3"/>
          <c:order val="3"/>
          <c:tx>
            <c:strRef>
              <c:f>male!$N$2</c:f>
              <c:strCache>
                <c:ptCount val="1"/>
                <c:pt idx="0">
                  <c:v>55-59 years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male!$P$2:$P$21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26</c:v>
                </c:pt>
                <c:pt idx="19" formatCode="#,##0">
                  <c:v>32</c:v>
                </c:pt>
              </c:numCache>
            </c:numRef>
          </c:xVal>
          <c:yVal>
            <c:numRef>
              <c:f>male!$O$2:$O$21</c:f>
              <c:numCache>
                <c:formatCode>0</c:formatCode>
                <c:ptCount val="20"/>
                <c:pt idx="0">
                  <c:v>0</c:v>
                </c:pt>
                <c:pt idx="1">
                  <c:v>2.1052631578947398</c:v>
                </c:pt>
                <c:pt idx="2">
                  <c:v>22.200956937798999</c:v>
                </c:pt>
                <c:pt idx="3">
                  <c:v>48.3253588516747</c:v>
                </c:pt>
                <c:pt idx="4">
                  <c:v>60.861244019138802</c:v>
                </c:pt>
                <c:pt idx="5">
                  <c:v>71.578947368421098</c:v>
                </c:pt>
                <c:pt idx="6">
                  <c:v>82.392344497607695</c:v>
                </c:pt>
                <c:pt idx="7">
                  <c:v>87.081339712918705</c:v>
                </c:pt>
                <c:pt idx="8">
                  <c:v>90.334928229665096</c:v>
                </c:pt>
                <c:pt idx="9">
                  <c:v>93.205741626794307</c:v>
                </c:pt>
                <c:pt idx="10">
                  <c:v>94.832535885167502</c:v>
                </c:pt>
                <c:pt idx="11">
                  <c:v>95.885167464114801</c:v>
                </c:pt>
                <c:pt idx="12">
                  <c:v>97.320574162679407</c:v>
                </c:pt>
                <c:pt idx="13">
                  <c:v>98.373205741626805</c:v>
                </c:pt>
                <c:pt idx="14">
                  <c:v>98.947368421052602</c:v>
                </c:pt>
                <c:pt idx="15">
                  <c:v>99.330143540669894</c:v>
                </c:pt>
                <c:pt idx="16">
                  <c:v>99.617224880382807</c:v>
                </c:pt>
                <c:pt idx="17">
                  <c:v>99.712918660287102</c:v>
                </c:pt>
                <c:pt idx="18">
                  <c:v>99.904306220095705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50-4CDE-86F5-E8408A1D0CA0}"/>
            </c:ext>
          </c:extLst>
        </c:ser>
        <c:ser>
          <c:idx val="4"/>
          <c:order val="4"/>
          <c:tx>
            <c:strRef>
              <c:f>male!$R$2</c:f>
              <c:strCache>
                <c:ptCount val="1"/>
                <c:pt idx="0">
                  <c:v>60-64 years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male!$T$2:$T$20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23</c:v>
                </c:pt>
                <c:pt idx="18" formatCode="#,##0">
                  <c:v>28</c:v>
                </c:pt>
              </c:numCache>
            </c:numRef>
          </c:xVal>
          <c:yVal>
            <c:numRef>
              <c:f>male!$S$2:$S$20</c:f>
              <c:numCache>
                <c:formatCode>0</c:formatCode>
                <c:ptCount val="19"/>
                <c:pt idx="0">
                  <c:v>0</c:v>
                </c:pt>
                <c:pt idx="1">
                  <c:v>9.9259259259259291</c:v>
                </c:pt>
                <c:pt idx="2">
                  <c:v>31.703703703703699</c:v>
                </c:pt>
                <c:pt idx="3">
                  <c:v>46.6666666666667</c:v>
                </c:pt>
                <c:pt idx="4">
                  <c:v>57.037037037037003</c:v>
                </c:pt>
                <c:pt idx="5">
                  <c:v>67.407407407407405</c:v>
                </c:pt>
                <c:pt idx="6">
                  <c:v>74.962962962963005</c:v>
                </c:pt>
                <c:pt idx="7">
                  <c:v>82.518518518518505</c:v>
                </c:pt>
                <c:pt idx="8">
                  <c:v>88</c:v>
                </c:pt>
                <c:pt idx="9">
                  <c:v>91.703703703703695</c:v>
                </c:pt>
                <c:pt idx="10">
                  <c:v>94.2222222222222</c:v>
                </c:pt>
                <c:pt idx="11">
                  <c:v>96.4444444444445</c:v>
                </c:pt>
                <c:pt idx="12">
                  <c:v>97.185185185185205</c:v>
                </c:pt>
                <c:pt idx="13">
                  <c:v>98.518518518518505</c:v>
                </c:pt>
                <c:pt idx="14">
                  <c:v>98.814814814814795</c:v>
                </c:pt>
                <c:pt idx="15">
                  <c:v>99.407407407407405</c:v>
                </c:pt>
                <c:pt idx="16">
                  <c:v>99.5555555555556</c:v>
                </c:pt>
                <c:pt idx="17">
                  <c:v>99.851851851851904</c:v>
                </c:pt>
                <c:pt idx="1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F50-4CDE-86F5-E8408A1D0CA0}"/>
            </c:ext>
          </c:extLst>
        </c:ser>
        <c:ser>
          <c:idx val="5"/>
          <c:order val="5"/>
          <c:tx>
            <c:strRef>
              <c:f>male!$V$2</c:f>
              <c:strCache>
                <c:ptCount val="1"/>
                <c:pt idx="0">
                  <c:v>65-69 years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male!$X$2:$X$21</c:f>
              <c:numCache>
                <c:formatCode>General</c:formatCode>
                <c:ptCount val="2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 formatCode="#,##0">
                  <c:v>31</c:v>
                </c:pt>
              </c:numCache>
            </c:numRef>
          </c:xVal>
          <c:yVal>
            <c:numRef>
              <c:f>male!$W$2:$W$21</c:f>
              <c:numCache>
                <c:formatCode>0</c:formatCode>
                <c:ptCount val="20"/>
                <c:pt idx="0">
                  <c:v>0</c:v>
                </c:pt>
                <c:pt idx="1">
                  <c:v>2.8947368421052602</c:v>
                </c:pt>
                <c:pt idx="2">
                  <c:v>10</c:v>
                </c:pt>
                <c:pt idx="3">
                  <c:v>20.526315789473699</c:v>
                </c:pt>
                <c:pt idx="4">
                  <c:v>45</c:v>
                </c:pt>
                <c:pt idx="5">
                  <c:v>52.894736842105303</c:v>
                </c:pt>
                <c:pt idx="6">
                  <c:v>65.789473684210506</c:v>
                </c:pt>
                <c:pt idx="7">
                  <c:v>75.526315789473699</c:v>
                </c:pt>
                <c:pt idx="8">
                  <c:v>81.842105263157904</c:v>
                </c:pt>
                <c:pt idx="9">
                  <c:v>85.526315789473699</c:v>
                </c:pt>
                <c:pt idx="10">
                  <c:v>90.263157894736807</c:v>
                </c:pt>
                <c:pt idx="11">
                  <c:v>93.684210526315795</c:v>
                </c:pt>
                <c:pt idx="12">
                  <c:v>95.263157894736807</c:v>
                </c:pt>
                <c:pt idx="13">
                  <c:v>97.105263157894697</c:v>
                </c:pt>
                <c:pt idx="14">
                  <c:v>97.368421052631604</c:v>
                </c:pt>
                <c:pt idx="15">
                  <c:v>98.684210526315795</c:v>
                </c:pt>
                <c:pt idx="16">
                  <c:v>98.947368421052602</c:v>
                </c:pt>
                <c:pt idx="17">
                  <c:v>99.210526315789494</c:v>
                </c:pt>
                <c:pt idx="18">
                  <c:v>99.736842105263193</c:v>
                </c:pt>
                <c:pt idx="1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F50-4CDE-86F5-E8408A1D0CA0}"/>
            </c:ext>
          </c:extLst>
        </c:ser>
        <c:ser>
          <c:idx val="6"/>
          <c:order val="6"/>
          <c:tx>
            <c:strRef>
              <c:f>male!$Z$2</c:f>
              <c:strCache>
                <c:ptCount val="1"/>
                <c:pt idx="0">
                  <c:v>70-74 years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male!$AB$2:$AB$20</c:f>
              <c:numCache>
                <c:formatCode>General</c:formatCod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26</c:v>
                </c:pt>
                <c:pt idx="17">
                  <c:v>28</c:v>
                </c:pt>
                <c:pt idx="18" formatCode="#,##0">
                  <c:v>33</c:v>
                </c:pt>
              </c:numCache>
            </c:numRef>
          </c:xVal>
          <c:yVal>
            <c:numRef>
              <c:f>male!$AA$2:$AA$20</c:f>
              <c:numCache>
                <c:formatCode>0</c:formatCode>
                <c:ptCount val="19"/>
                <c:pt idx="0">
                  <c:v>0</c:v>
                </c:pt>
                <c:pt idx="1">
                  <c:v>10.0358422939068</c:v>
                </c:pt>
                <c:pt idx="2">
                  <c:v>15.0537634408602</c:v>
                </c:pt>
                <c:pt idx="3">
                  <c:v>29.0322580645161</c:v>
                </c:pt>
                <c:pt idx="4">
                  <c:v>39.784946236559101</c:v>
                </c:pt>
                <c:pt idx="5">
                  <c:v>44.4444444444444</c:v>
                </c:pt>
                <c:pt idx="6">
                  <c:v>59.139784946236603</c:v>
                </c:pt>
                <c:pt idx="7">
                  <c:v>69.534050179211505</c:v>
                </c:pt>
                <c:pt idx="8">
                  <c:v>74.551971326164903</c:v>
                </c:pt>
                <c:pt idx="9">
                  <c:v>79.928315412186393</c:v>
                </c:pt>
                <c:pt idx="10">
                  <c:v>86.379928315412201</c:v>
                </c:pt>
                <c:pt idx="11">
                  <c:v>88.530465949820794</c:v>
                </c:pt>
                <c:pt idx="12">
                  <c:v>92.831541218637994</c:v>
                </c:pt>
                <c:pt idx="13">
                  <c:v>94.982078853046602</c:v>
                </c:pt>
                <c:pt idx="14">
                  <c:v>96.774193548387103</c:v>
                </c:pt>
                <c:pt idx="15">
                  <c:v>98.207885304659499</c:v>
                </c:pt>
                <c:pt idx="16">
                  <c:v>98.566308243727605</c:v>
                </c:pt>
                <c:pt idx="17">
                  <c:v>99.641577060931894</c:v>
                </c:pt>
                <c:pt idx="18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50-4CDE-86F5-E8408A1D0CA0}"/>
            </c:ext>
          </c:extLst>
        </c:ser>
        <c:ser>
          <c:idx val="7"/>
          <c:order val="7"/>
          <c:tx>
            <c:strRef>
              <c:f>male!$AD$1</c:f>
              <c:strCache>
                <c:ptCount val="1"/>
                <c:pt idx="0">
                  <c:v>Patient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male!$AE$3</c:f>
              <c:numCache>
                <c:formatCode>0</c:formatCode>
                <c:ptCount val="1"/>
                <c:pt idx="0">
                  <c:v>5</c:v>
                </c:pt>
              </c:numCache>
            </c:numRef>
          </c:xVal>
          <c:yVal>
            <c:numRef>
              <c:f>male!$AE$2</c:f>
              <c:numCache>
                <c:formatCode>0.0</c:formatCode>
                <c:ptCount val="1"/>
                <c:pt idx="0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50-4CDE-86F5-E8408A1D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65408"/>
        <c:axId val="906175248"/>
      </c:scatterChart>
      <c:valAx>
        <c:axId val="9061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10-year CV risk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175248"/>
        <c:crosses val="autoZero"/>
        <c:crossBetween val="midCat"/>
      </c:valAx>
      <c:valAx>
        <c:axId val="906175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16540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female!$B$2</c:f>
              <c:strCache>
                <c:ptCount val="1"/>
                <c:pt idx="0">
                  <c:v>40-44 years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female!$D$2:$D$9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 formatCode="#,##0">
                  <c:v>8</c:v>
                </c:pt>
              </c:numCache>
            </c:numRef>
          </c:xVal>
          <c:yVal>
            <c:numRef>
              <c:f>female!$C$2:$C$9</c:f>
              <c:numCache>
                <c:formatCode>0</c:formatCode>
                <c:ptCount val="8"/>
                <c:pt idx="0">
                  <c:v>0</c:v>
                </c:pt>
                <c:pt idx="1">
                  <c:v>76.198779424585894</c:v>
                </c:pt>
                <c:pt idx="2">
                  <c:v>95.553618134263303</c:v>
                </c:pt>
                <c:pt idx="3">
                  <c:v>98.430688753269393</c:v>
                </c:pt>
                <c:pt idx="4">
                  <c:v>99.302528334786402</c:v>
                </c:pt>
                <c:pt idx="5">
                  <c:v>99.738448125544906</c:v>
                </c:pt>
                <c:pt idx="6">
                  <c:v>99.912816041848302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B2-4657-92F8-7ECAFECB0EDB}"/>
            </c:ext>
          </c:extLst>
        </c:ser>
        <c:ser>
          <c:idx val="1"/>
          <c:order val="1"/>
          <c:tx>
            <c:strRef>
              <c:f>female!$F$2</c:f>
              <c:strCache>
                <c:ptCount val="1"/>
                <c:pt idx="0">
                  <c:v>45-49 years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female!$H$2:$H$12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 formatCode="#,##0">
                  <c:v>13</c:v>
                </c:pt>
              </c:numCache>
            </c:numRef>
          </c:xVal>
          <c:yVal>
            <c:numRef>
              <c:f>female!$G$2:$G$12</c:f>
              <c:numCache>
                <c:formatCode>0</c:formatCode>
                <c:ptCount val="11"/>
                <c:pt idx="0">
                  <c:v>0</c:v>
                </c:pt>
                <c:pt idx="1">
                  <c:v>29.383602633153799</c:v>
                </c:pt>
                <c:pt idx="2">
                  <c:v>77.259126271693603</c:v>
                </c:pt>
                <c:pt idx="3">
                  <c:v>91.980849790544596</c:v>
                </c:pt>
                <c:pt idx="4">
                  <c:v>96.708557749850399</c:v>
                </c:pt>
                <c:pt idx="5">
                  <c:v>98.503889886295596</c:v>
                </c:pt>
                <c:pt idx="6">
                  <c:v>99.102333931777395</c:v>
                </c:pt>
                <c:pt idx="7">
                  <c:v>99.401555954518301</c:v>
                </c:pt>
                <c:pt idx="8">
                  <c:v>99.700777977259094</c:v>
                </c:pt>
                <c:pt idx="9">
                  <c:v>99.820466786355496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B2-4657-92F8-7ECAFECB0EDB}"/>
            </c:ext>
          </c:extLst>
        </c:ser>
        <c:ser>
          <c:idx val="2"/>
          <c:order val="2"/>
          <c:tx>
            <c:strRef>
              <c:f>female!$J$2</c:f>
              <c:strCache>
                <c:ptCount val="1"/>
                <c:pt idx="0">
                  <c:v>50-54 years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CB2-4657-92F8-7ECAFECB0EDB}"/>
              </c:ext>
            </c:extLst>
          </c:dPt>
          <c:xVal>
            <c:numRef>
              <c:f>female!$L$2:$L$12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 formatCode="#,##0">
                  <c:v>12</c:v>
                </c:pt>
              </c:numCache>
            </c:numRef>
          </c:xVal>
          <c:yVal>
            <c:numRef>
              <c:f>female!$K$2:$K$12</c:f>
              <c:numCache>
                <c:formatCode>0</c:formatCode>
                <c:ptCount val="11"/>
                <c:pt idx="0">
                  <c:v>0</c:v>
                </c:pt>
                <c:pt idx="1">
                  <c:v>47.1324983520106</c:v>
                </c:pt>
                <c:pt idx="2">
                  <c:v>72.775214238628905</c:v>
                </c:pt>
                <c:pt idx="3">
                  <c:v>87.541199736321701</c:v>
                </c:pt>
                <c:pt idx="4">
                  <c:v>95.1878707976269</c:v>
                </c:pt>
                <c:pt idx="5">
                  <c:v>97.429136453526695</c:v>
                </c:pt>
                <c:pt idx="6">
                  <c:v>98.0883322346737</c:v>
                </c:pt>
                <c:pt idx="7">
                  <c:v>99.077125906394201</c:v>
                </c:pt>
                <c:pt idx="8">
                  <c:v>99.274884640738307</c:v>
                </c:pt>
                <c:pt idx="9">
                  <c:v>99.868160843770596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CB2-4657-92F8-7ECAFECB0EDB}"/>
            </c:ext>
          </c:extLst>
        </c:ser>
        <c:ser>
          <c:idx val="3"/>
          <c:order val="3"/>
          <c:tx>
            <c:strRef>
              <c:f>female!$N$2</c:f>
              <c:strCache>
                <c:ptCount val="1"/>
                <c:pt idx="0">
                  <c:v>55-59 years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female!$P$2:$P$16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 formatCode="#,##0">
                  <c:v>20</c:v>
                </c:pt>
              </c:numCache>
            </c:numRef>
          </c:xVal>
          <c:yVal>
            <c:numRef>
              <c:f>female!$O$2:$O$16</c:f>
              <c:numCache>
                <c:formatCode>0</c:formatCode>
                <c:ptCount val="15"/>
                <c:pt idx="0">
                  <c:v>0</c:v>
                </c:pt>
                <c:pt idx="1">
                  <c:v>47.054597701149397</c:v>
                </c:pt>
                <c:pt idx="2">
                  <c:v>67.528735632183896</c:v>
                </c:pt>
                <c:pt idx="3">
                  <c:v>79.813218390804593</c:v>
                </c:pt>
                <c:pt idx="4">
                  <c:v>89.5833333333333</c:v>
                </c:pt>
                <c:pt idx="5">
                  <c:v>93.965517241379303</c:v>
                </c:pt>
                <c:pt idx="6">
                  <c:v>96.048850574712603</c:v>
                </c:pt>
                <c:pt idx="7">
                  <c:v>97.413793103448299</c:v>
                </c:pt>
                <c:pt idx="8">
                  <c:v>98.635057471264403</c:v>
                </c:pt>
                <c:pt idx="9">
                  <c:v>99.137931034482804</c:v>
                </c:pt>
                <c:pt idx="10">
                  <c:v>99.568965517241395</c:v>
                </c:pt>
                <c:pt idx="11">
                  <c:v>99.640804597701205</c:v>
                </c:pt>
                <c:pt idx="12">
                  <c:v>99.856321839080493</c:v>
                </c:pt>
                <c:pt idx="13">
                  <c:v>99.928160919540204</c:v>
                </c:pt>
                <c:pt idx="14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CB2-4657-92F8-7ECAFECB0EDB}"/>
            </c:ext>
          </c:extLst>
        </c:ser>
        <c:ser>
          <c:idx val="4"/>
          <c:order val="4"/>
          <c:tx>
            <c:strRef>
              <c:f>female!$R$2</c:f>
              <c:strCache>
                <c:ptCount val="1"/>
                <c:pt idx="0">
                  <c:v>60-64 years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female!$T$2:$T$15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 formatCode="#,##0">
                  <c:v>22</c:v>
                </c:pt>
              </c:numCache>
            </c:numRef>
          </c:xVal>
          <c:yVal>
            <c:numRef>
              <c:f>female!$S$2:$S$15</c:f>
              <c:numCache>
                <c:formatCode>0</c:formatCode>
                <c:ptCount val="14"/>
                <c:pt idx="0">
                  <c:v>0</c:v>
                </c:pt>
                <c:pt idx="1">
                  <c:v>35.294117647058798</c:v>
                </c:pt>
                <c:pt idx="2">
                  <c:v>63.461538461538503</c:v>
                </c:pt>
                <c:pt idx="3">
                  <c:v>75.678733031674199</c:v>
                </c:pt>
                <c:pt idx="4">
                  <c:v>84.389140271493204</c:v>
                </c:pt>
                <c:pt idx="5">
                  <c:v>90.7239819004525</c:v>
                </c:pt>
                <c:pt idx="6">
                  <c:v>92.986425339366505</c:v>
                </c:pt>
                <c:pt idx="7">
                  <c:v>96.493212669683302</c:v>
                </c:pt>
                <c:pt idx="8">
                  <c:v>97.171945701357501</c:v>
                </c:pt>
                <c:pt idx="9">
                  <c:v>98.190045248868799</c:v>
                </c:pt>
                <c:pt idx="10">
                  <c:v>98.642533936651603</c:v>
                </c:pt>
                <c:pt idx="11">
                  <c:v>99.321266968325801</c:v>
                </c:pt>
                <c:pt idx="12">
                  <c:v>99.773755656108605</c:v>
                </c:pt>
                <c:pt idx="1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CB2-4657-92F8-7ECAFECB0EDB}"/>
            </c:ext>
          </c:extLst>
        </c:ser>
        <c:ser>
          <c:idx val="5"/>
          <c:order val="5"/>
          <c:tx>
            <c:strRef>
              <c:f>female!$V$2</c:f>
              <c:strCache>
                <c:ptCount val="1"/>
                <c:pt idx="0">
                  <c:v>65-69 years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female!$X$2:$X$15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</c:numCache>
            </c:numRef>
          </c:xVal>
          <c:yVal>
            <c:numRef>
              <c:f>female!$W$2:$W$15</c:f>
              <c:numCache>
                <c:formatCode>0</c:formatCode>
                <c:ptCount val="14"/>
                <c:pt idx="0">
                  <c:v>0</c:v>
                </c:pt>
                <c:pt idx="1">
                  <c:v>18.0555555555556</c:v>
                </c:pt>
                <c:pt idx="2">
                  <c:v>44.642857142857103</c:v>
                </c:pt>
                <c:pt idx="3">
                  <c:v>56.547619047619101</c:v>
                </c:pt>
                <c:pt idx="4">
                  <c:v>69.642857142857096</c:v>
                </c:pt>
                <c:pt idx="5">
                  <c:v>80.5555555555556</c:v>
                </c:pt>
                <c:pt idx="6">
                  <c:v>86.309523809523796</c:v>
                </c:pt>
                <c:pt idx="7">
                  <c:v>92.460317460317498</c:v>
                </c:pt>
                <c:pt idx="8">
                  <c:v>96.230158730158706</c:v>
                </c:pt>
                <c:pt idx="9">
                  <c:v>98.015873015872998</c:v>
                </c:pt>
                <c:pt idx="10">
                  <c:v>98.412698412698404</c:v>
                </c:pt>
                <c:pt idx="11">
                  <c:v>99.206349206349202</c:v>
                </c:pt>
                <c:pt idx="12">
                  <c:v>99.603174603174594</c:v>
                </c:pt>
                <c:pt idx="13">
                  <c:v>99.801587301587304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CB2-4657-92F8-7ECAFECB0EDB}"/>
            </c:ext>
          </c:extLst>
        </c:ser>
        <c:ser>
          <c:idx val="6"/>
          <c:order val="6"/>
          <c:tx>
            <c:strRef>
              <c:f>female!$Z$2</c:f>
              <c:strCache>
                <c:ptCount val="1"/>
                <c:pt idx="0">
                  <c:v>70-74 years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female!$AB$2:$AB$13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19</c:v>
                </c:pt>
                <c:pt idx="11" formatCode="#,##0">
                  <c:v>22</c:v>
                </c:pt>
              </c:numCache>
            </c:numRef>
          </c:xVal>
          <c:yVal>
            <c:numRef>
              <c:f>female!$AA$2:$AA$13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13.852813852813901</c:v>
                </c:pt>
                <c:pt idx="2">
                  <c:v>38.961038961039002</c:v>
                </c:pt>
                <c:pt idx="3">
                  <c:v>47.619047619047599</c:v>
                </c:pt>
                <c:pt idx="4">
                  <c:v>62.770562770562798</c:v>
                </c:pt>
                <c:pt idx="5">
                  <c:v>70.562770562770595</c:v>
                </c:pt>
                <c:pt idx="6">
                  <c:v>85.281385281385298</c:v>
                </c:pt>
                <c:pt idx="7">
                  <c:v>89.177489177489207</c:v>
                </c:pt>
                <c:pt idx="8">
                  <c:v>93.073593073593102</c:v>
                </c:pt>
                <c:pt idx="9">
                  <c:v>96.536796536796501</c:v>
                </c:pt>
                <c:pt idx="10">
                  <c:v>99.134199134199207</c:v>
                </c:pt>
                <c:pt idx="11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CB2-4657-92F8-7ECAFECB0EDB}"/>
            </c:ext>
          </c:extLst>
        </c:ser>
        <c:ser>
          <c:idx val="7"/>
          <c:order val="7"/>
          <c:tx>
            <c:strRef>
              <c:f>female!$AD$1</c:f>
              <c:strCache>
                <c:ptCount val="1"/>
                <c:pt idx="0">
                  <c:v>Patient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female!$AE$3</c:f>
              <c:numCache>
                <c:formatCode>0</c:formatCode>
                <c:ptCount val="1"/>
                <c:pt idx="0">
                  <c:v>0</c:v>
                </c:pt>
              </c:numCache>
            </c:numRef>
          </c:xVal>
          <c:yVal>
            <c:numRef>
              <c:f>female!$AE$2</c:f>
              <c:numCache>
                <c:formatCode>0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CB2-4657-92F8-7ECAFECB0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165408"/>
        <c:axId val="906175248"/>
      </c:scatterChart>
      <c:valAx>
        <c:axId val="90616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10-year CV risk </a:t>
                </a:r>
                <a:r>
                  <a:rPr lang="en-US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175248"/>
        <c:crosses val="autoZero"/>
        <c:crossBetween val="midCat"/>
      </c:valAx>
      <c:valAx>
        <c:axId val="906175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6165408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fmlaLink="drugs!$P$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4</xdr:col>
      <xdr:colOff>533400</xdr:colOff>
      <xdr:row>42</xdr:row>
      <xdr:rowOff>47627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16</xdr:col>
      <xdr:colOff>10886</xdr:colOff>
      <xdr:row>42</xdr:row>
      <xdr:rowOff>47627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2362200</xdr:colOff>
          <xdr:row>5</xdr:row>
          <xdr:rowOff>114300</xdr:rowOff>
        </xdr:from>
        <xdr:to>
          <xdr:col>0</xdr:col>
          <xdr:colOff>2773680</xdr:colOff>
          <xdr:row>7</xdr:row>
          <xdr:rowOff>76200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01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4404-F613-479A-86DB-D49140E8DE8D}">
  <dimension ref="A1:M53"/>
  <sheetViews>
    <sheetView tabSelected="1" zoomScaleNormal="100" workbookViewId="0">
      <selection activeCell="C4" sqref="C4"/>
    </sheetView>
  </sheetViews>
  <sheetFormatPr defaultRowHeight="14.4" x14ac:dyDescent="0.3"/>
  <cols>
    <col min="1" max="1" width="23.21875" customWidth="1"/>
    <col min="2" max="2" width="29.77734375" bestFit="1" customWidth="1"/>
    <col min="3" max="3" width="19.33203125" style="4" customWidth="1"/>
    <col min="5" max="5" width="9.77734375" bestFit="1" customWidth="1"/>
  </cols>
  <sheetData>
    <row r="1" spans="1:13" ht="22.8" customHeight="1" thickBot="1" x14ac:dyDescent="0.45">
      <c r="A1" s="12" t="s">
        <v>92</v>
      </c>
      <c r="B1" s="12"/>
      <c r="C1" s="13"/>
      <c r="F1" s="54" t="s">
        <v>102</v>
      </c>
      <c r="G1" s="55"/>
      <c r="H1" s="55"/>
      <c r="I1" s="55"/>
      <c r="J1" s="55"/>
      <c r="K1" s="55"/>
      <c r="L1" s="56"/>
    </row>
    <row r="2" spans="1:13" ht="15.6" thickTop="1" thickBot="1" x14ac:dyDescent="0.35">
      <c r="F2" s="57"/>
      <c r="G2" s="58"/>
      <c r="H2" s="58"/>
      <c r="I2" s="58"/>
      <c r="J2" s="58"/>
      <c r="K2" s="58"/>
      <c r="L2" s="59"/>
    </row>
    <row r="3" spans="1:13" ht="15" thickTop="1" x14ac:dyDescent="0.3">
      <c r="A3" s="14" t="s">
        <v>93</v>
      </c>
      <c r="B3" s="15" t="s">
        <v>94</v>
      </c>
      <c r="C3" s="16" t="s">
        <v>95</v>
      </c>
      <c r="D3" s="6"/>
    </row>
    <row r="4" spans="1:13" x14ac:dyDescent="0.3">
      <c r="A4" s="17" t="s">
        <v>96</v>
      </c>
      <c r="B4" s="18" t="s">
        <v>0</v>
      </c>
      <c r="C4" s="42" t="s">
        <v>91</v>
      </c>
      <c r="D4" s="19" t="str">
        <f>IF(C4="m"," ",IF(C4="f"," ","Enter 'm' for male or 'f' for female"))</f>
        <v xml:space="preserve"> </v>
      </c>
    </row>
    <row r="5" spans="1:13" x14ac:dyDescent="0.3">
      <c r="A5" s="17" t="s">
        <v>97</v>
      </c>
      <c r="B5" s="18" t="s">
        <v>100</v>
      </c>
      <c r="C5" s="43">
        <v>45</v>
      </c>
      <c r="D5" s="19" t="str">
        <f>IF(OR(C5&lt;40,C5&gt;74),"Enter a value between 40 and 74"," ")</f>
        <v xml:space="preserve"> </v>
      </c>
    </row>
    <row r="6" spans="1:13" x14ac:dyDescent="0.3">
      <c r="A6" s="17" t="s">
        <v>98</v>
      </c>
      <c r="B6" s="18" t="s">
        <v>1</v>
      </c>
      <c r="C6" s="43">
        <v>130</v>
      </c>
      <c r="D6" s="19" t="str">
        <f>IF(C6&lt;80,"Please check the value",IF(C6&gt;210,"Please check the value"," "))</f>
        <v xml:space="preserve"> </v>
      </c>
    </row>
    <row r="7" spans="1:13" ht="16.2" x14ac:dyDescent="0.3">
      <c r="A7" s="20" t="s">
        <v>126</v>
      </c>
      <c r="B7" s="18" t="s">
        <v>2</v>
      </c>
      <c r="C7" s="43">
        <v>200</v>
      </c>
      <c r="D7" s="19" t="str">
        <f>IF(OR(C7&lt;80,C7&gt;320),"Please check the value","")</f>
        <v/>
      </c>
    </row>
    <row r="8" spans="1:13" x14ac:dyDescent="0.3">
      <c r="A8" s="17" t="s">
        <v>99</v>
      </c>
      <c r="B8" s="18" t="s">
        <v>101</v>
      </c>
      <c r="C8" s="42" t="s">
        <v>156</v>
      </c>
      <c r="D8" s="19" t="str">
        <f>IF(C8="y"," ",IF(C8="n"," ","Enter 'y' or 'n'"))</f>
        <v xml:space="preserve"> </v>
      </c>
    </row>
    <row r="9" spans="1:13" x14ac:dyDescent="0.3">
      <c r="A9" s="17" t="s">
        <v>150</v>
      </c>
      <c r="B9" s="18" t="s">
        <v>101</v>
      </c>
      <c r="C9" s="42" t="s">
        <v>107</v>
      </c>
      <c r="D9" s="19" t="str">
        <f>IF(C9="y"," ",IF(C9="n"," ","Enter 'y' or 'n'"))</f>
        <v xml:space="preserve"> </v>
      </c>
    </row>
    <row r="10" spans="1:13" x14ac:dyDescent="0.3">
      <c r="C10" s="5"/>
    </row>
    <row r="11" spans="1:13" ht="16.2" x14ac:dyDescent="0.3">
      <c r="A11" s="30"/>
      <c r="B11" s="21" t="s">
        <v>137</v>
      </c>
      <c r="C11" s="22">
        <f>IF(gr!B1=1,'gr1'!F3,IF(gr!B1=2,'gr2'!F3,IF(gr!B1=3,'gr3'!F3,IF(gr!B1=4,'gr4'!F3,IF(gr!B1=5,'gr5'!F3,IF(gr!B1=6,'gr6'!F3,IF(gr!B1=7,'gr7'!F3,IF(gr!B1=8,'gr8'!F3,"error"))))))))</f>
        <v>0.05</v>
      </c>
      <c r="D11" s="19" t="str">
        <f>IF(OR(C5&lt;40,C5&gt;74),"This risk estimate applies only to individuals between 40 and 74 years of age"," ")</f>
        <v xml:space="preserve"> </v>
      </c>
      <c r="G11" s="2"/>
    </row>
    <row r="13" spans="1:13" ht="16.2" x14ac:dyDescent="0.3">
      <c r="B13" s="31" t="s">
        <v>127</v>
      </c>
      <c r="C13" s="32">
        <f>IF(C4="m",percentile_male!D1,IF(C4="f",percentile_female!D1,""))</f>
        <v>83</v>
      </c>
    </row>
    <row r="14" spans="1:13" x14ac:dyDescent="0.3">
      <c r="B14" s="33" t="s">
        <v>103</v>
      </c>
      <c r="C14" s="34">
        <f>IF(C13="&gt;=99","at least 99",C13)</f>
        <v>83</v>
      </c>
      <c r="D14" s="35" t="s">
        <v>104</v>
      </c>
      <c r="E14" s="35"/>
      <c r="F14" s="35"/>
      <c r="G14" s="35"/>
      <c r="H14" s="35"/>
      <c r="I14" s="35"/>
      <c r="J14" s="35"/>
      <c r="K14" s="35"/>
      <c r="M14" s="6"/>
    </row>
    <row r="16" spans="1:13" ht="16.2" x14ac:dyDescent="0.3">
      <c r="A16" s="36" t="s">
        <v>128</v>
      </c>
    </row>
    <row r="17" spans="1:1" x14ac:dyDescent="0.3">
      <c r="A17" s="36" t="s">
        <v>148</v>
      </c>
    </row>
    <row r="18" spans="1:1" x14ac:dyDescent="0.3">
      <c r="A18" s="36" t="s">
        <v>149</v>
      </c>
    </row>
    <row r="19" spans="1:1" x14ac:dyDescent="0.3">
      <c r="A19" s="36" t="s">
        <v>155</v>
      </c>
    </row>
    <row r="20" spans="1:1" x14ac:dyDescent="0.3">
      <c r="A20" s="36"/>
    </row>
    <row r="36" spans="1:4" x14ac:dyDescent="0.3">
      <c r="C36"/>
      <c r="D36" s="37"/>
    </row>
    <row r="37" spans="1:4" x14ac:dyDescent="0.3">
      <c r="C37"/>
      <c r="D37" s="38"/>
    </row>
    <row r="38" spans="1:4" x14ac:dyDescent="0.3">
      <c r="C38"/>
      <c r="D38" s="39"/>
    </row>
    <row r="39" spans="1:4" x14ac:dyDescent="0.3">
      <c r="C39"/>
      <c r="D39" s="40"/>
    </row>
    <row r="40" spans="1:4" x14ac:dyDescent="0.3">
      <c r="C40"/>
      <c r="D40" s="41"/>
    </row>
    <row r="46" spans="1:4" ht="15" thickBot="1" x14ac:dyDescent="0.35">
      <c r="A46" s="23" t="s">
        <v>105</v>
      </c>
    </row>
    <row r="47" spans="1:4" x14ac:dyDescent="0.3">
      <c r="A47" t="s">
        <v>151</v>
      </c>
    </row>
    <row r="48" spans="1:4" x14ac:dyDescent="0.3">
      <c r="A48" t="s">
        <v>152</v>
      </c>
    </row>
    <row r="49" spans="1:1" x14ac:dyDescent="0.3">
      <c r="A49" t="s">
        <v>153</v>
      </c>
    </row>
    <row r="50" spans="1:1" x14ac:dyDescent="0.3">
      <c r="A50" t="s">
        <v>154</v>
      </c>
    </row>
    <row r="53" spans="1:1" x14ac:dyDescent="0.3">
      <c r="A53" s="24"/>
    </row>
  </sheetData>
  <sheetProtection algorithmName="SHA-512" hashValue="Ppaj4Jhp0djhMNe0YCzAh+EX1Fi0JznpZnd4MJaZQjwH2Vi0iAPscCBLN3PO0RSk8yxu7pVN0EHVGd67wTUw+w==" saltValue="BRKqxY/G+4nQGViu7Nb9mw==" spinCount="100000" sheet="1" objects="1" scenarios="1"/>
  <mergeCells count="1">
    <mergeCell ref="F1:L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0826-5EA5-456B-9E3F-C9407D402CC5}">
  <dimension ref="A1:F11"/>
  <sheetViews>
    <sheetView workbookViewId="0"/>
  </sheetViews>
  <sheetFormatPr defaultRowHeight="14.4" x14ac:dyDescent="0.3"/>
  <sheetData>
    <row r="1" spans="1:6" x14ac:dyDescent="0.3">
      <c r="A1" t="s">
        <v>78</v>
      </c>
      <c r="B1" t="s">
        <v>73</v>
      </c>
      <c r="C1" t="s">
        <v>79</v>
      </c>
      <c r="D1" t="s">
        <v>75</v>
      </c>
      <c r="F1" t="s">
        <v>74</v>
      </c>
    </row>
    <row r="2" spans="1:6" x14ac:dyDescent="0.3">
      <c r="A2">
        <v>3</v>
      </c>
      <c r="B2" t="s">
        <v>76</v>
      </c>
      <c r="C2" t="s">
        <v>81</v>
      </c>
      <c r="D2" t="s">
        <v>76</v>
      </c>
      <c r="F2">
        <f>IF(idd!B1=1,'gr3'!B5,IF(idd!B1=2,'gr3'!B6,IF(idd!B1=3,'gr3'!B7,IF(idd!B1=4,'gr3'!B8,IF(idd!B1=5,'gr3'!B9,IF(idd!B1=6,'gr3'!B10,IF(idd!B1=7,'gr3'!B11,"erro")))))))</f>
        <v>2</v>
      </c>
    </row>
    <row r="3" spans="1:6" x14ac:dyDescent="0.3">
      <c r="F3">
        <f>F2/100</f>
        <v>0.02</v>
      </c>
    </row>
    <row r="4" spans="1:6" x14ac:dyDescent="0.3">
      <c r="A4" t="s">
        <v>64</v>
      </c>
      <c r="B4" t="s">
        <v>74</v>
      </c>
    </row>
    <row r="5" spans="1:6" x14ac:dyDescent="0.3">
      <c r="A5">
        <v>1</v>
      </c>
      <c r="B5">
        <f>IF(AND(ct!B3=1,pas!B1=1),1,
IF(AND(ct!B3=1,pas!B1=2),1,
IF(AND(ct!B3=1,pas!B1=3),2,
IF(AND(ct!B3=1,pas!B1=4),2,
IF(AND(ct!B3=1,pas!B1=5),3,
IF(AND(ct!B3=2,pas!B1=1),1,
IF(AND(ct!B3=2,pas!B1=2),1,
IF(AND(ct!B3=2,pas!B1=3),2,
IF(AND(ct!B3=2,pas!B1=4),2,
IF(AND(ct!B3=2,pas!B1=5),3,
IF(AND(ct!B3=3,pas!B1=1),1,
IF(AND(ct!B3=3,pas!B1=2),2,
IF(AND(ct!B3=3,pas!B1=3),2,
IF(AND(ct!B3=3,pas!B1=4),3,
IF(AND(ct!B3=3,pas!B1=5),4,
IF(AND(ct!B3=4,pas!B1=1),1,
IF(AND(ct!B3=4,pas!B1=2),2,
IF(AND(ct!B3=4,pas!B1=3),2,
IF(AND(ct!B3=4,pas!B1=4),3,
IF(AND(ct!B3=4,pas!B1=5),4,
IF(AND(ct!B3=5,pas!B1=1),1,
IF(AND(ct!B3=5,pas!B1=2),2,
IF(AND(ct!B3=5,pas!B1=3),2,
IF(AND(ct!B3=5,pas!B1=4),3,
IF(AND(ct!B3=5,pas!B1=5),4,"erro")))))))))))))))))))))))))</f>
        <v>2</v>
      </c>
    </row>
    <row r="6" spans="1:6" x14ac:dyDescent="0.3">
      <c r="A6">
        <v>2</v>
      </c>
      <c r="B6">
        <f>IF(AND(ct!B3=1,pas!B1=1),1,
IF(AND(ct!B3=1,pas!B1=2),2,
IF(AND(ct!B3=1,pas!B1=3),2,
IF(AND(ct!B3=1,pas!B1=4),3,
IF(AND(ct!B3=1,pas!B1=5),4,
IF(AND(ct!B3=2,pas!B1=1),1,
IF(AND(ct!B3=2,pas!B1=2),2,
IF(AND(ct!B3=2,pas!B1=3),2,
IF(AND(ct!B3=2,pas!B1=4),3,
IF(AND(ct!B3=2,pas!B1=5),4,
IF(AND(ct!B3=3,pas!B1=1),2,
IF(AND(ct!B3=3,pas!B1=2),2,
IF(AND(ct!B3=3,pas!B1=3),3,
IF(AND(ct!B3=3,pas!B1=4),3,
IF(AND(ct!B3=3,pas!B1=5),4,
IF(AND(ct!B3=4,pas!B1=1),2,
IF(AND(ct!B3=4,pas!B1=2),2,
IF(AND(ct!B3=4,pas!B1=3),3,
IF(AND(ct!B3=4,pas!B1=4),4,
IF(AND(ct!B3=4,pas!B1=5),5,
IF(AND(ct!B3=5,pas!B1=1),2,
IF(AND(ct!B3=5,pas!B1=2),2,
IF(AND(ct!B3=5,pas!B1=3),3,
IF(AND(ct!B3=5,pas!B1=4),4,
IF(AND(ct!B3=5,pas!B1=5),5,"erro")))))))))))))))))))))))))</f>
        <v>2</v>
      </c>
    </row>
    <row r="7" spans="1:6" x14ac:dyDescent="0.3">
      <c r="A7">
        <v>3</v>
      </c>
      <c r="B7">
        <f>IF(AND(ct!B3=1,pas!B1=1),2,
IF(AND(ct!B3=1,pas!B1=2),2,
IF(AND(ct!B3=1,pas!B1=3),3,
IF(AND(ct!B3=1,pas!B1=4),4,
IF(AND(ct!B3=1,pas!B1=5),5,
IF(AND(ct!B3=2,pas!B1=1),2,
IF(AND(ct!B3=2,pas!B1=2),3,
IF(AND(ct!B3=2,pas!B1=3),3,
IF(AND(ct!B3=2,pas!B1=4),4,
IF(AND(ct!B3=2,pas!B1=5),5,
IF(AND(ct!B3=3,pas!B1=1),2,
IF(AND(ct!B3=3,pas!B1=2),3,
IF(AND(ct!B3=3,pas!B1=3),3,
IF(AND(ct!B3=3,pas!B1=4),4,
IF(AND(ct!B3=3,pas!B1=5),5,
IF(AND(ct!B3=4,pas!B1=1),2,
IF(AND(ct!B3=4,pas!B1=2),3,
IF(AND(ct!B3=4,pas!B1=3),4,
IF(AND(ct!B3=4,pas!B1=4),5,
IF(AND(ct!B3=4,pas!B1=5),6,
IF(AND(ct!B3=5,pas!B1=1),2,
IF(AND(ct!B3=5,pas!B1=2),3,
IF(AND(ct!B3=5,pas!B1=3),4,
IF(AND(ct!B3=5,pas!B1=4),5,
IF(AND(ct!B3=5,pas!B1=5),6,"erro")))))))))))))))))))))))))</f>
        <v>3</v>
      </c>
    </row>
    <row r="8" spans="1:6" x14ac:dyDescent="0.3">
      <c r="A8">
        <v>4</v>
      </c>
      <c r="B8">
        <f>IF(AND(ct!B3=1,pas!B1=1),3,
IF(AND(ct!B3=1,pas!B1=2),3,
IF(AND(ct!B3=1,pas!B1=3),4,
IF(AND(ct!B3=1,pas!B1=4),5,
IF(AND(ct!B3=1,pas!B1=5),6,
IF(AND(ct!B3=2,pas!B1=1),3,
IF(AND(ct!B3=2,pas!B1=2),3,
IF(AND(ct!B3=2,pas!B1=3),4,
IF(AND(ct!B3=2,pas!B1=4),5,
IF(AND(ct!B3=2,pas!B1=5),6,
IF(AND(ct!B3=3,pas!B1=1),3,
IF(AND(ct!B3=3,pas!B1=2),4,
IF(AND(ct!B3=3,pas!B1=3),4,
IF(AND(ct!B3=3,pas!B1=4),6,
IF(AND(ct!B3=3,pas!B1=5),7,
IF(AND(ct!B3=4,pas!B1=1),3,
IF(AND(ct!B3=4,pas!B1=2),4,
IF(AND(ct!B3=4,pas!B1=3),5,
IF(AND(ct!B3=4,pas!B1=4),6,
IF(AND(ct!B3=4,pas!B1=5),7,
IF(AND(ct!B3=5,pas!B1=1),3,
IF(AND(ct!B3=5,pas!B1=2),4,
IF(AND(ct!B3=5,pas!B1=3),5,
IF(AND(ct!B3=5,pas!B1=4),6,
IF(AND(ct!B3=5,pas!B1=5),8,"erro")))))))))))))))))))))))))</f>
        <v>4</v>
      </c>
    </row>
    <row r="9" spans="1:6" x14ac:dyDescent="0.3">
      <c r="A9">
        <v>5</v>
      </c>
      <c r="B9">
        <f>IF(AND(ct!B3=1,pas!B1=1),4,
IF(AND(ct!B3=1,pas!B1=2),4,
IF(AND(ct!B3=1,pas!B1=3),5,
IF(AND(ct!B3=1,pas!B1=4),6,
IF(AND(ct!B3=1,pas!B1=5),8,
IF(AND(ct!B3=2,pas!B1=1),4,
IF(AND(ct!B3=2,pas!B1=2),5,
IF(AND(ct!B3=2,pas!B1=3),6,
IF(AND(ct!B3=2,pas!B1=4),7,
IF(AND(ct!B3=2,pas!B1=5),8,
IF(AND(ct!B3=3,pas!B1=1),4,
IF(AND(ct!B3=3,pas!B1=2),5,
IF(AND(ct!B3=3,pas!B1=3),6,
IF(AND(ct!B3=3,pas!B1=4),7,
IF(AND(ct!B3=3,pas!B1=5),9,
IF(AND(ct!B3=4,pas!B1=1),4,
IF(AND(ct!B3=4,pas!B1=2),5,
IF(AND(ct!B3=4,pas!B1=3),6,
IF(AND(ct!B3=4,pas!B1=4),7,
IF(AND(ct!B3=4,pas!B1=5),9,
IF(AND(ct!B3=5,pas!B1=1),4,
IF(AND(ct!B3=5,pas!B1=2),5,
IF(AND(ct!B3=5,pas!B1=3),7,
IF(AND(ct!B3=5,pas!B1=4),8,
IF(AND(ct!B3=5,pas!B1=5),10,"erro")))))))))))))))))))))))))</f>
        <v>5</v>
      </c>
    </row>
    <row r="10" spans="1:6" x14ac:dyDescent="0.3">
      <c r="A10">
        <v>6</v>
      </c>
      <c r="B10">
        <f>IF(AND(ct!B3=1,pas!B1=1),5,
IF(AND(ct!B3=1,pas!B1=2),6,
IF(AND(ct!B3=1,pas!B1=3),7,
IF(AND(ct!B3=1,pas!B1=4),8,
IF(AND(ct!B3=1,pas!B1=5),10,
IF(AND(ct!B3=2,pas!B1=1),5,
IF(AND(ct!B3=2,pas!B1=2),6,
IF(AND(ct!B3=2,pas!B1=3),7,
IF(AND(ct!B3=2,pas!B1=4),9,
IF(AND(ct!B3=2,pas!B1=5),10,
IF(AND(ct!B3=3,pas!B1=1),5,
IF(AND(ct!B3=3,pas!B1=2),6,
IF(AND(ct!B3=3,pas!B1=3),8,
IF(AND(ct!B3=3,pas!B1=4),9,
IF(AND(ct!B3=3,pas!B1=5),11,
IF(AND(ct!B3=4,pas!B1=1),6,
IF(AND(ct!B3=4,pas!B1=2),7,
IF(AND(ct!B3=4,pas!B1=3),8,
IF(AND(ct!B3=4,pas!B1=4),10,
IF(AND(ct!B3=4,pas!B1=5),11,
IF(AND(ct!B3=5,pas!B1=1),6,
IF(AND(ct!B3=5,pas!B1=2),7,
IF(AND(ct!B3=5,pas!B1=3),8,
IF(AND(ct!B3=5,pas!B1=4),10,
IF(AND(ct!B3=5,pas!B1=5),12,"erro")))))))))))))))))))))))))</f>
        <v>6</v>
      </c>
    </row>
    <row r="11" spans="1:6" x14ac:dyDescent="0.3">
      <c r="A11">
        <v>7</v>
      </c>
      <c r="B11">
        <f>IF(AND(ct!B3=1,pas!B1=1),7,
IF(AND(ct!B3=1,pas!B1=2),8,
IF(AND(ct!B3=1,pas!B1=3),9,
IF(AND(ct!B3=1,pas!B1=4),11,
IF(AND(ct!B3=1,pas!B1=5),13,
IF(AND(ct!B3=2,pas!B1=1),7,
IF(AND(ct!B3=2,pas!B1=2),8,
IF(AND(ct!B3=2,pas!B1=3),10,
IF(AND(ct!B3=2,pas!B1=4),11,
IF(AND(ct!B3=2,pas!B1=5),13,
IF(AND(ct!B3=3,pas!B1=1),7,
IF(AND(ct!B3=3,pas!B1=2),8,
IF(AND(ct!B3=3,pas!B1=3),10,
IF(AND(ct!B3=3,pas!B1=4),12,
IF(AND(ct!B3=3,pas!B1=5),14,
IF(AND(ct!B3=4,pas!B1=1),8,
IF(AND(ct!B3=4,pas!B1=2),9,
IF(AND(ct!B3=4,pas!B1=3),10,
IF(AND(ct!B3=4,pas!B1=4),12,
IF(AND(ct!B3=4,pas!B1=5),14,
IF(AND(ct!B3=5,pas!B1=1),8,
IF(AND(ct!B3=5,pas!B1=2),9,
IF(AND(ct!B3=5,pas!B1=3),11,
IF(AND(ct!B3=5,pas!B1=4),13,
IF(AND(ct!B3=5,pas!B1=5),15,"erro")))))))))))))))))))))))))</f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C92D-9357-4086-928C-D0147E96AFD4}">
  <dimension ref="A1:F11"/>
  <sheetViews>
    <sheetView workbookViewId="0"/>
  </sheetViews>
  <sheetFormatPr defaultRowHeight="14.4" x14ac:dyDescent="0.3"/>
  <sheetData>
    <row r="1" spans="1:6" x14ac:dyDescent="0.3">
      <c r="A1" t="s">
        <v>78</v>
      </c>
      <c r="B1" t="s">
        <v>73</v>
      </c>
      <c r="C1" t="s">
        <v>79</v>
      </c>
      <c r="D1" t="s">
        <v>75</v>
      </c>
      <c r="F1" t="s">
        <v>74</v>
      </c>
    </row>
    <row r="2" spans="1:6" x14ac:dyDescent="0.3">
      <c r="A2">
        <v>4</v>
      </c>
      <c r="B2" t="s">
        <v>76</v>
      </c>
      <c r="C2" t="s">
        <v>81</v>
      </c>
      <c r="D2" t="s">
        <v>80</v>
      </c>
      <c r="F2">
        <f>IF(idd!B1=1,'gr4'!B5,IF(idd!B1=2,'gr4'!B6,IF(idd!B1=3,'gr4'!B7,IF(idd!B1=4,'gr4'!B8,IF(idd!B1=5,'gr4'!B9,IF(idd!B1=6,'gr4'!B10,IF(idd!B1=7,'gr4'!B11,"erro")))))))</f>
        <v>4</v>
      </c>
    </row>
    <row r="3" spans="1:6" x14ac:dyDescent="0.3">
      <c r="F3">
        <f>F2/100</f>
        <v>0.04</v>
      </c>
    </row>
    <row r="4" spans="1:6" x14ac:dyDescent="0.3">
      <c r="A4" t="s">
        <v>64</v>
      </c>
      <c r="B4" t="s">
        <v>74</v>
      </c>
    </row>
    <row r="5" spans="1:6" x14ac:dyDescent="0.3">
      <c r="A5">
        <v>1</v>
      </c>
      <c r="B5">
        <f>IF(AND(ct!B3=1,pas!B1=1),2,
IF(AND(ct!B3=1,pas!B1=2),3,
IF(AND(ct!B3=1,pas!B1=3),4,
IF(AND(ct!B3=1,pas!B1=4),5,
IF(AND(ct!B3=1,pas!B1=5),6,
IF(AND(ct!B3=2,pas!B1=1),2,
IF(AND(ct!B3=2,pas!B1=2),3,
IF(AND(ct!B3=2,pas!B1=3),4,
IF(AND(ct!B3=2,pas!B1=4),5,
IF(AND(ct!B3=2,pas!B1=5),7,
IF(AND(ct!B3=3,pas!B1=1),2,
IF(AND(ct!B3=3,pas!B1=2),3,
IF(AND(ct!B3=3,pas!B1=3),4,
IF(AND(ct!B3=3,pas!B1=4),6,
IF(AND(ct!B3=3,pas!B1=5),7,
IF(AND(ct!B3=4,pas!B1=1),3,
IF(AND(ct!B3=4,pas!B1=2),4,
IF(AND(ct!B3=4,pas!B1=3),5,
IF(AND(ct!B3=4,pas!B1=4),6,
IF(AND(ct!B3=4,pas!B1=5),8,
IF(AND(ct!B3=5,pas!B1=1),3,
IF(AND(ct!B3=5,pas!B1=2),4,
IF(AND(ct!B3=5,pas!B1=3),5,
IF(AND(ct!B3=5,pas!B1=4),7,
IF(AND(ct!B3=5,pas!B1=5),9,"erro")))))))))))))))))))))))))</f>
        <v>3</v>
      </c>
    </row>
    <row r="6" spans="1:6" x14ac:dyDescent="0.3">
      <c r="A6">
        <v>2</v>
      </c>
      <c r="B6">
        <f>IF(AND(ct!B3=1,pas!B1=1),3,
IF(AND(ct!B3=1,pas!B1=2),3,
IF(AND(ct!B3=1,pas!B1=3),4,
IF(AND(ct!B3=1,pas!B1=4),6,
IF(AND(ct!B3=1,pas!B1=5),7,
IF(AND(ct!B3=2,pas!B1=1),3,
IF(AND(ct!B3=2,pas!B1=2),4,
IF(AND(ct!B3=2,pas!B1=3),5,
IF(AND(ct!B3=2,pas!B1=4),6,
IF(AND(ct!B3=2,pas!B1=5),8,
IF(AND(ct!B3=3,pas!B1=1),3,
IF(AND(ct!B3=3,pas!B1=2),4,
IF(AND(ct!B3=3,pas!B1=3),5,
IF(AND(ct!B3=3,pas!B1=4),7,
IF(AND(ct!B3=3,pas!B1=5),8,
IF(AND(ct!B3=4,pas!B1=1),3,
IF(AND(ct!B3=4,pas!B1=2),4,
IF(AND(ct!B3=4,pas!B1=3),6,
IF(AND(ct!B3=4,pas!B1=4),7,
IF(AND(ct!B3=4,pas!B1=5),9,
IF(AND(ct!B3=5,pas!B1=1),4,
IF(AND(ct!B3=5,pas!B1=2),5,
IF(AND(ct!B3=5,pas!B1=3),6,
IF(AND(ct!B3=5,pas!B1=4),8,
IF(AND(ct!B3=5,pas!B1=5),10,"erro")))))))))))))))))))))))))</f>
        <v>4</v>
      </c>
    </row>
    <row r="7" spans="1:6" x14ac:dyDescent="0.3">
      <c r="A7">
        <v>3</v>
      </c>
      <c r="B7">
        <f>IF(AND(ct!B3=1,pas!B1=1),3,
IF(AND(ct!B3=1,pas!B1=2),4,
IF(AND(ct!B3=1,pas!B1=3),5,
IF(AND(ct!B3=1,pas!B1=4),7,
IF(AND(ct!B3=1,pas!B1=5),9,
IF(AND(ct!B3=2,pas!B1=1),4,
IF(AND(ct!B3=2,pas!B1=2),5,
IF(AND(ct!B3=2,pas!B1=3),6,
IF(AND(ct!B3=2,pas!B1=4),7,
IF(AND(ct!B3=2,pas!B1=5),9,
IF(AND(ct!B3=3,pas!B1=1),4,
IF(AND(ct!B3=3,pas!B1=2),5,
IF(AND(ct!B3=3,pas!B1=3),6,
IF(AND(ct!B3=3,pas!B1=4),8,
IF(AND(ct!B3=3,pas!B1=5),10,
IF(AND(ct!B3=4,pas!B1=1),4,
IF(AND(ct!B3=4,pas!B1=2),5,
IF(AND(ct!B3=4,pas!B1=3),7,
IF(AND(ct!B3=4,pas!B1=4),9,
IF(AND(ct!B3=4,pas!B1=5),11,
IF(AND(ct!B3=5,pas!B1=1),5,
IF(AND(ct!B3=5,pas!B1=2),6,
IF(AND(ct!B3=5,pas!B1=3),7,
IF(AND(ct!B3=5,pas!B1=4),9,
IF(AND(ct!B3=5,pas!B1=5),12,"erro")))))))))))))))))))))))))</f>
        <v>5</v>
      </c>
    </row>
    <row r="8" spans="1:6" x14ac:dyDescent="0.3">
      <c r="A8">
        <v>4</v>
      </c>
      <c r="B8">
        <f>IF(AND(ct!B3=1,pas!B1=1),4,
IF(AND(ct!B3=1,pas!B1=2),5,
IF(AND(ct!B3=1,pas!B1=3),7,
IF(AND(ct!B3=1,pas!B1=4),8,
IF(AND(ct!B3=1,pas!B1=5),10,
IF(AND(ct!B3=2,pas!B1=1),5,
IF(AND(ct!B3=2,pas!B1=2),6,
IF(AND(ct!B3=2,pas!B1=3),7,
IF(AND(ct!B3=2,pas!B1=4),9,
IF(AND(ct!B3=2,pas!B1=5),11,
IF(AND(ct!B3=3,pas!B1=1),5,
IF(AND(ct!B3=3,pas!B1=2),6,
IF(AND(ct!B3=3,pas!B1=3),8,
IF(AND(ct!B3=3,pas!B1=4),9,
IF(AND(ct!B3=3,pas!B1=5),12,
IF(AND(ct!B3=4,pas!B1=1),5,
IF(AND(ct!B3=4,pas!B1=2),7,
IF(AND(ct!B3=4,pas!B1=3),8,
IF(AND(ct!B3=4,pas!B1=4),10,
IF(AND(ct!B3=4,pas!B1=5),12,
IF(AND(ct!B3=5,pas!B1=1),6,
IF(AND(ct!B3=5,pas!B1=2),7,
IF(AND(ct!B3=5,pas!B1=3),9,
IF(AND(ct!B3=5,pas!B1=4),11,
IF(AND(ct!B3=5,pas!B1=5),13,"erro")))))))))))))))))))))))))</f>
        <v>6</v>
      </c>
    </row>
    <row r="9" spans="1:6" x14ac:dyDescent="0.3">
      <c r="A9">
        <v>5</v>
      </c>
      <c r="B9">
        <f>IF(AND(ct!B3=1,pas!B1=1),6,
IF(AND(ct!B3=1,pas!B1=2),7,
IF(AND(ct!B3=1,pas!B1=3),8,
IF(AND(ct!B3=1,pas!B1=4),10,
IF(AND(ct!B3=1,pas!B1=5),12,
IF(AND(ct!B3=2,pas!B1=1),6,
IF(AND(ct!B3=2,pas!B1=2),7,
IF(AND(ct!B3=2,pas!B1=3),9,
IF(AND(ct!B3=2,pas!B1=4),11,
IF(AND(ct!B3=2,pas!B1=5),13,
IF(AND(ct!B3=3,pas!B1=1),6,
IF(AND(ct!B3=3,pas!B1=2),8,
IF(AND(ct!B3=3,pas!B1=3),9,
IF(AND(ct!B3=3,pas!B1=4),11,
IF(AND(ct!B3=3,pas!B1=5),14,
IF(AND(ct!B3=4,pas!B1=1),7,
IF(AND(ct!B3=4,pas!B1=2),8,
IF(AND(ct!B3=4,pas!B1=3),10,
IF(AND(ct!B3=4,pas!B1=4),12,
IF(AND(ct!B3=4,pas!B1=5),14,
IF(AND(ct!B3=5,pas!B1=1),7,
IF(AND(ct!B3=5,pas!B1=2),9,
IF(AND(ct!B3=5,pas!B1=3),11,
IF(AND(ct!B3=5,pas!B1=4),13,
IF(AND(ct!B3=5,pas!B1=5),15,"erro")))))))))))))))))))))))))</f>
        <v>8</v>
      </c>
    </row>
    <row r="10" spans="1:6" x14ac:dyDescent="0.3">
      <c r="A10">
        <v>6</v>
      </c>
      <c r="B10">
        <f>IF(AND(ct!B3=1,pas!B1=1),7,
IF(AND(ct!B3=1,pas!B1=2),9,
IF(AND(ct!B3=1,pas!B1=3),10,
IF(AND(ct!B3=1,pas!B1=4),12,
IF(AND(ct!B3=1,pas!B1=5),14,
IF(AND(ct!B3=2,pas!B1=1),8,
IF(AND(ct!B3=2,pas!B1=2),9,
IF(AND(ct!B3=2,pas!B1=3),11,
IF(AND(ct!B3=2,pas!B1=4),13,
IF(AND(ct!B3=2,pas!B1=5),15,
IF(AND(ct!B3=3,pas!B1=1),8,
IF(AND(ct!B3=3,pas!B1=2),9,
IF(AND(ct!B3=3,pas!B1=3),11,
IF(AND(ct!B3=3,pas!B1=4),13,
IF(AND(ct!B3=3,pas!B1=5),16,
IF(AND(ct!B3=4,pas!B1=1),8,
IF(AND(ct!B3=4,pas!B1=2),10,
IF(AND(ct!B3=4,pas!B1=3),12,
IF(AND(ct!B3=4,pas!B1=4),14,
IF(AND(ct!B3=4,pas!B1=5),17,
IF(AND(ct!B3=5,pas!B1=1),9,
IF(AND(ct!B3=5,pas!B1=2),11,
IF(AND(ct!B3=5,pas!B1=3),13,
IF(AND(ct!B3=5,pas!B1=4),15,
IF(AND(ct!B3=5,pas!B1=5),18,"erro")))))))))))))))))))))))))</f>
        <v>9</v>
      </c>
    </row>
    <row r="11" spans="1:6" x14ac:dyDescent="0.3">
      <c r="A11">
        <v>7</v>
      </c>
      <c r="B11">
        <f>IF(AND(ct!B3=1,pas!B1=1),9,
IF(AND(ct!B3=1,pas!B1=2),11,
IF(AND(ct!B3=1,pas!B1=3),13,
IF(AND(ct!B3=1,pas!B1=4),15,
IF(AND(ct!B3=1,pas!B1=5),17,
IF(AND(ct!B3=2,pas!B1=1),10,
IF(AND(ct!B3=2,pas!B1=2),11,
IF(AND(ct!B3=2,pas!B1=3),13,
IF(AND(ct!B3=2,pas!B1=4),15,
IF(AND(ct!B3=2,pas!B1=5),18,
IF(AND(ct!B3=3,pas!B1=1),10,
IF(AND(ct!B3=3,pas!B1=2),12,
IF(AND(ct!B3=3,pas!B1=3),14,
IF(AND(ct!B3=3,pas!B1=4),16,
IF(AND(ct!B3=3,pas!B1=5),19,
IF(AND(ct!B3=4,pas!B1=1),10,
IF(AND(ct!B3=4,pas!B1=2),12,
IF(AND(ct!B3=4,pas!B1=3),14,
IF(AND(ct!B3=4,pas!B1=4),17,
IF(AND(ct!B3=4,pas!B1=5),19,
IF(AND(ct!B3=5,pas!B1=1),11,
IF(AND(ct!B3=5,pas!B1=2),13,
IF(AND(ct!B3=5,pas!B1=3),15,
IF(AND(ct!B3=5,pas!B1=4),17,
IF(AND(ct!B3=5,pas!B1=5),20,"erro")))))))))))))))))))))))))</f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5F64-74DB-4736-8586-80D1398D6544}">
  <dimension ref="A1:F11"/>
  <sheetViews>
    <sheetView workbookViewId="0"/>
  </sheetViews>
  <sheetFormatPr defaultRowHeight="14.4" x14ac:dyDescent="0.3"/>
  <sheetData>
    <row r="1" spans="1:6" x14ac:dyDescent="0.3">
      <c r="A1" t="s">
        <v>78</v>
      </c>
      <c r="B1" t="s">
        <v>73</v>
      </c>
      <c r="C1" t="s">
        <v>79</v>
      </c>
      <c r="D1" t="s">
        <v>75</v>
      </c>
      <c r="F1" t="s">
        <v>74</v>
      </c>
    </row>
    <row r="2" spans="1:6" x14ac:dyDescent="0.3">
      <c r="A2">
        <v>5</v>
      </c>
      <c r="B2" t="s">
        <v>80</v>
      </c>
      <c r="C2" t="s">
        <v>77</v>
      </c>
      <c r="D2" t="s">
        <v>76</v>
      </c>
      <c r="F2">
        <f>IF(idd!B1=1,'gr5'!B5,IF(idd!B1=2,'gr5'!B6,IF(idd!B1=3,'gr5'!B7,IF(idd!B1=4,'gr5'!B8,IF(idd!B1=5,'gr5'!B9,IF(idd!B1=6,'gr5'!B10,IF(idd!B1=7,'gr5'!B11,"erro")))))))</f>
        <v>5</v>
      </c>
    </row>
    <row r="3" spans="1:6" x14ac:dyDescent="0.3">
      <c r="F3">
        <f>F2/100</f>
        <v>0.05</v>
      </c>
    </row>
    <row r="4" spans="1:6" x14ac:dyDescent="0.3">
      <c r="A4" t="s">
        <v>64</v>
      </c>
      <c r="B4" t="s">
        <v>74</v>
      </c>
    </row>
    <row r="5" spans="1:6" x14ac:dyDescent="0.3">
      <c r="A5">
        <v>1</v>
      </c>
      <c r="B5">
        <f>IF(AND(ct!B3=1,pas!B1=1),3,
IF(AND(ct!B3=1,pas!B1=2),4,
IF(AND(ct!B3=1,pas!B1=3),5,
IF(AND(ct!B3=1,pas!B1=4),7,
IF(AND(ct!B3=1,pas!B1=5),9,
IF(AND(ct!B3=2,pas!B1=1),3,
IF(AND(ct!B3=2,pas!B1=2),4,
IF(AND(ct!B3=2,pas!B1=3),5,
IF(AND(ct!B3=2,pas!B1=4),7,
IF(AND(ct!B3=2,pas!B1=5),10,
IF(AND(ct!B3=3,pas!B1=1),3,
IF(AND(ct!B3=3,pas!B1=2),4,
IF(AND(ct!B3=3,pas!B1=3),6,
IF(AND(ct!B3=3,pas!B1=4),8,
IF(AND(ct!B3=3,pas!B1=5),11,
IF(AND(ct!B3=4,pas!B1=1),4,
IF(AND(ct!B3=4,pas!B1=2),5,
IF(AND(ct!B3=4,pas!B1=3),7,
IF(AND(ct!B3=4,pas!B1=4),9,
IF(AND(ct!B3=4,pas!B1=5),12,
IF(AND(ct!B3=5,pas!B1=1),4,
IF(AND(ct!B3=5,pas!B1=2),6,
IF(AND(ct!B3=5,pas!B1=3),8,
IF(AND(ct!B3=5,pas!B1=4),11,
IF(AND(ct!B3=5,pas!B1=5),14,"erro")))))))))))))))))))))))))</f>
        <v>4</v>
      </c>
    </row>
    <row r="6" spans="1:6" x14ac:dyDescent="0.3">
      <c r="A6">
        <v>2</v>
      </c>
      <c r="B6">
        <f>IF(AND(ct!B3=1,pas!B1=1),3,
IF(AND(ct!B3=1,pas!B1=2),4,
IF(AND(ct!B3=1,pas!B1=3),6,
IF(AND(ct!B3=1,pas!B1=4),8,
IF(AND(ct!B3=1,pas!B1=5),11,
IF(AND(ct!B3=2,pas!B1=1),4,
IF(AND(ct!B3=2,pas!B1=2),5,
IF(AND(ct!B3=2,pas!B1=3),7,
IF(AND(ct!B3=2,pas!B1=4),9,
IF(AND(ct!B3=2,pas!B1=5),12,
IF(AND(ct!B3=3,pas!B1=1),4,
IF(AND(ct!B3=3,pas!B1=2),5,
IF(AND(ct!B3=3,pas!B1=3),7,
IF(AND(ct!B3=3,pas!B1=4),10,
IF(AND(ct!B3=3,pas!B1=5),13,
IF(AND(ct!B3=4,pas!B1=1),5,
IF(AND(ct!B3=4,pas!B1=2),6,
IF(AND(ct!B3=4,pas!B1=3),8,
IF(AND(ct!B3=4,pas!B1=4),11,
IF(AND(ct!B3=4,pas!B1=5),14,
IF(AND(ct!B3=5,pas!B1=1),5,
IF(AND(ct!B3=5,pas!B1=2),7,
IF(AND(ct!B3=5,pas!B1=3),9,
IF(AND(ct!B3=5,pas!B1=4),12,
IF(AND(ct!B3=5,pas!B1=5),16,"erro")))))))))))))))))))))))))</f>
        <v>5</v>
      </c>
    </row>
    <row r="7" spans="1:6" x14ac:dyDescent="0.3">
      <c r="A7">
        <v>3</v>
      </c>
      <c r="B7">
        <f>IF(AND(ct!B3=1,pas!B1=1),4,
IF(AND(ct!B3=1,pas!B1=2),6,
IF(AND(ct!B3=1,pas!B1=3),7,
IF(AND(ct!B3=1,pas!B1=4),10,
IF(AND(ct!B3=1,pas!B1=5),13,
IF(AND(ct!B3=2,pas!B1=1),5,
IF(AND(ct!B3=2,pas!B1=2),6,
IF(AND(ct!B3=2,pas!B1=3),8,
IF(AND(ct!B3=2,pas!B1=4),11,
IF(AND(ct!B3=2,pas!B1=5),14,
IF(AND(ct!B3=3,pas!B1=1),5,
IF(AND(ct!B3=3,pas!B1=2),7,
IF(AND(ct!B3=3,pas!B1=3),9,
IF(AND(ct!B3=3,pas!B1=4),12,
IF(AND(ct!B3=3,pas!B1=5),15,
IF(AND(ct!B3=4,pas!B1=1),6,
IF(AND(ct!B3=4,pas!B1=2),8,
IF(AND(ct!B3=4,pas!B1=3),10,
IF(AND(ct!B3=4,pas!B1=4),13,
IF(AND(ct!B3=4,pas!B1=5),17,
IF(AND(ct!B3=5,pas!B1=1),7,
IF(AND(ct!B3=5,pas!B1=2),9,
IF(AND(ct!B3=5,pas!B1=3),11,
IF(AND(ct!B3=5,pas!B1=4),15,
IF(AND(ct!B3=5,pas!B1=5),19,"erro")))))))))))))))))))))))))</f>
        <v>7</v>
      </c>
    </row>
    <row r="8" spans="1:6" x14ac:dyDescent="0.3">
      <c r="A8">
        <v>4</v>
      </c>
      <c r="B8">
        <f>IF(AND(ct!B3=1,pas!B1=1),5,
IF(AND(ct!B3=1,pas!B1=2),7,
IF(AND(ct!B3=1,pas!B1=3),9,
IF(AND(ct!B3=1,pas!B1=4),12,
IF(AND(ct!B3=1,pas!B1=5),15,
IF(AND(ct!B3=2,pas!B1=1),6,
IF(AND(ct!B3=2,pas!B1=2),8,
IF(AND(ct!B3=2,pas!B1=3),10,
IF(AND(ct!B3=2,pas!B1=4),13,
IF(AND(ct!B3=2,pas!B1=5),16,
IF(AND(ct!B3=3,pas!B1=1),7,
IF(AND(ct!B3=3,pas!B1=2),9,
IF(AND(ct!B3=3,pas!B1=3),11,
IF(AND(ct!B3=3,pas!B1=4),14,
IF(AND(ct!B3=3,pas!B1=5),18,
IF(AND(ct!B3=4,pas!B1=1),8,
IF(AND(ct!B3=4,pas!B1=2),10,
IF(AND(ct!B3=4,pas!B1=3),12,
IF(AND(ct!B3=4,pas!B1=4),15,
IF(AND(ct!B3=4,pas!B1=5),19,
IF(AND(ct!B3=5,pas!B1=1),9,
IF(AND(ct!B3=5,pas!B1=2),11,
IF(AND(ct!B3=5,pas!B1=3),14,
IF(AND(ct!B3=5,pas!B1=4),17,
IF(AND(ct!B3=5,pas!B1=5),22,"erro")))))))))))))))))))))))))</f>
        <v>9</v>
      </c>
    </row>
    <row r="9" spans="1:6" x14ac:dyDescent="0.3">
      <c r="A9">
        <v>5</v>
      </c>
      <c r="B9">
        <f>IF(AND(ct!B3=1,pas!B1=1),7,
IF(AND(ct!B3=1,pas!B1=2),9,
IF(AND(ct!B3=1,pas!B1=3),11,
IF(AND(ct!B3=1,pas!B1=4),14,
IF(AND(ct!B3=1,pas!B1=5),17,
IF(AND(ct!B3=2,pas!B1=1),8,
IF(AND(ct!B3=2,pas!B1=2),10,
IF(AND(ct!B3=2,pas!B1=3),12,
IF(AND(ct!B3=2,pas!B1=4),15,
IF(AND(ct!B3=2,pas!B1=5),19,
IF(AND(ct!B3=3,pas!B1=1),9,
IF(AND(ct!B3=3,pas!B1=2),11,
IF(AND(ct!B3=3,pas!B1=3),13,
IF(AND(ct!B3=3,pas!B1=4),17,
IF(AND(ct!B3=3,pas!B1=5),21,
IF(AND(ct!B3=4,pas!B1=1),10,
IF(AND(ct!B3=4,pas!B1=2),12,
IF(AND(ct!B3=4,pas!B1=3),15,
IF(AND(ct!B3=4,pas!B1=4),18,
IF(AND(ct!B3=4,pas!B1=5),23,
IF(AND(ct!B3=5,pas!B1=1),11,
IF(AND(ct!B3=5,pas!B1=2),13,
IF(AND(ct!B3=5,pas!B1=3),16,
IF(AND(ct!B3=5,pas!B1=4),20,
IF(AND(ct!B3=5,pas!B1=5),25,"erro")))))))))))))))))))))))))</f>
        <v>11</v>
      </c>
    </row>
    <row r="10" spans="1:6" x14ac:dyDescent="0.3">
      <c r="A10">
        <v>6</v>
      </c>
      <c r="B10">
        <f>IF(AND(ct!B3=1,pas!B1=1),9,
IF(AND(ct!B3=1,pas!B1=2),11,
IF(AND(ct!B3=1,pas!B1=3),14,
IF(AND(ct!B3=1,pas!B1=4),17,
IF(AND(ct!B3=1,pas!B1=5),20,
IF(AND(ct!B3=2,pas!B1=1),10,
IF(AND(ct!B3=2,pas!B1=2),12,
IF(AND(ct!B3=2,pas!B1=3),15,
IF(AND(ct!B3=2,pas!B1=4),18,
IF(AND(ct!B3=2,pas!B1=5),22,
IF(AND(ct!B3=3,pas!B1=1),11,
IF(AND(ct!B3=3,pas!B1=2),13,
IF(AND(ct!B3=3,pas!B1=3),16,
IF(AND(ct!B3=3,pas!B1=4),20,
IF(AND(ct!B3=3,pas!B1=5),24,
IF(AND(ct!B3=4,pas!B1=1),12,
IF(AND(ct!B3=4,pas!B1=2),15,
IF(AND(ct!B3=4,pas!B1=3),18,
IF(AND(ct!B3=4,pas!B1=4),22,
IF(AND(ct!B3=4,pas!B1=5),26,
IF(AND(ct!B3=5,pas!B1=1),13,
IF(AND(ct!B3=5,pas!B1=2),16,
IF(AND(ct!B3=5,pas!B1=3),20,
IF(AND(ct!B3=5,pas!B1=4),24,
IF(AND(ct!B3=5,pas!B1=5),29,"erro")))))))))))))))))))))))))</f>
        <v>13</v>
      </c>
    </row>
    <row r="11" spans="1:6" x14ac:dyDescent="0.3">
      <c r="A11">
        <v>7</v>
      </c>
      <c r="B11">
        <f>IF(AND(ct!B3=1,pas!B1=1),12,
IF(AND(ct!B3=1,pas!B1=2),14,
IF(AND(ct!B3=1,pas!B1=3),17,
IF(AND(ct!B3=1,pas!B1=4),20,
IF(AND(ct!B3=1,pas!B1=5),24,
IF(AND(ct!B3=2,pas!B1=1),13,
IF(AND(ct!B3=2,pas!B1=2),15,
IF(AND(ct!B3=2,pas!B1=3),18,
IF(AND(ct!B3=2,pas!B1=4),22,
IF(AND(ct!B3=2,pas!B1=5),26,
IF(AND(ct!B3=3,pas!B1=1),14,
IF(AND(ct!B3=3,pas!B1=2),16,
IF(AND(ct!B3=3,pas!B1=3),20,
IF(AND(ct!B3=3,pas!B1=4),23,
IF(AND(ct!B3=3,pas!B1=5),28,
IF(AND(ct!B3=4,pas!B1=1),15,
IF(AND(ct!B3=4,pas!B1=2),18,
IF(AND(ct!B3=4,pas!B1=3),21,
IF(AND(ct!B3=4,pas!B1=4),26,
IF(AND(ct!B3=4,pas!B1=5),30,
IF(AND(ct!B3=5,pas!B1=1),16,
IF(AND(ct!B3=5,pas!B1=2),20,
IF(AND(ct!B3=5,pas!B1=3),23,
IF(AND(ct!B3=5,pas!B1=4),28,
IF(AND(ct!B3=5,pas!B1=5),33,"erro")))))))))))))))))))))))))</f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3367-3C14-4F19-9613-40A8AFF261D9}">
  <dimension ref="A1:F11"/>
  <sheetViews>
    <sheetView workbookViewId="0"/>
  </sheetViews>
  <sheetFormatPr defaultRowHeight="14.4" x14ac:dyDescent="0.3"/>
  <sheetData>
    <row r="1" spans="1:6" x14ac:dyDescent="0.3">
      <c r="A1" t="s">
        <v>78</v>
      </c>
      <c r="B1" t="s">
        <v>73</v>
      </c>
      <c r="C1" t="s">
        <v>79</v>
      </c>
      <c r="D1" t="s">
        <v>75</v>
      </c>
      <c r="F1" t="s">
        <v>74</v>
      </c>
    </row>
    <row r="2" spans="1:6" x14ac:dyDescent="0.3">
      <c r="A2">
        <v>6</v>
      </c>
      <c r="B2" t="s">
        <v>80</v>
      </c>
      <c r="C2" t="s">
        <v>77</v>
      </c>
      <c r="D2" t="s">
        <v>80</v>
      </c>
      <c r="F2">
        <f>IF(idd!B1=1,'gr6'!B5,IF(idd!B1=2,'gr6'!B6,IF(idd!B1=3,'gr6'!B7,IF(idd!B1=4,'gr6'!B8,IF(idd!B1=5,'gr6'!B9,IF(idd!B1=6,'gr6'!B10,IF(idd!B1=7,'gr6'!B11,"erro")))))))</f>
        <v>9</v>
      </c>
    </row>
    <row r="3" spans="1:6" x14ac:dyDescent="0.3">
      <c r="F3">
        <f>F2/100</f>
        <v>0.09</v>
      </c>
    </row>
    <row r="4" spans="1:6" x14ac:dyDescent="0.3">
      <c r="A4" t="s">
        <v>64</v>
      </c>
      <c r="B4" t="s">
        <v>74</v>
      </c>
    </row>
    <row r="5" spans="1:6" x14ac:dyDescent="0.3">
      <c r="A5">
        <v>1</v>
      </c>
      <c r="B5">
        <f>IF(AND(ct!B3=1,pas!B1=1),5,
IF(AND(ct!B3=1,pas!B1=2),6,
IF(AND(ct!B3=1,pas!B1=3),8,
IF(AND(ct!B3=1,pas!B1=4),11,
IF(AND(ct!B3=1,pas!B1=5),15,
IF(AND(ct!B3=2,pas!B1=1),5,
IF(AND(ct!B3=2,pas!B1=2),7,
IF(AND(ct!B3=2,pas!B1=3),9,
IF(AND(ct!B3=2,pas!B1=4),13,
IF(AND(ct!B3=2,pas!B1=5),17,
IF(AND(ct!B3=3,pas!B1=1),6,
IF(AND(ct!B3=3,pas!B1=2),8,
IF(AND(ct!B3=3,pas!B1=3),11,
IF(AND(ct!B3=3,pas!B1=4),14,
IF(AND(ct!B3=3,pas!B1=5),19,
IF(AND(ct!B3=4,pas!B1=1),7,
IF(AND(ct!B3=4,pas!B1=2),9,
IF(AND(ct!B3=4,pas!B1=3),12,
IF(AND(ct!B3=4,pas!B1=4),16,
IF(AND(ct!B3=4,pas!B1=5),22,
IF(AND(ct!B3=5,pas!B1=1),8,
IF(AND(ct!B3=5,pas!B1=2),11,
IF(AND(ct!B3=5,pas!B1=3),14,
IF(AND(ct!B3=5,pas!B1=4),19,
IF(AND(ct!B3=5,pas!B1=5),25,"erro")))))))))))))))))))))))))</f>
        <v>8</v>
      </c>
    </row>
    <row r="6" spans="1:6" x14ac:dyDescent="0.3">
      <c r="A6">
        <v>2</v>
      </c>
      <c r="B6">
        <f>IF(AND(ct!B3=1,pas!B1=1),5,
IF(AND(ct!B3=1,pas!B1=2),7,
IF(AND(ct!B3=1,pas!B1=3),10,
IF(AND(ct!B3=1,pas!B1=4),13,
IF(AND(ct!B3=1,pas!B1=5),17,
IF(AND(ct!B3=2,pas!B1=1),6,
IF(AND(ct!B3=2,pas!B1=2),8,
IF(AND(ct!B3=2,pas!B1=3),11,
IF(AND(ct!B3=2,pas!B1=4),14,
IF(AND(ct!B3=2,pas!B1=5),19,
IF(AND(ct!B3=3,pas!B1=1),7,
IF(AND(ct!B3=3,pas!B1=2),9,
IF(AND(ct!B3=3,pas!B1=3),12,
IF(AND(ct!B3=3,pas!B1=4),16,
IF(AND(ct!B3=3,pas!B1=5),21,
IF(AND(ct!B3=4,pas!B1=1),8,
IF(AND(ct!B3=4,pas!B1=2),11,
IF(AND(ct!B3=4,pas!B1=3),14,
IF(AND(ct!B3=4,pas!B1=4),18,
IF(AND(ct!B3=4,pas!B1=5),24,
IF(AND(ct!B3=5,pas!B1=1),10,
IF(AND(ct!B3=5,pas!B1=2),12,
IF(AND(ct!B3=5,pas!B1=3),16,
IF(AND(ct!B3=5,pas!B1=4),21,
IF(AND(ct!B3=5,pas!B1=5),27,"erro")))))))))))))))))))))))))</f>
        <v>9</v>
      </c>
    </row>
    <row r="7" spans="1:6" x14ac:dyDescent="0.3">
      <c r="A7">
        <v>3</v>
      </c>
      <c r="B7">
        <f>IF(AND(ct!B3=1,pas!B1=1),7,
IF(AND(ct!B3=1,pas!B1=2),9,
IF(AND(ct!B3=1,pas!B1=3),11,
IF(AND(ct!B3=1,pas!B1=4),15,
IF(AND(ct!B3=1,pas!B1=5),19,
IF(AND(ct!B3=2,pas!B1=1),7,
IF(AND(ct!B3=2,pas!B1=2),10,
IF(AND(ct!B3=2,pas!B1=3),13,
IF(AND(ct!B3=2,pas!B1=4),16,
IF(AND(ct!B3=2,pas!B1=5),21,
IF(AND(ct!B3=3,pas!B1=1),8,
IF(AND(ct!B3=3,pas!B1=2),11,
IF(AND(ct!B3=3,pas!B1=3),14,
IF(AND(ct!B3=3,pas!B1=4),18,
IF(AND(ct!B3=3,pas!B1=5),23,
IF(AND(ct!B3=4,pas!B1=1),10,
IF(AND(ct!B3=4,pas!B1=2),12,
IF(AND(ct!B3=4,pas!B1=3),16,
IF(AND(ct!B3=4,pas!B1=4),20,
IF(AND(ct!B3=4,pas!B1=5),26,
IF(AND(ct!B3=5,pas!B1=1),11,
IF(AND(ct!B3=5,pas!B1=2),14,
IF(AND(ct!B3=5,pas!B1=3),18,
IF(AND(ct!B3=5,pas!B1=4),23,
IF(AND(ct!B3=5,pas!B1=5),29,"erro")))))))))))))))))))))))))</f>
        <v>11</v>
      </c>
    </row>
    <row r="8" spans="1:6" x14ac:dyDescent="0.3">
      <c r="A8">
        <v>4</v>
      </c>
      <c r="B8">
        <f>IF(AND(ct!B3=1,pas!B1=1),8,
IF(AND(ct!B3=1,pas!B1=2),10,
IF(AND(ct!B3=1,pas!B1=3),13,
IF(AND(ct!B3=1,pas!B1=4),17,
IF(AND(ct!B3=1,pas!B1=5),21,
IF(AND(ct!B3=2,pas!B1=1),9,
IF(AND(ct!B3=2,pas!B1=2),12,
IF(AND(ct!B3=2,pas!B1=3),15,
IF(AND(ct!B3=2,pas!B1=4),18,
IF(AND(ct!B3=2,pas!B1=5),23,
IF(AND(ct!B3=3,pas!B1=1),10,
IF(AND(ct!B3=3,pas!B1=2),13,
IF(AND(ct!B3=3,pas!B1=3),16,
IF(AND(ct!B3=3,pas!B1=4),20,
IF(AND(ct!B3=3,pas!B1=5),26,
IF(AND(ct!B3=4,pas!B1=1),11,
IF(AND(ct!B3=4,pas!B1=2),15,
IF(AND(ct!B3=4,pas!B1=3),18,
IF(AND(ct!B3=4,pas!B1=4),23,
IF(AND(ct!B3=4,pas!B1=5),28,
IF(AND(ct!B3=5,pas!B1=1),13,
IF(AND(ct!B3=5,pas!B1=2),16,
IF(AND(ct!B3=5,pas!B1=3),21,
IF(AND(ct!B3=5,pas!B1=4),26,
IF(AND(ct!B3=5,pas!B1=5),32,"erro")))))))))))))))))))))))))</f>
        <v>13</v>
      </c>
    </row>
    <row r="9" spans="1:6" x14ac:dyDescent="0.3">
      <c r="A9">
        <v>5</v>
      </c>
      <c r="B9">
        <f>IF(AND(ct!B3=1,pas!B1=1),10,
IF(AND(ct!B3=1,pas!B1=2),12,
IF(AND(ct!B3=1,pas!B1=3),15,
IF(AND(ct!B3=1,pas!B1=4),19,
IF(AND(ct!B3=1,pas!B1=5),24,
IF(AND(ct!B3=2,pas!B1=1),11,
IF(AND(ct!B3=2,pas!B1=2),14,
IF(AND(ct!B3=2,pas!B1=3),17,
IF(AND(ct!B3=2,pas!B1=4),21,
IF(AND(ct!B3=2,pas!B1=5),26,
IF(AND(ct!B3=3,pas!B1=1),12,
IF(AND(ct!B3=3,pas!B1=2),15,
IF(AND(ct!B3=3,pas!B1=3),19,
IF(AND(ct!B3=3,pas!B1=4),23,
IF(AND(ct!B3=3,pas!B1=5),28,
IF(AND(ct!B3=4,pas!B1=1),14,
IF(AND(ct!B3=4,pas!B1=2),17,
IF(AND(ct!B3=4,pas!B1=3),21,
IF(AND(ct!B3=4,pas!B1=4),25,
IF(AND(ct!B3=4,pas!B1=5),31,
IF(AND(ct!B3=5,pas!B1=1),15,
IF(AND(ct!B3=5,pas!B1=2),19,
IF(AND(ct!B3=5,pas!B1=3),23,
IF(AND(ct!B3=5,pas!B1=4),28,
IF(AND(ct!B3=5,pas!B1=5),34,"erro")))))))))))))))))))))))))</f>
        <v>15</v>
      </c>
    </row>
    <row r="10" spans="1:6" x14ac:dyDescent="0.3">
      <c r="A10">
        <v>6</v>
      </c>
      <c r="B10">
        <f>IF(AND(ct!B3=1,pas!B1=1),12,
IF(AND(ct!B3=1,pas!B1=2),15,
IF(AND(ct!B3=1,pas!B1=3),18,
IF(AND(ct!B3=1,pas!B1=4),22,
IF(AND(ct!B3=1,pas!B1=5),26,
IF(AND(ct!B3=2,pas!B1=1),13,
IF(AND(ct!B3=2,pas!B1=2),16,
IF(AND(ct!B3=2,pas!B1=3),20,
IF(AND(ct!B3=2,pas!B1=4),24,
IF(AND(ct!B3=2,pas!B1=5),29,
IF(AND(ct!B3=3,pas!B1=1),14,
IF(AND(ct!B3=3,pas!B1=2),18,
IF(AND(ct!B3=3,pas!B1=3),21,
IF(AND(ct!B3=3,pas!B1=4),26,
IF(AND(ct!B3=3,pas!B1=5),31,
IF(AND(ct!B3=4,pas!B1=1),16,
IF(AND(ct!B3=4,pas!B1=2),19,
IF(AND(ct!B3=4,pas!B1=3),24,
IF(AND(ct!B3=4,pas!B1=4),28,
IF(AND(ct!B3=4,pas!B1=5),34,
IF(AND(ct!B3=5,pas!B1=1),18,
IF(AND(ct!B3=5,pas!B1=2),22,
IF(AND(ct!B3=5,pas!B1=3),26,
IF(AND(ct!B3=5,pas!B1=4),31,
IF(AND(ct!B3=5,pas!B1=5),37,"erro")))))))))))))))))))))))))</f>
        <v>18</v>
      </c>
    </row>
    <row r="11" spans="1:6" x14ac:dyDescent="0.3">
      <c r="A11">
        <v>7</v>
      </c>
      <c r="B11">
        <f xml:space="preserve">
IF(AND(ct!B3=1,pas!B1=1),14,
IF(AND(ct!B3=1,pas!B1=2),17,
IF(AND(ct!B3=1,pas!B1=3),21,
IF(AND(ct!B3=1,pas!B1=4),25,
IF(AND(ct!B3=1,pas!B1=5),29,
IF(AND(ct!B3=2,pas!B1=1),16,
IF(AND(ct!B3=2,pas!B1=2),19,
IF(AND(ct!B3=2,pas!B1=3),22,
IF(AND(ct!B3=2,pas!B1=4),27,
IF(AND(ct!B3=2,pas!B1=5),32,
IF(AND(ct!B3=3,pas!B1=1),17,
IF(AND(ct!B3=3,pas!B1=2),21,
IF(AND(ct!B3=3,pas!B1=3),24,
IF(AND(ct!B3=3,pas!B1=4),29,
IF(AND(ct!B3=3,pas!B1=5),34,
IF(AND(ct!B3=4,pas!B1=1),19,
IF(AND(ct!B3=4,pas!B1=2),22,
IF(AND(ct!B3=4,pas!B1=3),27,
IF(AND(ct!B3=4,pas!B1=4),31,
IF(AND(ct!B3=4,pas!B1=5),37,
IF(AND(ct!B3=5,pas!B1=1),21,
IF(AND(ct!B3=5,pas!B1=2),25,
IF(AND(ct!B3=5,pas!B1=3),29,
IF(AND(ct!B3=5,pas!B1=4),34,
IF(AND(ct!B3=5,pas!B1=5),40,"erro")))))))))))))))))))))))))</f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4CE5-FF7E-491B-B5D7-79DA6847C899}">
  <dimension ref="A1:F11"/>
  <sheetViews>
    <sheetView workbookViewId="0"/>
  </sheetViews>
  <sheetFormatPr defaultRowHeight="14.4" x14ac:dyDescent="0.3"/>
  <sheetData>
    <row r="1" spans="1:6" x14ac:dyDescent="0.3">
      <c r="A1" t="s">
        <v>78</v>
      </c>
      <c r="B1" t="s">
        <v>73</v>
      </c>
      <c r="C1" t="s">
        <v>79</v>
      </c>
      <c r="D1" t="s">
        <v>75</v>
      </c>
      <c r="F1" t="s">
        <v>74</v>
      </c>
    </row>
    <row r="2" spans="1:6" x14ac:dyDescent="0.3">
      <c r="A2">
        <v>7</v>
      </c>
      <c r="B2" t="s">
        <v>80</v>
      </c>
      <c r="C2" t="s">
        <v>81</v>
      </c>
      <c r="D2" t="s">
        <v>76</v>
      </c>
      <c r="F2">
        <f>IF(idd!B1=1,'gr7'!B5,IF(idd!B1=2,'gr7'!B6,IF(idd!B1=3,'gr7'!B7,IF(idd!B1=4,'gr7'!B8,IF(idd!B1=5,'gr7'!B9,IF(idd!B1=6,'gr7'!B10,IF(idd!B1=7,'gr7'!B11,"erro")))))))</f>
        <v>4</v>
      </c>
    </row>
    <row r="3" spans="1:6" x14ac:dyDescent="0.3">
      <c r="F3">
        <f>F2/100</f>
        <v>0.04</v>
      </c>
    </row>
    <row r="4" spans="1:6" x14ac:dyDescent="0.3">
      <c r="A4" t="s">
        <v>64</v>
      </c>
      <c r="B4" t="s">
        <v>74</v>
      </c>
    </row>
    <row r="5" spans="1:6" x14ac:dyDescent="0.3">
      <c r="A5">
        <v>1</v>
      </c>
      <c r="B5">
        <f>IF(AND(ct!B3=1,pas!B1=1),2,
IF(AND(ct!B3=1,pas!B1=2),3,
IF(AND(ct!B3=1,pas!B1=3),4,
IF(AND(ct!B3=1,pas!B1=4),5,
IF(AND(ct!B3=1,pas!B1=5),6,
IF(AND(ct!B3=2,pas!B1=1),2,
IF(AND(ct!B3=2,pas!B1=2),3,
IF(AND(ct!B3=2,pas!B1=3),4,
IF(AND(ct!B3=2,pas!B1=4),5,
IF(AND(ct!B3=2,pas!B1=5),7,
IF(AND(ct!B3=3,pas!B1=1),2,
IF(AND(ct!B3=3,pas!B1=2),3,
IF(AND(ct!B3=3,pas!B1=3),4,
IF(AND(ct!B3=3,pas!B1=4),6,
IF(AND(ct!B3=3,pas!B1=5),7,
IF(AND(ct!B3=4,pas!B1=1),3,
IF(AND(ct!B3=4,pas!B1=2),4,
IF(AND(ct!B3=4,pas!B1=3),5,
IF(AND(ct!B3=4,pas!B1=4),6,
IF(AND(ct!B3=4,pas!B1=5),8,
IF(AND(ct!B3=5,pas!B1=1),3,
IF(AND(ct!B3=5,pas!B1=2),4,
IF(AND(ct!B3=5,pas!B1=3),5,
IF(AND(ct!B3=5,pas!B1=4),7,
IF(AND(ct!B3=5,pas!B1=5),9,"erro")))))))))))))))))))))))))</f>
        <v>3</v>
      </c>
    </row>
    <row r="6" spans="1:6" x14ac:dyDescent="0.3">
      <c r="A6">
        <v>2</v>
      </c>
      <c r="B6">
        <f>IF(AND(ct!B3=1,pas!B1=1),3,
IF(AND(ct!B3=1,pas!B1=2),3,
IF(AND(ct!B3=1,pas!B1=3),4,
IF(AND(ct!B3=1,pas!B1=4),6,
IF(AND(ct!B3=1,pas!B1=5),7,
IF(AND(ct!B3=2,pas!B1=1),3,
IF(AND(ct!B3=2,pas!B1=2),4,
IF(AND(ct!B3=2,pas!B1=3),5,
IF(AND(ct!B3=2,pas!B1=4),6,
IF(AND(ct!B3=2,pas!B1=5),8,
IF(AND(ct!B3=3,pas!B1=1),3,
IF(AND(ct!B3=3,pas!B1=2),4,
IF(AND(ct!B3=3,pas!B1=3),5,
IF(AND(ct!B3=3,pas!B1=4),7,
IF(AND(ct!B3=3,pas!B1=5),9,
IF(AND(ct!B3=4,pas!B1=1),3,
IF(AND(ct!B3=4,pas!B1=2),4,
IF(AND(ct!B3=4,pas!B1=3),6,
IF(AND(ct!B3=4,pas!B1=4),7,
IF(AND(ct!B3=4,pas!B1=5),9,
IF(AND(ct!B3=5,pas!B1=1),4,
IF(AND(ct!B3=5,pas!B1=2),5,
IF(AND(ct!B3=5,pas!B1=3),6,
IF(AND(ct!B3=5,pas!B1=4),8,
IF(AND(ct!B3=5,pas!B1=5),10,"erro")))))))))))))))))))))))))</f>
        <v>4</v>
      </c>
    </row>
    <row r="7" spans="1:6" x14ac:dyDescent="0.3">
      <c r="A7">
        <v>3</v>
      </c>
      <c r="B7">
        <f>IF(AND(ct!B3=1,pas!B1=1),3,
IF(AND(ct!B3=1,pas!B1=2),4,
IF(AND(ct!B3=1,pas!B1=3),6,
IF(AND(ct!B3=1,pas!B1=4),7,
IF(AND(ct!B3=1,pas!B1=5),9,
IF(AND(ct!B3=2,pas!B1=1),4,
IF(AND(ct!B3=2,pas!B1=2),5,
IF(AND(ct!B3=2,pas!B1=3),6,
IF(AND(ct!B3=2,pas!B1=4),7,
IF(AND(ct!B3=2,pas!B1=5),9,
IF(AND(ct!B3=3,pas!B1=1),4,
IF(AND(ct!B3=3,pas!B1=2),5,
IF(AND(ct!B3=3,pas!B1=3),6,
IF(AND(ct!B3=3,pas!B1=4),8,
IF(AND(ct!B3=3,pas!B1=5),10,
IF(AND(ct!B3=4,pas!B1=1),4,
IF(AND(ct!B3=4,pas!B1=2),5,
IF(AND(ct!B3=4,pas!B1=3),7,
IF(AND(ct!B3=4,pas!B1=4),9,
IF(AND(ct!B3=4,pas!B1=5),11,
IF(AND(ct!B3=5,pas!B1=1),5,
IF(AND(ct!B3=5,pas!B1=2),6,
IF(AND(ct!B3=5,pas!B1=3),8,
IF(AND(ct!B3=5,pas!B1=4),9,
IF(AND(ct!B3=5,pas!B1=5),12,"erro")))))))))))))))))))))))))</f>
        <v>5</v>
      </c>
    </row>
    <row r="8" spans="1:6" x14ac:dyDescent="0.3">
      <c r="A8">
        <v>4</v>
      </c>
      <c r="B8">
        <f>IF(AND(ct!B3=1,pas!B1=1),4,
IF(AND(ct!B3=1,pas!B1=2),6,
IF(AND(ct!B3=1,pas!B1=3),7,
IF(AND(ct!B3=1,pas!B1=4),8,
IF(AND(ct!B3=1,pas!B1=5),10,
IF(AND(ct!B3=2,pas!B1=1),5,
IF(AND(ct!B3=2,pas!B1=2),6,
IF(AND(ct!B3=2,pas!B1=3),7,
IF(AND(ct!B3=2,pas!B1=4),9,
IF(AND(ct!B3=2,pas!B1=5),11,
IF(AND(ct!B3=3,pas!B1=1),5,
IF(AND(ct!B3=3,pas!B1=2),6,
IF(AND(ct!B3=3,pas!B1=3),8,
IF(AND(ct!B3=3,pas!B1=4),10,
IF(AND(ct!B3=3,pas!B1=5),12,
IF(AND(ct!B3=4,pas!B1=1),6,
IF(AND(ct!B3=4,pas!B1=2),7,
IF(AND(ct!B3=4,pas!B1=3),8,
IF(AND(ct!B3=4,pas!B1=4),10,
IF(AND(ct!B3=4,pas!B1=5),13,
IF(AND(ct!B3=5,pas!B1=1),6,
IF(AND(ct!B3=5,pas!B1=2),7,
IF(AND(ct!B3=5,pas!B1=3),9,
IF(AND(ct!B3=5,pas!B1=4),11,
IF(AND(ct!B3=5,pas!B1=5),14,"erro")))))))))))))))))))))))))</f>
        <v>6</v>
      </c>
    </row>
    <row r="9" spans="1:6" x14ac:dyDescent="0.3">
      <c r="A9">
        <v>5</v>
      </c>
      <c r="B9">
        <f>IF(AND(ct!B3=1,pas!B1=1),6,
IF(AND(ct!B3=1,pas!B1=2),7,
IF(AND(ct!B3=1,pas!B1=3),9,
IF(AND(ct!B3=1,pas!B1=4),10,
IF(AND(ct!B3=1,pas!B1=5),13,
IF(AND(ct!B3=2,pas!B1=1),6,
IF(AND(ct!B3=2,pas!B1=2),7,
IF(AND(ct!B3=2,pas!B1=3),9,
IF(AND(ct!B3=2,pas!B1=4),11,
IF(AND(ct!B3=2,pas!B1=5),13,
IF(AND(ct!B3=3,pas!B1=1),7,
IF(AND(ct!B3=3,pas!B1=2),8,
IF(AND(ct!B3=3,pas!B1=3),10,
IF(AND(ct!B3=3,pas!B1=4),12,
IF(AND(ct!B3=3,pas!B1=5),14,
IF(AND(ct!B3=4,pas!B1=1),7,
IF(AND(ct!B3=4,pas!B1=2),8,
IF(AND(ct!B3=4,pas!B1=3),10,
IF(AND(ct!B3=4,pas!B1=4),12,
IF(AND(ct!B3=4,pas!B1=5),15,
IF(AND(ct!B3=5,pas!B1=1),7,
IF(AND(ct!B3=5,pas!B1=2),9,
IF(AND(ct!B3=5,pas!B1=3),11,
IF(AND(ct!B3=5,pas!B1=4),13,
IF(AND(ct!B3=5,pas!B1=5),16,"erro")))))))))))))))))))))))))</f>
        <v>8</v>
      </c>
    </row>
    <row r="10" spans="1:6" x14ac:dyDescent="0.3">
      <c r="A10">
        <v>6</v>
      </c>
      <c r="B10">
        <f>IF(AND(ct!B3=1,pas!B1=1),8,
IF(AND(ct!B3=1,pas!B1=2),9,
IF(AND(ct!B3=1,pas!B1=3),11,
IF(AND(ct!B3=1,pas!B1=4),13,
IF(AND(ct!B3=1,pas!B1=5),15,
IF(AND(ct!B3=2,pas!B1=1),8,
IF(AND(ct!B3=2,pas!B1=2),9,
IF(AND(ct!B3=2,pas!B1=3),11,
IF(AND(ct!B3=2,pas!B1=4),13,
IF(AND(ct!B3=2,pas!B1=5),16,
IF(AND(ct!B3=3,pas!B1=1),8,
IF(AND(ct!B3=3,pas!B1=2),10,
IF(AND(ct!B3=3,pas!B1=3),12,
IF(AND(ct!B3=3,pas!B1=4),14,
IF(AND(ct!B3=3,pas!B1=5),17,
IF(AND(ct!B3=4,pas!B1=1),9,
IF(AND(ct!B3=4,pas!B1=2),11,
IF(AND(ct!B3=4,pas!B1=3),13,
IF(AND(ct!B3=4,pas!B1=4),15,
IF(AND(ct!B3=4,pas!B1=5),18,
IF(AND(ct!B3=5,pas!B1=1),9,
IF(AND(ct!B3=5,pas!B1=2),11,
IF(AND(ct!B3=5,pas!B1=3),13,
IF(AND(ct!B3=5,pas!B1=4),16,
IF(AND(ct!B3=5,pas!B1=5),19,"erro")))))))))))))))))))))))))</f>
        <v>10</v>
      </c>
    </row>
    <row r="11" spans="1:6" x14ac:dyDescent="0.3">
      <c r="A11">
        <v>7</v>
      </c>
      <c r="B11">
        <f>IF(AND(ct!B3=1,pas!B1=1),10,
IF(AND(ct!B3=1,pas!B1=2),11,
IF(AND(ct!B3=1,pas!B1=3),13,
IF(AND(ct!B3=1,pas!B1=4),16,
IF(AND(ct!B3=1,pas!B1=5),18,
IF(AND(ct!B3=2,pas!B1=1),10,
IF(AND(ct!B3=2,pas!B1=2),12,
IF(AND(ct!B3=2,pas!B1=3),14,
IF(AND(ct!B3=2,pas!B1=4),16,
IF(AND(ct!B3=2,pas!B1=5),19,
IF(AND(ct!B3=3,pas!B1=1),11,
IF(AND(ct!B3=3,pas!B1=2),12,
IF(AND(ct!B3=3,pas!B1=3),15,
IF(AND(ct!B3=3,pas!B1=4),17,
IF(AND(ct!B3=3,pas!B1=5),20,
IF(AND(ct!B3=4,pas!B1=1),11,
IF(AND(ct!B3=4,pas!B1=2),13,
IF(AND(ct!B3=4,pas!B1=3),15,
IF(AND(ct!B3=4,pas!B1=4),18,
IF(AND(ct!B3=4,pas!B1=5),21,
IF(AND(ct!B3=5,pas!B1=1),12,
IF(AND(ct!B3=5,pas!B1=2),14,
IF(AND(ct!B3=5,pas!B1=3),16,
IF(AND(ct!B3=5,pas!B1=4),19,
IF(AND(ct!B3=5,pas!B1=5),22,"erro")))))))))))))))))))))))))</f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33F39-6BBF-4F93-B724-C8CC9BFB3582}">
  <dimension ref="A1:F11"/>
  <sheetViews>
    <sheetView workbookViewId="0"/>
  </sheetViews>
  <sheetFormatPr defaultRowHeight="14.4" x14ac:dyDescent="0.3"/>
  <sheetData>
    <row r="1" spans="1:6" x14ac:dyDescent="0.3">
      <c r="A1" t="s">
        <v>78</v>
      </c>
      <c r="B1" t="s">
        <v>73</v>
      </c>
      <c r="C1" t="s">
        <v>79</v>
      </c>
      <c r="D1" t="s">
        <v>75</v>
      </c>
      <c r="F1" t="s">
        <v>74</v>
      </c>
    </row>
    <row r="2" spans="1:6" x14ac:dyDescent="0.3">
      <c r="A2">
        <v>8</v>
      </c>
      <c r="B2" t="s">
        <v>80</v>
      </c>
      <c r="C2" t="s">
        <v>81</v>
      </c>
      <c r="D2" t="s">
        <v>80</v>
      </c>
      <c r="F2">
        <f>IF(idd!B1=1,'gr8'!B5,IF(idd!B1=2,'gr8'!B6,IF(idd!B1=3,'gr8'!B7,IF(idd!B1=4,'gr8'!B8,IF(idd!B1=5,'gr8'!B9,IF(idd!B1=6,'gr8'!B10,IF(idd!B1=7,'gr8'!B11,"erro")))))))</f>
        <v>8</v>
      </c>
    </row>
    <row r="3" spans="1:6" x14ac:dyDescent="0.3">
      <c r="F3">
        <f>F2/100</f>
        <v>0.08</v>
      </c>
    </row>
    <row r="4" spans="1:6" x14ac:dyDescent="0.3">
      <c r="A4" t="s">
        <v>64</v>
      </c>
      <c r="B4" t="s">
        <v>74</v>
      </c>
    </row>
    <row r="5" spans="1:6" x14ac:dyDescent="0.3">
      <c r="A5">
        <v>1</v>
      </c>
      <c r="B5">
        <f>IF(AND(ct!B3=1,pas!B1=1),4,
IF(AND(ct!B3=1,pas!B1=2),6,
IF(AND(ct!B3=1,pas!B1=3),7,
IF(AND(ct!B3=1,pas!B1=4),10,
IF(AND(ct!B3=1,pas!B1=5),13,
IF(AND(ct!B3=2,pas!B1=1),5,
IF(AND(ct!B3=2,pas!B1=2),6,
IF(AND(ct!B3=2,pas!B1=3),8,
IF(AND(ct!B3=2,pas!B1=4),11,
IF(AND(ct!B3=2,pas!B1=5),14,
IF(AND(ct!B3=3,pas!B1=1),5,
IF(AND(ct!B3=3,pas!B1=2),7,
IF(AND(ct!B3=3,pas!B1=3),9,
IF(AND(ct!B3=3,pas!B1=4),12,
IF(AND(ct!B3=3,pas!B1=5),15,
IF(AND(ct!B3=4,pas!B1=1),6,
IF(AND(ct!B3=4,pas!B1=2),8,
IF(AND(ct!B3=4,pas!B1=3),10,
IF(AND(ct!B3=4,pas!B1=4),13,
IF(AND(ct!B3=4,pas!B1=5),17,
IF(AND(ct!B3=5,pas!B1=1),7,
IF(AND(ct!B3=5,pas!B1=2),9,
IF(AND(ct!B3=5,pas!B1=3),12,
IF(AND(ct!B3=5,pas!B1=4),15,
IF(AND(ct!B3=5,pas!B1=5),19,"erro")))))))))))))))))))))))))</f>
        <v>7</v>
      </c>
    </row>
    <row r="6" spans="1:6" x14ac:dyDescent="0.3">
      <c r="A6">
        <v>2</v>
      </c>
      <c r="B6">
        <f>IF(AND(ct!B3=1,pas!B1=1),5,
IF(AND(ct!B3=1,pas!B1=2),7,
IF(AND(ct!B3=1,pas!B1=3),9,
IF(AND(ct!B3=1,pas!B1=4),11,
IF(AND(ct!B3=1,pas!B1=5),14,
IF(AND(ct!B3=2,pas!B1=1),6,
IF(AND(ct!B3=2,pas!B1=2),7,
IF(AND(ct!B3=2,pas!B1=3),9,
IF(AND(ct!B3=2,pas!B1=4),12,
IF(AND(ct!B3=2,pas!B1=5),15,
IF(AND(ct!B3=3,pas!B1=1),6,
IF(AND(ct!B3=3,pas!B1=2),8,
IF(AND(ct!B3=3,pas!B1=3),10,
IF(AND(ct!B3=3,pas!B1=4),13,
IF(AND(ct!B3=3,pas!B1=5),17,
IF(AND(ct!B3=4,pas!B1=1),7,
IF(AND(ct!B3=4,pas!B1=2),9,
IF(AND(ct!B3=4,pas!B1=3),12,
IF(AND(ct!B3=4,pas!B1=4),15,
IF(AND(ct!B3=4,pas!B1=5),19,
IF(AND(ct!B3=5,pas!B1=1),8,
IF(AND(ct!B3=5,pas!B1=2),10,
IF(AND(ct!B3=5,pas!B1=3),13,
IF(AND(ct!B3=5,pas!B1=4),16,
IF(AND(ct!B3=5,pas!B1=5),21,"erro")))))))))))))))))))))))))</f>
        <v>8</v>
      </c>
    </row>
    <row r="7" spans="1:6" x14ac:dyDescent="0.3">
      <c r="A7">
        <v>3</v>
      </c>
      <c r="B7">
        <f>IF(AND(ct!B3=1,pas!B1=1),6,
IF(AND(ct!B3=1,pas!B1=2),8,
IF(AND(ct!B3=1,pas!B1=3),10,
IF(AND(ct!B3=1,pas!B1=4),13,
IF(AND(ct!B3=1,pas!B1=5),16,
IF(AND(ct!B3=2,pas!B1=1),7,
IF(AND(ct!B3=2,pas!B1=2),9,
IF(AND(ct!B3=2,pas!B1=3),11,
IF(AND(ct!B3=2,pas!B1=4),14,
IF(AND(ct!B3=2,pas!B1=5),17,
IF(AND(ct!B3=3,pas!B1=1),8,
IF(AND(ct!B3=3,pas!B1=2),10,
IF(AND(ct!B3=3,pas!B1=3),12,
IF(AND(ct!B3=3,pas!B1=4),15,
IF(AND(ct!B3=3,pas!B1=5),18,
IF(AND(ct!B3=4,pas!B1=1),8,
IF(AND(ct!B3=4,pas!B1=2),10,
IF(AND(ct!B3=4,pas!B1=3),13,
IF(AND(ct!B3=4,pas!B1=4),16,
IF(AND(ct!B3=4,pas!B1=5),20,
IF(AND(ct!B3=5,pas!B1=1),9,
IF(AND(ct!B3=5,pas!B1=2),12,
IF(AND(ct!B3=5,pas!B1=3),14,
IF(AND(ct!B3=5,pas!B1=4),18,
IF(AND(ct!B3=5,pas!B1=5),22,"erro")))))))))))))))))))))))))</f>
        <v>10</v>
      </c>
    </row>
    <row r="8" spans="1:6" x14ac:dyDescent="0.3">
      <c r="A8">
        <v>4</v>
      </c>
      <c r="B8">
        <f>IF(AND(ct!B3=1,pas!B1=1),8,
IF(AND(ct!B3=1,pas!B1=2),9,
IF(AND(ct!B3=1,pas!B1=3),12,
IF(AND(ct!B3=1,pas!B1=4),14,
IF(AND(ct!B3=1,pas!B1=5),18,
IF(AND(ct!B3=2,pas!B1=1),8,
IF(AND(ct!B3=2,pas!B1=2),10,
IF(AND(ct!B3=2,pas!B1=3),13,
IF(AND(ct!B3=2,pas!B1=4),15,
IF(AND(ct!B3=2,pas!B1=5),19,
IF(AND(ct!B3=3,pas!B1=1),9,
IF(AND(ct!B3=3,pas!B1=2),11,
IF(AND(ct!B3=3,pas!B1=3),14,
IF(AND(ct!B3=3,pas!B1=4),17,
IF(AND(ct!B3=3,pas!B1=5),20,
IF(AND(ct!B3=4,pas!B1=1),10,
IF(AND(ct!B3=4,pas!B1=2),12,
IF(AND(ct!B3=4,pas!B1=3),15,
IF(AND(ct!B3=4,pas!B1=4),18,
IF(AND(ct!B3=4,pas!B1=5),22,
IF(AND(ct!B3=5,pas!B1=1),11,
IF(AND(ct!B3=5,pas!B1=2),13,
IF(AND(ct!B3=5,pas!B1=3),16,
IF(AND(ct!B3=5,pas!B1=4),20,
IF(AND(ct!B3=5,pas!B1=5),24,"erro")))))))))))))))))))))))))</f>
        <v>11</v>
      </c>
    </row>
    <row r="9" spans="1:6" x14ac:dyDescent="0.3">
      <c r="A9">
        <v>5</v>
      </c>
      <c r="B9">
        <f>IF(AND(ct!B3=1,pas!B1=1),9,
IF(AND(ct!B3=1,pas!B1=2),11,
IF(AND(ct!B3=1,pas!B1=3),14,
IF(AND(ct!B3=1,pas!B1=4),16,
IF(AND(ct!B3=1,pas!B1=5),20,
IF(AND(ct!B3=2,pas!B1=1),10,
IF(AND(ct!B3=2,pas!B1=2),12,
IF(AND(ct!B3=2,pas!B1=3),14,
IF(AND(ct!B3=2,pas!B1=4),17,
IF(AND(ct!B3=2,pas!B1=5),21,
IF(AND(ct!B3=3,pas!B1=1),11,
IF(AND(ct!B3=3,pas!B1=2),13,
IF(AND(ct!B3=3,pas!B1=3),15,
IF(AND(ct!B3=3,pas!B1=4),19,
IF(AND(ct!B3=3,pas!B1=5),22,
IF(AND(ct!B3=4,pas!B1=1),11,
IF(AND(ct!B3=4,pas!B1=2),14,
IF(AND(ct!B3=4,pas!B1=3),17,
IF(AND(ct!B3=4,pas!B1=4),20,
IF(AND(ct!B3=4,pas!B1=5),24,
IF(AND(ct!B3=5,pas!B1=1),12,
IF(AND(ct!B3=5,pas!B1=2),15,
IF(AND(ct!B3=5,pas!B1=3),18,
IF(AND(ct!B3=5,pas!B1=4),21,
IF(AND(ct!B3=5,pas!B1=5),26,"erro")))))))))))))))))))))))))</f>
        <v>13</v>
      </c>
    </row>
    <row r="10" spans="1:6" x14ac:dyDescent="0.3">
      <c r="A10">
        <v>6</v>
      </c>
      <c r="B10">
        <f>IF(AND(ct!B3=1,pas!B1=1),11,
IF(AND(ct!B3=1,pas!B1=2),13,
IF(AND(ct!B3=1,pas!B1=3),16,
IF(AND(ct!B3=1,pas!B1=4),19,
IF(AND(ct!B3=1,pas!B1=5),22,
IF(AND(ct!B3=2,pas!B1=1),12,
IF(AND(ct!B3=2,pas!B1=2),14,
IF(AND(ct!B3=2,pas!B1=3),17,
IF(AND(ct!B3=2,pas!B1=4),20,
IF(AND(ct!B3=2,pas!B1=5),23,
IF(AND(ct!B3=3,pas!B1=1),12,
IF(AND(ct!B3=3,pas!B1=2),15,
IF(AND(ct!B3=3,pas!B1=3),18,
IF(AND(ct!B3=3,pas!B1=4),21,
IF(AND(ct!B3=3,pas!B1=5),24,
IF(AND(ct!B3=4,pas!B1=1),13,
IF(AND(ct!B3=4,pas!B1=2),16,
IF(AND(ct!B3=4,pas!B1=3),19,
IF(AND(ct!B3=4,pas!B1=4),22,
IF(AND(ct!B3=4,pas!B1=5),26,
IF(AND(ct!B3=5,pas!B1=1),14,
IF(AND(ct!B3=5,pas!B1=2),17,
IF(AND(ct!B3=5,pas!B1=3),20,
IF(AND(ct!B3=5,pas!B1=4),23,
IF(AND(ct!B3=5,pas!B1=5),27,"erro")))))))))))))))))))))))))</f>
        <v>15</v>
      </c>
    </row>
    <row r="11" spans="1:6" x14ac:dyDescent="0.3">
      <c r="A11">
        <v>7</v>
      </c>
      <c r="B11">
        <f>IF(AND(ct!B3=1,pas!B1=1),13,
IF(AND(ct!B3=1,pas!B1=2),16,
IF(AND(ct!B3=1,pas!B1=3),18,
IF(AND(ct!B3=1,pas!B1=4),21,
IF(AND(ct!B3=1,pas!B1=5),25,
IF(AND(ct!B3=2,pas!B1=1),14,
IF(AND(ct!B3=2,pas!B1=2),16,
IF(AND(ct!B3=2,pas!B1=3),19,
IF(AND(ct!B3=2,pas!B1=4),22,
IF(AND(ct!B3=2,pas!B1=5),26,
IF(AND(ct!B3=3,pas!B1=1),15,
IF(AND(ct!B3=3,pas!B1=2),17,
IF(AND(ct!B3=3,pas!B1=3),20,
IF(AND(ct!B3=3,pas!B1=4),23,
IF(AND(ct!B3=3,pas!B1=5),27,
IF(AND(ct!B3=4,pas!B1=1),15,
IF(AND(ct!B3=4,pas!B1=2),18,
IF(AND(ct!B3=4,pas!B1=3),21,
IF(AND(ct!B3=4,pas!B1=4),24,
IF(AND(ct!B3=4,pas!B1=5),28,
IF(AND(ct!B3=5,pas!B1=1),16,
IF(AND(ct!B3=5,pas!B1=2),19,
IF(AND(ct!B3=5,pas!B1=3),22,
IF(AND(ct!B3=5,pas!B1=4),25,
IF(AND(ct!B3=5,pas!B1=5),29,"erro")))))))))))))))))))))))))</f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0A0F-763E-46FD-BEA0-9BFA266B95B7}">
  <dimension ref="A1:AE21"/>
  <sheetViews>
    <sheetView topLeftCell="N1" workbookViewId="0"/>
  </sheetViews>
  <sheetFormatPr defaultRowHeight="14.4" x14ac:dyDescent="0.3"/>
  <cols>
    <col min="2" max="2" width="11.21875" bestFit="1" customWidth="1"/>
    <col min="3" max="3" width="10.33203125" bestFit="1" customWidth="1"/>
    <col min="4" max="4" width="7.109375" bestFit="1" customWidth="1"/>
    <col min="6" max="6" width="11.21875" bestFit="1" customWidth="1"/>
    <col min="7" max="7" width="10.33203125" bestFit="1" customWidth="1"/>
    <col min="8" max="8" width="7.109375" bestFit="1" customWidth="1"/>
    <col min="10" max="10" width="11.21875" bestFit="1" customWidth="1"/>
    <col min="11" max="11" width="10.33203125" bestFit="1" customWidth="1"/>
    <col min="12" max="12" width="7.109375" bestFit="1" customWidth="1"/>
    <col min="14" max="14" width="11.21875" bestFit="1" customWidth="1"/>
    <col min="15" max="15" width="10.33203125" bestFit="1" customWidth="1"/>
    <col min="16" max="16" width="7.109375" bestFit="1" customWidth="1"/>
    <col min="18" max="18" width="11.21875" bestFit="1" customWidth="1"/>
    <col min="19" max="19" width="10.33203125" bestFit="1" customWidth="1"/>
    <col min="20" max="20" width="7.109375" bestFit="1" customWidth="1"/>
    <col min="22" max="22" width="11.21875" bestFit="1" customWidth="1"/>
    <col min="23" max="23" width="10.33203125" bestFit="1" customWidth="1"/>
    <col min="24" max="24" width="7.109375" bestFit="1" customWidth="1"/>
    <col min="26" max="26" width="11.21875" bestFit="1" customWidth="1"/>
    <col min="27" max="27" width="10.33203125" bestFit="1" customWidth="1"/>
    <col min="28" max="28" width="7.109375" bestFit="1" customWidth="1"/>
  </cols>
  <sheetData>
    <row r="1" spans="1:31" x14ac:dyDescent="0.3">
      <c r="A1" t="s">
        <v>88</v>
      </c>
      <c r="B1" t="s">
        <v>86</v>
      </c>
      <c r="C1" t="s">
        <v>82</v>
      </c>
      <c r="D1" t="s">
        <v>74</v>
      </c>
      <c r="F1" t="s">
        <v>86</v>
      </c>
      <c r="G1" t="s">
        <v>82</v>
      </c>
      <c r="H1" t="s">
        <v>74</v>
      </c>
      <c r="J1" t="s">
        <v>86</v>
      </c>
      <c r="K1" t="s">
        <v>82</v>
      </c>
      <c r="L1" t="s">
        <v>74</v>
      </c>
      <c r="N1" t="s">
        <v>86</v>
      </c>
      <c r="O1" t="s">
        <v>82</v>
      </c>
      <c r="P1" t="s">
        <v>74</v>
      </c>
      <c r="R1" t="s">
        <v>86</v>
      </c>
      <c r="S1" t="s">
        <v>82</v>
      </c>
      <c r="T1" t="s">
        <v>74</v>
      </c>
      <c r="V1" t="s">
        <v>86</v>
      </c>
      <c r="W1" t="s">
        <v>82</v>
      </c>
      <c r="X1" t="s">
        <v>74</v>
      </c>
      <c r="Z1" t="s">
        <v>86</v>
      </c>
      <c r="AA1" t="s">
        <v>82</v>
      </c>
      <c r="AB1" t="s">
        <v>74</v>
      </c>
      <c r="AD1" t="s">
        <v>136</v>
      </c>
    </row>
    <row r="2" spans="1:31" x14ac:dyDescent="0.3">
      <c r="B2" t="s">
        <v>129</v>
      </c>
      <c r="C2" s="1">
        <v>0</v>
      </c>
      <c r="D2">
        <v>1</v>
      </c>
      <c r="F2" t="s">
        <v>130</v>
      </c>
      <c r="G2" s="1">
        <v>0</v>
      </c>
      <c r="H2">
        <v>2</v>
      </c>
      <c r="J2" t="s">
        <v>131</v>
      </c>
      <c r="K2" s="1">
        <v>0</v>
      </c>
      <c r="L2">
        <v>2</v>
      </c>
      <c r="N2" t="s">
        <v>132</v>
      </c>
      <c r="O2" s="1">
        <v>0</v>
      </c>
      <c r="P2">
        <v>3</v>
      </c>
      <c r="R2" t="s">
        <v>133</v>
      </c>
      <c r="S2" s="1">
        <v>0</v>
      </c>
      <c r="T2">
        <v>5</v>
      </c>
      <c r="V2" t="s">
        <v>134</v>
      </c>
      <c r="W2" s="1">
        <v>0</v>
      </c>
      <c r="X2">
        <v>6</v>
      </c>
      <c r="Z2" t="s">
        <v>135</v>
      </c>
      <c r="AA2" s="1">
        <v>0</v>
      </c>
      <c r="AB2">
        <v>9</v>
      </c>
      <c r="AD2" t="s">
        <v>87</v>
      </c>
      <c r="AE2" s="2">
        <f>IF(AND(calculator!$C$4="m",calculator!C13="&gt;=99"),99.5,IF(AND(calculator!$C$4="m",calculator!C13="98-99"),98.5,IF(AND(calculator!$C$4="m",calculator!C13="97-98"),97.5,IF(calculator!$C$4="m",calculator!$C$13,AF2))))</f>
        <v>83</v>
      </c>
    </row>
    <row r="3" spans="1:31" x14ac:dyDescent="0.3">
      <c r="C3" s="1">
        <v>24.043179587831201</v>
      </c>
      <c r="D3">
        <v>2</v>
      </c>
      <c r="G3" s="1">
        <v>33.117350611950997</v>
      </c>
      <c r="H3">
        <v>3</v>
      </c>
      <c r="K3" s="1">
        <v>2.2185702547247299</v>
      </c>
      <c r="L3">
        <v>3</v>
      </c>
      <c r="O3" s="1">
        <v>2.1052631578947398</v>
      </c>
      <c r="P3">
        <v>4</v>
      </c>
      <c r="S3" s="1">
        <v>9.9259259259259291</v>
      </c>
      <c r="T3">
        <v>6</v>
      </c>
      <c r="W3" s="1">
        <v>2.8947368421052602</v>
      </c>
      <c r="X3">
        <v>7</v>
      </c>
      <c r="AA3" s="1">
        <v>10.0358422939068</v>
      </c>
      <c r="AB3">
        <v>10</v>
      </c>
      <c r="AD3" t="s">
        <v>85</v>
      </c>
      <c r="AE3" s="1">
        <f>IF(calculator!$C$4="m",calculator!$C$11*100,AF2)</f>
        <v>5</v>
      </c>
    </row>
    <row r="4" spans="1:31" x14ac:dyDescent="0.3">
      <c r="C4" s="1">
        <v>70.657507360156998</v>
      </c>
      <c r="D4">
        <v>3</v>
      </c>
      <c r="G4" s="1">
        <v>66.882649388049003</v>
      </c>
      <c r="H4">
        <v>4</v>
      </c>
      <c r="K4" s="1">
        <v>28.0197206244864</v>
      </c>
      <c r="L4">
        <v>4</v>
      </c>
      <c r="O4" s="1">
        <v>22.200956937798999</v>
      </c>
      <c r="P4">
        <v>5</v>
      </c>
      <c r="S4" s="1">
        <v>31.703703703703699</v>
      </c>
      <c r="T4">
        <v>7</v>
      </c>
      <c r="W4" s="1">
        <v>10</v>
      </c>
      <c r="X4">
        <v>8</v>
      </c>
      <c r="AA4" s="1">
        <v>15.0537634408602</v>
      </c>
      <c r="AB4">
        <v>11</v>
      </c>
    </row>
    <row r="5" spans="1:31" x14ac:dyDescent="0.3">
      <c r="C5" s="51">
        <v>88.518155053974496</v>
      </c>
      <c r="D5" s="52">
        <v>4</v>
      </c>
      <c r="G5" s="51">
        <v>82.937365010799098</v>
      </c>
      <c r="H5" s="52">
        <v>5</v>
      </c>
      <c r="K5" s="1">
        <v>59.408381265406703</v>
      </c>
      <c r="L5">
        <v>5</v>
      </c>
      <c r="O5" s="1">
        <v>48.3253588516747</v>
      </c>
      <c r="P5">
        <v>6</v>
      </c>
      <c r="S5" s="1">
        <v>46.6666666666667</v>
      </c>
      <c r="T5">
        <v>8</v>
      </c>
      <c r="W5" s="1">
        <v>20.526315789473699</v>
      </c>
      <c r="X5">
        <v>9</v>
      </c>
      <c r="AA5" s="1">
        <v>29.0322580645161</v>
      </c>
      <c r="AB5">
        <v>12</v>
      </c>
    </row>
    <row r="6" spans="1:31" x14ac:dyDescent="0.3">
      <c r="C6" s="1">
        <v>94.602551521099102</v>
      </c>
      <c r="D6">
        <v>5</v>
      </c>
      <c r="G6" s="1">
        <v>91.720662347012194</v>
      </c>
      <c r="H6">
        <v>6</v>
      </c>
      <c r="K6" s="1">
        <v>71.733771569433003</v>
      </c>
      <c r="L6">
        <v>6</v>
      </c>
      <c r="O6" s="1">
        <v>60.861244019138802</v>
      </c>
      <c r="P6">
        <v>7</v>
      </c>
      <c r="S6" s="1">
        <v>57.037037037037003</v>
      </c>
      <c r="T6">
        <v>9</v>
      </c>
      <c r="W6" s="1">
        <v>45</v>
      </c>
      <c r="X6">
        <v>10</v>
      </c>
      <c r="AA6" s="1">
        <v>39.784946236559101</v>
      </c>
      <c r="AB6">
        <v>13</v>
      </c>
    </row>
    <row r="7" spans="1:31" x14ac:dyDescent="0.3">
      <c r="C7" s="1">
        <v>97.644749754661404</v>
      </c>
      <c r="D7">
        <v>6</v>
      </c>
      <c r="G7" s="1">
        <v>94.600431965442795</v>
      </c>
      <c r="H7">
        <v>7</v>
      </c>
      <c r="K7" s="51">
        <v>81.922760887428097</v>
      </c>
      <c r="L7" s="52">
        <v>7</v>
      </c>
      <c r="O7" s="1">
        <v>71.578947368421098</v>
      </c>
      <c r="P7">
        <v>8</v>
      </c>
      <c r="S7" s="1">
        <v>67.407407407407405</v>
      </c>
      <c r="T7">
        <v>10</v>
      </c>
      <c r="W7" s="1">
        <v>52.894736842105303</v>
      </c>
      <c r="X7">
        <v>11</v>
      </c>
      <c r="AA7" s="1">
        <v>44.4444444444444</v>
      </c>
      <c r="AB7">
        <v>14</v>
      </c>
    </row>
    <row r="8" spans="1:31" x14ac:dyDescent="0.3">
      <c r="C8" s="1">
        <v>98.429833169774298</v>
      </c>
      <c r="D8">
        <v>7</v>
      </c>
      <c r="G8" s="1">
        <v>97.048236141108703</v>
      </c>
      <c r="H8">
        <v>8</v>
      </c>
      <c r="K8" s="1">
        <v>88.085456039441198</v>
      </c>
      <c r="L8">
        <v>8</v>
      </c>
      <c r="O8" s="51">
        <v>82.392344497607695</v>
      </c>
      <c r="P8" s="52">
        <v>9</v>
      </c>
      <c r="S8" s="51">
        <v>74.962962962963005</v>
      </c>
      <c r="T8" s="52">
        <v>11</v>
      </c>
      <c r="W8" s="1">
        <v>65.789473684210506</v>
      </c>
      <c r="X8">
        <v>12</v>
      </c>
      <c r="AA8" s="1">
        <v>59.139784946236603</v>
      </c>
      <c r="AB8">
        <v>15</v>
      </c>
    </row>
    <row r="9" spans="1:31" x14ac:dyDescent="0.3">
      <c r="C9" s="1">
        <v>99.411187438665394</v>
      </c>
      <c r="D9">
        <v>8</v>
      </c>
      <c r="G9" s="1">
        <v>98.488120950324003</v>
      </c>
      <c r="H9">
        <v>9</v>
      </c>
      <c r="K9" s="1">
        <v>90.961380443714106</v>
      </c>
      <c r="L9">
        <v>9</v>
      </c>
      <c r="O9" s="1">
        <v>87.081339712918705</v>
      </c>
      <c r="P9">
        <v>10</v>
      </c>
      <c r="S9" s="1">
        <v>82.518518518518505</v>
      </c>
      <c r="T9">
        <v>12</v>
      </c>
      <c r="W9" s="51">
        <v>75.526315789473699</v>
      </c>
      <c r="X9" s="52">
        <v>13</v>
      </c>
      <c r="AA9" s="1">
        <v>69.534050179211505</v>
      </c>
      <c r="AB9">
        <v>16</v>
      </c>
    </row>
    <row r="10" spans="1:31" x14ac:dyDescent="0.3">
      <c r="C10" s="1">
        <v>99.705593719332697</v>
      </c>
      <c r="D10">
        <v>9</v>
      </c>
      <c r="G10" s="1">
        <v>98.920086393088596</v>
      </c>
      <c r="H10">
        <v>10</v>
      </c>
      <c r="K10" s="1">
        <v>93.672966310599804</v>
      </c>
      <c r="L10">
        <v>10</v>
      </c>
      <c r="O10" s="1">
        <v>90.334928229665096</v>
      </c>
      <c r="P10">
        <v>11</v>
      </c>
      <c r="S10" s="1">
        <v>88</v>
      </c>
      <c r="T10">
        <v>13</v>
      </c>
      <c r="W10" s="1">
        <v>81.842105263157904</v>
      </c>
      <c r="X10">
        <v>14</v>
      </c>
      <c r="AA10" s="51">
        <v>74.551971326164903</v>
      </c>
      <c r="AB10" s="52">
        <v>17</v>
      </c>
    </row>
    <row r="11" spans="1:31" x14ac:dyDescent="0.3">
      <c r="C11" s="1">
        <v>99.803729146221798</v>
      </c>
      <c r="D11">
        <v>10</v>
      </c>
      <c r="G11" s="1">
        <v>99.064074874010103</v>
      </c>
      <c r="H11">
        <v>11</v>
      </c>
      <c r="K11" s="1">
        <v>95.562859490550494</v>
      </c>
      <c r="L11">
        <v>11</v>
      </c>
      <c r="O11" s="1">
        <v>93.205741626794307</v>
      </c>
      <c r="P11">
        <v>12</v>
      </c>
      <c r="S11" s="1">
        <v>91.703703703703695</v>
      </c>
      <c r="T11">
        <v>14</v>
      </c>
      <c r="W11" s="1">
        <v>85.526315789473699</v>
      </c>
      <c r="X11">
        <v>15</v>
      </c>
      <c r="AA11" s="1">
        <v>79.928315412186393</v>
      </c>
      <c r="AB11">
        <v>18</v>
      </c>
    </row>
    <row r="12" spans="1:31" x14ac:dyDescent="0.3">
      <c r="C12" s="1">
        <v>99.901864573110899</v>
      </c>
      <c r="D12">
        <v>12</v>
      </c>
      <c r="G12" s="1">
        <v>99.4240460763139</v>
      </c>
      <c r="H12">
        <v>12</v>
      </c>
      <c r="K12" s="1">
        <v>97.370583401807707</v>
      </c>
      <c r="L12">
        <v>12</v>
      </c>
      <c r="O12" s="1">
        <v>94.832535885167502</v>
      </c>
      <c r="P12">
        <v>13</v>
      </c>
      <c r="S12" s="1">
        <v>94.2222222222222</v>
      </c>
      <c r="T12">
        <v>15</v>
      </c>
      <c r="W12" s="1">
        <v>90.263157894736807</v>
      </c>
      <c r="X12">
        <v>16</v>
      </c>
      <c r="AA12" s="1">
        <v>86.379928315412201</v>
      </c>
      <c r="AB12">
        <v>19</v>
      </c>
    </row>
    <row r="13" spans="1:31" x14ac:dyDescent="0.3">
      <c r="C13" s="1">
        <v>100</v>
      </c>
      <c r="D13" s="53">
        <v>14</v>
      </c>
      <c r="G13" s="1">
        <v>99.7120230381569</v>
      </c>
      <c r="H13">
        <v>13</v>
      </c>
      <c r="K13" s="1">
        <v>98.192276088742801</v>
      </c>
      <c r="L13">
        <v>13</v>
      </c>
      <c r="O13" s="1">
        <v>95.885167464114801</v>
      </c>
      <c r="P13">
        <v>14</v>
      </c>
      <c r="S13" s="1">
        <v>96.4444444444445</v>
      </c>
      <c r="T13">
        <v>16</v>
      </c>
      <c r="W13" s="1">
        <v>93.684210526315795</v>
      </c>
      <c r="X13">
        <v>17</v>
      </c>
      <c r="AA13" s="1">
        <v>88.530465949820794</v>
      </c>
      <c r="AB13">
        <v>20</v>
      </c>
    </row>
    <row r="14" spans="1:31" x14ac:dyDescent="0.3">
      <c r="G14" s="1">
        <v>99.856011519078507</v>
      </c>
      <c r="H14">
        <v>14</v>
      </c>
      <c r="K14" s="1">
        <v>98.520953163516893</v>
      </c>
      <c r="L14">
        <v>14</v>
      </c>
      <c r="O14" s="1">
        <v>97.320574162679407</v>
      </c>
      <c r="P14">
        <v>15</v>
      </c>
      <c r="S14" s="1">
        <v>97.185185185185205</v>
      </c>
      <c r="T14">
        <v>17</v>
      </c>
      <c r="W14" s="1">
        <v>95.263157894736807</v>
      </c>
      <c r="X14">
        <v>18</v>
      </c>
      <c r="AA14" s="1">
        <v>92.831541218637994</v>
      </c>
      <c r="AB14">
        <v>21</v>
      </c>
    </row>
    <row r="15" spans="1:31" x14ac:dyDescent="0.3">
      <c r="G15" s="1">
        <v>100</v>
      </c>
      <c r="H15" s="53">
        <v>16</v>
      </c>
      <c r="K15" s="1">
        <v>99.096138044371401</v>
      </c>
      <c r="L15">
        <v>15</v>
      </c>
      <c r="O15" s="1">
        <v>98.373205741626805</v>
      </c>
      <c r="P15">
        <v>16</v>
      </c>
      <c r="S15" s="1">
        <v>98.518518518518505</v>
      </c>
      <c r="T15">
        <v>18</v>
      </c>
      <c r="W15" s="1">
        <v>97.105263157894697</v>
      </c>
      <c r="X15">
        <v>19</v>
      </c>
      <c r="AA15" s="1">
        <v>94.982078853046602</v>
      </c>
      <c r="AB15">
        <v>22</v>
      </c>
    </row>
    <row r="16" spans="1:31" x14ac:dyDescent="0.3">
      <c r="K16" s="1">
        <v>99.424815119145407</v>
      </c>
      <c r="L16">
        <v>16</v>
      </c>
      <c r="O16" s="1">
        <v>98.947368421052602</v>
      </c>
      <c r="P16">
        <v>18</v>
      </c>
      <c r="S16" s="1">
        <v>98.814814814814795</v>
      </c>
      <c r="T16">
        <v>19</v>
      </c>
      <c r="W16" s="1">
        <v>97.368421052631604</v>
      </c>
      <c r="X16">
        <v>20</v>
      </c>
      <c r="AA16" s="1">
        <v>96.774193548387103</v>
      </c>
      <c r="AB16">
        <v>23</v>
      </c>
    </row>
    <row r="17" spans="11:28" x14ac:dyDescent="0.3">
      <c r="K17" s="1">
        <v>99.671322925225994</v>
      </c>
      <c r="L17">
        <v>18</v>
      </c>
      <c r="O17" s="1">
        <v>99.330143540669894</v>
      </c>
      <c r="P17">
        <v>19</v>
      </c>
      <c r="S17" s="1">
        <v>99.407407407407405</v>
      </c>
      <c r="T17">
        <v>20</v>
      </c>
      <c r="W17" s="1">
        <v>98.684210526315795</v>
      </c>
      <c r="X17">
        <v>21</v>
      </c>
      <c r="AA17" s="1">
        <v>98.207885304659499</v>
      </c>
      <c r="AB17">
        <v>25</v>
      </c>
    </row>
    <row r="18" spans="11:28" x14ac:dyDescent="0.3">
      <c r="K18" s="1">
        <v>99.835661462613004</v>
      </c>
      <c r="L18">
        <v>21</v>
      </c>
      <c r="O18" s="1">
        <v>99.617224880382807</v>
      </c>
      <c r="P18">
        <v>21</v>
      </c>
      <c r="S18" s="1">
        <v>99.5555555555556</v>
      </c>
      <c r="T18">
        <v>21</v>
      </c>
      <c r="W18" s="1">
        <v>98.947368421052602</v>
      </c>
      <c r="X18">
        <v>22</v>
      </c>
      <c r="AA18" s="1">
        <v>98.566308243727605</v>
      </c>
      <c r="AB18">
        <v>26</v>
      </c>
    </row>
    <row r="19" spans="11:28" x14ac:dyDescent="0.3">
      <c r="K19" s="1">
        <v>100</v>
      </c>
      <c r="L19" s="53">
        <v>23</v>
      </c>
      <c r="O19" s="1">
        <v>99.712918660287102</v>
      </c>
      <c r="P19">
        <v>22</v>
      </c>
      <c r="S19" s="1">
        <v>99.851851851851904</v>
      </c>
      <c r="T19">
        <v>23</v>
      </c>
      <c r="W19" s="1">
        <v>99.210526315789494</v>
      </c>
      <c r="X19">
        <v>24</v>
      </c>
      <c r="AA19" s="1">
        <v>99.641577060931894</v>
      </c>
      <c r="AB19">
        <v>28</v>
      </c>
    </row>
    <row r="20" spans="11:28" x14ac:dyDescent="0.3">
      <c r="K20" s="1"/>
      <c r="L20" s="1"/>
      <c r="O20" s="1">
        <v>99.904306220095705</v>
      </c>
      <c r="P20">
        <v>26</v>
      </c>
      <c r="S20" s="1">
        <v>100</v>
      </c>
      <c r="T20" s="53">
        <v>28</v>
      </c>
      <c r="W20" s="1">
        <v>99.736842105263193</v>
      </c>
      <c r="X20">
        <v>26</v>
      </c>
      <c r="AA20" s="1">
        <v>100</v>
      </c>
      <c r="AB20" s="53">
        <v>33</v>
      </c>
    </row>
    <row r="21" spans="11:28" x14ac:dyDescent="0.3">
      <c r="O21" s="1">
        <v>100</v>
      </c>
      <c r="P21" s="53">
        <v>32</v>
      </c>
      <c r="W21" s="1">
        <v>100</v>
      </c>
      <c r="X21" s="53">
        <v>31</v>
      </c>
      <c r="AA21" s="1"/>
      <c r="AB21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1D1B-2069-4E20-A6EA-C8C92C64FA40}">
  <dimension ref="A1:D39"/>
  <sheetViews>
    <sheetView zoomScaleNormal="100" workbookViewId="0">
      <pane ySplit="3" topLeftCell="A4" activePane="bottomLeft" state="frozen"/>
      <selection pane="bottomLeft"/>
    </sheetView>
  </sheetViews>
  <sheetFormatPr defaultRowHeight="14.4" x14ac:dyDescent="0.3"/>
  <sheetData>
    <row r="1" spans="1:4" x14ac:dyDescent="0.3">
      <c r="A1" t="s">
        <v>83</v>
      </c>
      <c r="C1" t="s">
        <v>82</v>
      </c>
      <c r="D1">
        <f>IF(idd!B1=1,B4,IF(idd!B1=2,B5,IF(idd!B1=3,B6,IF(idd!B1=4,B7,IF(idd!B1=5,B8,IF(idd!B1=6,B9,IF(idd!B1=7,B10,"")))))))</f>
        <v>83</v>
      </c>
    </row>
    <row r="3" spans="1:4" ht="15" thickBot="1" x14ac:dyDescent="0.35">
      <c r="A3" t="s">
        <v>64</v>
      </c>
    </row>
    <row r="4" spans="1:4" x14ac:dyDescent="0.3">
      <c r="A4" s="9">
        <v>1</v>
      </c>
      <c r="B4">
        <f>IF(calculator!C11=1%,0,IF(calculator!C11=2%,24,IF(calculator!C11=3%,71,IF(calculator!C11=4%,89,IF(calculator!C11=5%,95,IF(calculator!C11=6%,98,IF(calculator!C11=7%,98,IF(calculator!C11=8%,99,IF(calculator!C11&gt;=9%,100,"")))))))))</f>
        <v>95</v>
      </c>
    </row>
    <row r="5" spans="1:4" x14ac:dyDescent="0.3">
      <c r="A5" s="10">
        <v>2</v>
      </c>
      <c r="B5">
        <f>IF(calculator!C11=2%,0,IF(calculator!C11=3%,33,IF(calculator!C11=4%,67,IF(calculator!C11=5%,83,IF(calculator!C11=6%,92,IF(calculator!C11=7%,95,IF(calculator!C11=8%,97,IF(calculator!C11=9%,98,IF(calculator!C11=10%,99,IF(calculator!C11=11%,99,IF(calculator!C11=12%,99,IF(calculator!C11&gt;=13%,100,""))))))))))))</f>
        <v>83</v>
      </c>
    </row>
    <row r="6" spans="1:4" x14ac:dyDescent="0.3">
      <c r="A6" s="10">
        <v>3</v>
      </c>
      <c r="B6">
        <f>IF(calculator!C11=2%,0,IF(calculator!C11=3%,2,IF(calculator!C11=4%,28,IF(calculator!C11=5%,59,IF(calculator!C11=6%,72,IF(calculator!C11=7%,82,IF(calculator!C11=8%,88,IF(calculator!C11=9%,91,IF(calculator!C11=10%,94,IF(calculator!C11=11%,96,IF(calculator!C11=12%,97,IF(calculator!C11=13%,98,IF(calculator!C11=14%,99,IF(calculator!C11=15%,99,IF(calculator!C11=16%,99,IF(calculator!C11=17%,"&gt;=99",IF(calculator!C11&gt;=18%,100,"")))))))))))))))))</f>
        <v>59</v>
      </c>
    </row>
    <row r="7" spans="1:4" x14ac:dyDescent="0.3">
      <c r="A7" s="10">
        <v>4</v>
      </c>
      <c r="B7">
        <f>IF(calculator!C11=3%,0,IF(calculator!C11=4%,2,IF(calculator!C11=5%,22,IF(calculator!C11=6%,48,IF(calculator!C11=7%,61,IF(calculator!C11=8%,72,IF(calculator!C11=9%,82,IF(calculator!C11=10%,87,IF(calculator!C11=11%,90,IF(calculator!C11=12%,93,IF(calculator!C11=13%,95,IF(calculator!C11=14%,96,IF(calculator!C11=15%,97,IF(calculator!C11=16%,98,IF(calculator!C11=17%,"98-99",IF(calculator!C11=18%,99,IF(calculator!C11=19%,99,IF(calculator!C11=20%,"&gt;=99",IF(calculator!C11&gt;=21%,100,"")))))))))))))))))))</f>
        <v>22</v>
      </c>
    </row>
    <row r="8" spans="1:4" x14ac:dyDescent="0.3">
      <c r="A8" s="10">
        <v>5</v>
      </c>
      <c r="B8">
        <f>IF(calculator!C11=5%,0,IF(calculator!C11=6%,10,IF(calculator!C11=7%,32,IF(calculator!C11=8%,47,IF(calculator!C11=9%,57,IF(calculator!C11=10%,67,IF(calculator!C11=11%,75,IF(calculator!C11=12%,83,IF(calculator!C11=13%,88,IF(calculator!C11=14%,92,IF(calculator!C11=15%,94,IF(calculator!C11=16%,96,IF(calculator!C11=17%,97,IF(calculator!C11=18%,99,IF(calculator!C11=19%,99,IF(calculator!C11=20%,99,IF(calculator!C11&gt;=21%,100,"")))))))))))))))))</f>
        <v>0</v>
      </c>
    </row>
    <row r="9" spans="1:4" x14ac:dyDescent="0.3">
      <c r="A9" s="10">
        <v>6</v>
      </c>
      <c r="B9" t="str">
        <f>IF(calculator!C11=6%,0,IF(calculator!C11=7%,3,IF(calculator!C11=8%,10,IF(calculator!C11=9%,21,IF(calculator!C11=10%,45,IF(calculator!C11=11%,53,IF(calculator!C11=12%,66,IF(calculator!C11=13%,76,IF(calculator!C11=14%,82,IF(calculator!C11=15%,86,IF(calculator!C11=16%,90,IF(calculator!C11=17%,94,IF(calculator!C11=18%,95,IF(calculator!C11=19%,97,IF(calculator!C11=20%,97,IF(calculator!C11=21%,99,IF(calculator!C11=22%,99,IF(calculator!C11=23%,99,IF(calculator!C11=24%,99,IF(calculator!C11=25%,"&gt;=99",IF(calculator!C11&gt;=26%,100,"")))))))))))))))))))))</f>
        <v/>
      </c>
    </row>
    <row r="10" spans="1:4" x14ac:dyDescent="0.3">
      <c r="A10" s="10">
        <v>7</v>
      </c>
      <c r="B10" t="str">
        <f>IF(calculator!C11=9%,0,IF(calculator!C11=10%,10,IF(calculator!C11=11%,15,IF(calculator!C11=12%,29,IF(calculator!C11=13%,40,IF(calculator!C11=14%,44,IF(calculator!C11=15%,59,IF(calculator!C11=16%,70,IF(calculator!C11=17%,75,IF(calculator!C11=18%,80,IF(calculator!C11=19%,86,IF(calculator!C11=20%,89,IF(calculator!C11=21%,93,IF(calculator!C11=22%,95,IF(calculator!C11=23%,97,IF(calculator!C11=24%,"97-98",IF(calculator!C11=25%,98,IF(calculator!C11=26%,99,IF(calculator!C11=27%,"&gt;=99",IF(calculator!C11&gt;=28%,100,""))))))))))))))))))))</f>
        <v/>
      </c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  <row r="16" spans="1:4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  <row r="31" spans="1:1" x14ac:dyDescent="0.3">
      <c r="A31" s="10"/>
    </row>
    <row r="32" spans="1:1" x14ac:dyDescent="0.3">
      <c r="A32" s="10"/>
    </row>
    <row r="33" spans="1:1" x14ac:dyDescent="0.3">
      <c r="A33" s="10"/>
    </row>
    <row r="34" spans="1:1" x14ac:dyDescent="0.3">
      <c r="A34" s="10"/>
    </row>
    <row r="35" spans="1:1" x14ac:dyDescent="0.3">
      <c r="A35" s="10"/>
    </row>
    <row r="36" spans="1:1" x14ac:dyDescent="0.3">
      <c r="A36" s="10"/>
    </row>
    <row r="37" spans="1:1" x14ac:dyDescent="0.3">
      <c r="A37" s="10"/>
    </row>
    <row r="38" spans="1:1" x14ac:dyDescent="0.3">
      <c r="A38" s="10"/>
    </row>
    <row r="39" spans="1:1" ht="15" thickBot="1" x14ac:dyDescent="0.35">
      <c r="A39" s="11"/>
    </row>
  </sheetData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8AF3-BA17-4AA7-91FD-D2996F5353A6}">
  <dimension ref="A1:AE21"/>
  <sheetViews>
    <sheetView topLeftCell="P1" workbookViewId="0"/>
  </sheetViews>
  <sheetFormatPr defaultRowHeight="14.4" x14ac:dyDescent="0.3"/>
  <cols>
    <col min="2" max="2" width="11.21875" bestFit="1" customWidth="1"/>
    <col min="3" max="3" width="10.5546875" bestFit="1" customWidth="1"/>
    <col min="4" max="4" width="7.109375" bestFit="1" customWidth="1"/>
    <col min="6" max="6" width="11.21875" bestFit="1" customWidth="1"/>
    <col min="7" max="7" width="10.33203125" bestFit="1" customWidth="1"/>
    <col min="8" max="8" width="7.109375" bestFit="1" customWidth="1"/>
    <col min="10" max="10" width="11.21875" bestFit="1" customWidth="1"/>
    <col min="11" max="11" width="10.33203125" bestFit="1" customWidth="1"/>
    <col min="12" max="12" width="7.109375" bestFit="1" customWidth="1"/>
    <col min="14" max="14" width="11.21875" bestFit="1" customWidth="1"/>
    <col min="15" max="15" width="10.33203125" bestFit="1" customWidth="1"/>
    <col min="16" max="16" width="7.109375" bestFit="1" customWidth="1"/>
    <col min="18" max="18" width="11.21875" bestFit="1" customWidth="1"/>
    <col min="19" max="19" width="10.33203125" bestFit="1" customWidth="1"/>
    <col min="20" max="20" width="7.109375" bestFit="1" customWidth="1"/>
    <col min="22" max="22" width="11.21875" bestFit="1" customWidth="1"/>
    <col min="23" max="23" width="10.33203125" bestFit="1" customWidth="1"/>
    <col min="24" max="24" width="7.109375" bestFit="1" customWidth="1"/>
    <col min="26" max="26" width="11.21875" bestFit="1" customWidth="1"/>
    <col min="27" max="27" width="10.33203125" bestFit="1" customWidth="1"/>
    <col min="28" max="28" width="7.109375" bestFit="1" customWidth="1"/>
  </cols>
  <sheetData>
    <row r="1" spans="1:31" x14ac:dyDescent="0.3">
      <c r="A1" t="s">
        <v>89</v>
      </c>
      <c r="B1" t="s">
        <v>86</v>
      </c>
      <c r="C1" t="s">
        <v>82</v>
      </c>
      <c r="D1" t="s">
        <v>74</v>
      </c>
      <c r="F1" t="s">
        <v>86</v>
      </c>
      <c r="G1" t="s">
        <v>82</v>
      </c>
      <c r="H1" t="s">
        <v>74</v>
      </c>
      <c r="J1" t="s">
        <v>86</v>
      </c>
      <c r="K1" t="s">
        <v>82</v>
      </c>
      <c r="L1" t="s">
        <v>74</v>
      </c>
      <c r="N1" t="s">
        <v>86</v>
      </c>
      <c r="O1" t="s">
        <v>82</v>
      </c>
      <c r="P1" t="s">
        <v>74</v>
      </c>
      <c r="R1" t="s">
        <v>86</v>
      </c>
      <c r="S1" t="s">
        <v>82</v>
      </c>
      <c r="T1" t="s">
        <v>74</v>
      </c>
      <c r="V1" t="s">
        <v>86</v>
      </c>
      <c r="W1" t="s">
        <v>82</v>
      </c>
      <c r="X1" t="s">
        <v>74</v>
      </c>
      <c r="Z1" t="s">
        <v>86</v>
      </c>
      <c r="AA1" t="s">
        <v>82</v>
      </c>
      <c r="AB1" t="s">
        <v>74</v>
      </c>
      <c r="AD1" t="s">
        <v>136</v>
      </c>
    </row>
    <row r="2" spans="1:31" x14ac:dyDescent="0.3">
      <c r="B2" t="s">
        <v>129</v>
      </c>
      <c r="C2" s="1">
        <v>0</v>
      </c>
      <c r="D2">
        <v>1</v>
      </c>
      <c r="F2" t="s">
        <v>130</v>
      </c>
      <c r="G2" s="1">
        <v>0</v>
      </c>
      <c r="H2">
        <v>1</v>
      </c>
      <c r="J2" t="s">
        <v>131</v>
      </c>
      <c r="K2" s="1">
        <v>0</v>
      </c>
      <c r="L2">
        <v>2</v>
      </c>
      <c r="N2" t="s">
        <v>132</v>
      </c>
      <c r="O2" s="1">
        <v>0</v>
      </c>
      <c r="P2">
        <v>3</v>
      </c>
      <c r="R2" t="s">
        <v>133</v>
      </c>
      <c r="S2" s="1">
        <v>0</v>
      </c>
      <c r="T2">
        <v>4</v>
      </c>
      <c r="V2" t="s">
        <v>134</v>
      </c>
      <c r="W2" s="1">
        <v>0</v>
      </c>
      <c r="X2">
        <v>5</v>
      </c>
      <c r="Z2" t="s">
        <v>135</v>
      </c>
      <c r="AA2">
        <v>0</v>
      </c>
      <c r="AB2">
        <v>7</v>
      </c>
      <c r="AD2" t="s">
        <v>87</v>
      </c>
      <c r="AE2" s="1">
        <f>IF(AND(calculator!$C$4="f",calculator!C13="&gt;=99"),99.5,IF(AND(calculator!$C$4="f",calculator!C13="97-99"),98,IF(calculator!$C$4="f",calculator!$C$13,AF2)))</f>
        <v>0</v>
      </c>
    </row>
    <row r="3" spans="1:31" x14ac:dyDescent="0.3">
      <c r="C3" s="51">
        <v>76.198779424585894</v>
      </c>
      <c r="D3" s="52">
        <v>2</v>
      </c>
      <c r="G3" s="1">
        <v>29.383602633153799</v>
      </c>
      <c r="H3">
        <v>2</v>
      </c>
      <c r="K3" s="1">
        <v>47.1324983520106</v>
      </c>
      <c r="L3">
        <v>3</v>
      </c>
      <c r="O3" s="1">
        <v>47.054597701149397</v>
      </c>
      <c r="P3">
        <v>4</v>
      </c>
      <c r="S3" s="1">
        <v>35.294117647058798</v>
      </c>
      <c r="T3">
        <v>5</v>
      </c>
      <c r="W3" s="1">
        <v>18.0555555555556</v>
      </c>
      <c r="X3">
        <v>6</v>
      </c>
      <c r="AA3" s="1">
        <v>13.852813852813901</v>
      </c>
      <c r="AB3">
        <v>8</v>
      </c>
      <c r="AD3" t="s">
        <v>85</v>
      </c>
      <c r="AE3" s="1">
        <f>IF(calculator!$C$4="f",calculator!$C$11*100,AF2)</f>
        <v>0</v>
      </c>
    </row>
    <row r="4" spans="1:31" x14ac:dyDescent="0.3">
      <c r="C4" s="1">
        <v>95.553618134263303</v>
      </c>
      <c r="D4">
        <v>3</v>
      </c>
      <c r="G4" s="51">
        <v>77.259126271693603</v>
      </c>
      <c r="H4" s="52">
        <v>3</v>
      </c>
      <c r="K4" s="1">
        <v>72.775214238628905</v>
      </c>
      <c r="L4">
        <v>4</v>
      </c>
      <c r="O4" s="1">
        <v>67.528735632183896</v>
      </c>
      <c r="P4">
        <v>5</v>
      </c>
      <c r="S4" s="1">
        <v>63.461538461538503</v>
      </c>
      <c r="T4">
        <v>6</v>
      </c>
      <c r="W4" s="1">
        <v>44.642857142857103</v>
      </c>
      <c r="X4">
        <v>7</v>
      </c>
      <c r="AA4" s="1">
        <v>38.961038961039002</v>
      </c>
      <c r="AB4">
        <v>9</v>
      </c>
    </row>
    <row r="5" spans="1:31" x14ac:dyDescent="0.3">
      <c r="C5" s="1">
        <v>98.430688753269393</v>
      </c>
      <c r="D5">
        <v>4</v>
      </c>
      <c r="G5" s="1">
        <v>91.980849790544596</v>
      </c>
      <c r="H5">
        <v>4</v>
      </c>
      <c r="K5" s="51">
        <v>87.541199736321701</v>
      </c>
      <c r="L5" s="52">
        <v>5</v>
      </c>
      <c r="O5" s="51">
        <v>79.813218390804593</v>
      </c>
      <c r="P5" s="52">
        <v>6</v>
      </c>
      <c r="S5" s="51">
        <v>75.678733031674199</v>
      </c>
      <c r="T5" s="52">
        <v>7</v>
      </c>
      <c r="W5" s="1">
        <v>56.547619047619101</v>
      </c>
      <c r="X5">
        <v>8</v>
      </c>
      <c r="AA5" s="1">
        <v>47.619047619047599</v>
      </c>
      <c r="AB5">
        <v>10</v>
      </c>
    </row>
    <row r="6" spans="1:31" x14ac:dyDescent="0.3">
      <c r="C6" s="1">
        <v>99.302528334786402</v>
      </c>
      <c r="D6">
        <v>5</v>
      </c>
      <c r="G6" s="1">
        <v>96.708557749850399</v>
      </c>
      <c r="H6">
        <v>5</v>
      </c>
      <c r="K6" s="1">
        <v>95.1878707976269</v>
      </c>
      <c r="L6">
        <v>6</v>
      </c>
      <c r="O6" s="1">
        <v>89.5833333333333</v>
      </c>
      <c r="P6">
        <v>7</v>
      </c>
      <c r="S6" s="1">
        <v>84.389140271493204</v>
      </c>
      <c r="T6">
        <v>8</v>
      </c>
      <c r="W6" s="1">
        <v>69.642857142857096</v>
      </c>
      <c r="X6">
        <v>9</v>
      </c>
      <c r="AA6" s="1">
        <v>62.770562770562798</v>
      </c>
      <c r="AB6">
        <v>11</v>
      </c>
    </row>
    <row r="7" spans="1:31" x14ac:dyDescent="0.3">
      <c r="C7" s="1">
        <v>99.738448125544906</v>
      </c>
      <c r="D7">
        <v>6</v>
      </c>
      <c r="G7" s="1">
        <v>98.503889886295596</v>
      </c>
      <c r="H7">
        <v>6</v>
      </c>
      <c r="K7" s="1">
        <v>97.429136453526695</v>
      </c>
      <c r="L7">
        <v>7</v>
      </c>
      <c r="O7" s="1">
        <v>93.965517241379303</v>
      </c>
      <c r="P7">
        <v>8</v>
      </c>
      <c r="S7" s="1">
        <v>90.7239819004525</v>
      </c>
      <c r="T7">
        <v>9</v>
      </c>
      <c r="W7" s="51">
        <v>80.5555555555556</v>
      </c>
      <c r="X7" s="52">
        <v>10</v>
      </c>
      <c r="AA7" s="1">
        <v>70.562770562770595</v>
      </c>
      <c r="AB7">
        <v>12</v>
      </c>
    </row>
    <row r="8" spans="1:31" x14ac:dyDescent="0.3">
      <c r="C8" s="1">
        <v>99.912816041848302</v>
      </c>
      <c r="D8">
        <v>7</v>
      </c>
      <c r="G8" s="1">
        <v>99.102333931777395</v>
      </c>
      <c r="H8">
        <v>7</v>
      </c>
      <c r="K8" s="1">
        <v>98.0883322346737</v>
      </c>
      <c r="L8">
        <v>8</v>
      </c>
      <c r="O8" s="1">
        <v>96.048850574712603</v>
      </c>
      <c r="P8">
        <v>9</v>
      </c>
      <c r="S8" s="1">
        <v>92.986425339366505</v>
      </c>
      <c r="T8">
        <v>10</v>
      </c>
      <c r="W8" s="1">
        <v>86.309523809523796</v>
      </c>
      <c r="X8">
        <v>11</v>
      </c>
      <c r="AA8" s="51">
        <v>85.281385281385298</v>
      </c>
      <c r="AB8" s="52">
        <v>13</v>
      </c>
    </row>
    <row r="9" spans="1:31" x14ac:dyDescent="0.3">
      <c r="C9" s="1">
        <v>100</v>
      </c>
      <c r="D9" s="53">
        <v>8</v>
      </c>
      <c r="G9" s="1">
        <v>99.401555954518301</v>
      </c>
      <c r="H9">
        <v>8</v>
      </c>
      <c r="K9" s="1">
        <v>99.077125906394201</v>
      </c>
      <c r="L9">
        <v>9</v>
      </c>
      <c r="O9" s="1">
        <v>97.413793103448299</v>
      </c>
      <c r="P9">
        <v>10</v>
      </c>
      <c r="S9" s="1">
        <v>96.493212669683302</v>
      </c>
      <c r="T9">
        <v>11</v>
      </c>
      <c r="W9" s="1">
        <v>92.460317460317498</v>
      </c>
      <c r="X9">
        <v>12</v>
      </c>
      <c r="AA9" s="1">
        <v>89.177489177489207</v>
      </c>
      <c r="AB9">
        <v>14</v>
      </c>
    </row>
    <row r="10" spans="1:31" x14ac:dyDescent="0.3">
      <c r="C10" s="1"/>
      <c r="D10" s="1"/>
      <c r="G10" s="1">
        <v>99.700777977259094</v>
      </c>
      <c r="H10">
        <v>9</v>
      </c>
      <c r="K10" s="1">
        <v>99.274884640738307</v>
      </c>
      <c r="L10">
        <v>10</v>
      </c>
      <c r="O10" s="1">
        <v>98.635057471264403</v>
      </c>
      <c r="P10">
        <v>11</v>
      </c>
      <c r="S10" s="1">
        <v>97.171945701357501</v>
      </c>
      <c r="T10">
        <v>12</v>
      </c>
      <c r="W10" s="1">
        <v>96.230158730158706</v>
      </c>
      <c r="X10">
        <v>13</v>
      </c>
      <c r="AA10" s="1">
        <v>93.073593073593102</v>
      </c>
      <c r="AB10">
        <v>15</v>
      </c>
    </row>
    <row r="11" spans="1:31" x14ac:dyDescent="0.3">
      <c r="C11" s="1"/>
      <c r="D11" s="1"/>
      <c r="G11" s="1">
        <v>99.820466786355496</v>
      </c>
      <c r="H11">
        <v>10</v>
      </c>
      <c r="K11" s="1">
        <v>99.868160843770596</v>
      </c>
      <c r="L11">
        <v>11</v>
      </c>
      <c r="O11" s="1">
        <v>99.137931034482804</v>
      </c>
      <c r="P11">
        <v>12</v>
      </c>
      <c r="S11" s="1">
        <v>98.190045248868799</v>
      </c>
      <c r="T11">
        <v>13</v>
      </c>
      <c r="W11" s="1">
        <v>98.015873015872998</v>
      </c>
      <c r="X11">
        <v>14</v>
      </c>
      <c r="AA11" s="1">
        <v>96.536796536796501</v>
      </c>
      <c r="AB11">
        <v>16</v>
      </c>
    </row>
    <row r="12" spans="1:31" x14ac:dyDescent="0.3">
      <c r="C12" s="1"/>
      <c r="D12" s="1"/>
      <c r="G12" s="1">
        <v>100</v>
      </c>
      <c r="H12" s="53">
        <v>13</v>
      </c>
      <c r="K12" s="1">
        <v>100</v>
      </c>
      <c r="L12" s="53">
        <v>12</v>
      </c>
      <c r="O12" s="1">
        <v>99.568965517241395</v>
      </c>
      <c r="P12">
        <v>13</v>
      </c>
      <c r="S12" s="1">
        <v>98.642533936651603</v>
      </c>
      <c r="T12">
        <v>14</v>
      </c>
      <c r="W12" s="1">
        <v>98.412698412698404</v>
      </c>
      <c r="X12">
        <v>15</v>
      </c>
      <c r="AA12" s="1">
        <v>99.134199134199207</v>
      </c>
      <c r="AB12">
        <v>19</v>
      </c>
    </row>
    <row r="13" spans="1:31" x14ac:dyDescent="0.3">
      <c r="C13" s="1"/>
      <c r="D13" s="1"/>
      <c r="G13" s="1"/>
      <c r="H13" s="1"/>
      <c r="K13" s="1"/>
      <c r="L13" s="1"/>
      <c r="O13" s="1">
        <v>99.640804597701205</v>
      </c>
      <c r="P13">
        <v>14</v>
      </c>
      <c r="S13" s="1">
        <v>99.321266968325801</v>
      </c>
      <c r="T13">
        <v>15</v>
      </c>
      <c r="W13" s="1">
        <v>99.206349206349202</v>
      </c>
      <c r="X13">
        <v>16</v>
      </c>
      <c r="AA13" s="1">
        <v>100</v>
      </c>
      <c r="AB13" s="53">
        <v>22</v>
      </c>
    </row>
    <row r="14" spans="1:31" x14ac:dyDescent="0.3">
      <c r="G14" s="1"/>
      <c r="H14" s="1"/>
      <c r="K14" s="1"/>
      <c r="L14" s="1"/>
      <c r="O14" s="1">
        <v>99.856321839080493</v>
      </c>
      <c r="P14">
        <v>15</v>
      </c>
      <c r="S14" s="1">
        <v>99.773755656108605</v>
      </c>
      <c r="T14">
        <v>17</v>
      </c>
      <c r="W14" s="1">
        <v>99.603174603174594</v>
      </c>
      <c r="X14">
        <v>17</v>
      </c>
      <c r="AA14" s="1"/>
      <c r="AB14" s="1"/>
    </row>
    <row r="15" spans="1:31" x14ac:dyDescent="0.3">
      <c r="G15" s="1"/>
      <c r="H15" s="1"/>
      <c r="K15" s="1"/>
      <c r="L15" s="1"/>
      <c r="O15" s="1">
        <v>99.928160919540204</v>
      </c>
      <c r="P15">
        <v>17</v>
      </c>
      <c r="S15" s="1">
        <v>100</v>
      </c>
      <c r="T15" s="53">
        <v>22</v>
      </c>
      <c r="W15" s="1">
        <v>99.801587301587304</v>
      </c>
      <c r="X15">
        <v>19</v>
      </c>
      <c r="AA15" s="1"/>
      <c r="AB15" s="1"/>
    </row>
    <row r="16" spans="1:31" x14ac:dyDescent="0.3">
      <c r="K16" s="1"/>
      <c r="L16" s="1"/>
      <c r="O16" s="1">
        <v>100</v>
      </c>
      <c r="P16" s="53">
        <v>20</v>
      </c>
      <c r="S16" s="1"/>
      <c r="T16" s="1"/>
      <c r="W16" s="1"/>
      <c r="X16" s="1"/>
      <c r="AA16" s="1"/>
      <c r="AB16" s="1"/>
    </row>
    <row r="17" spans="11:28" x14ac:dyDescent="0.3">
      <c r="K17" s="1"/>
      <c r="L17" s="1"/>
      <c r="O17" s="1"/>
      <c r="P17" s="1"/>
      <c r="S17" s="1"/>
      <c r="T17" s="1"/>
      <c r="W17" s="1"/>
      <c r="X17" s="1"/>
      <c r="AA17" s="1"/>
      <c r="AB17" s="1"/>
    </row>
    <row r="18" spans="11:28" x14ac:dyDescent="0.3">
      <c r="K18" s="1"/>
      <c r="L18" s="1"/>
      <c r="O18" s="1"/>
      <c r="P18" s="1"/>
      <c r="S18" s="1"/>
      <c r="T18" s="1"/>
      <c r="W18" s="1"/>
      <c r="X18" s="1"/>
      <c r="AA18" s="1"/>
      <c r="AB18" s="1"/>
    </row>
    <row r="19" spans="11:28" x14ac:dyDescent="0.3">
      <c r="K19" s="1"/>
      <c r="L19" s="1"/>
      <c r="O19" s="1"/>
      <c r="P19" s="1"/>
      <c r="S19" s="1"/>
      <c r="T19" s="1"/>
      <c r="W19" s="1"/>
      <c r="X19" s="1"/>
      <c r="AA19" s="1"/>
      <c r="AB19" s="1"/>
    </row>
    <row r="20" spans="11:28" x14ac:dyDescent="0.3">
      <c r="K20" s="1"/>
      <c r="L20" s="1"/>
      <c r="O20" s="1"/>
      <c r="P20" s="1"/>
      <c r="S20" s="1"/>
      <c r="T20" s="1"/>
      <c r="W20" s="1"/>
      <c r="X20" s="1"/>
      <c r="AA20" s="1"/>
      <c r="AB20" s="1"/>
    </row>
    <row r="21" spans="11:28" x14ac:dyDescent="0.3">
      <c r="O21" s="1"/>
      <c r="P21" s="1"/>
      <c r="W21" s="1"/>
      <c r="X21" s="1"/>
      <c r="AA21" s="1"/>
      <c r="AB2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0049-32E8-4A5F-9E0D-76B6AE4CEEEE}">
  <dimension ref="A1:D39"/>
  <sheetViews>
    <sheetView workbookViewId="0">
      <pane ySplit="3" topLeftCell="A4" activePane="bottomLeft" state="frozen"/>
      <selection pane="bottomLeft"/>
    </sheetView>
  </sheetViews>
  <sheetFormatPr defaultRowHeight="14.4" x14ac:dyDescent="0.3"/>
  <sheetData>
    <row r="1" spans="1:4" x14ac:dyDescent="0.3">
      <c r="A1" t="s">
        <v>84</v>
      </c>
      <c r="C1" t="s">
        <v>82</v>
      </c>
      <c r="D1">
        <f>IF(idd!B1=1,B4,IF(idd!B1=2,B5,IF(idd!B1=3,B6,IF(idd!B1=4,B7,IF(idd!B1=5,B8,IF(idd!B1=6,B9,IF(idd!B1=7,B10,"")))))))</f>
        <v>97</v>
      </c>
    </row>
    <row r="3" spans="1:4" ht="15" thickBot="1" x14ac:dyDescent="0.35">
      <c r="A3" t="s">
        <v>64</v>
      </c>
    </row>
    <row r="4" spans="1:4" x14ac:dyDescent="0.3">
      <c r="A4" s="9">
        <v>1</v>
      </c>
      <c r="B4">
        <f>IF(calculator!C11=1%,0,IF(calculator!C11=2%,76,IF(calculator!C11=3%,96,IF(calculator!C11=4%,98,IF(calculator!C11=5%,99,IF(calculator!C11&gt;=6%,100,""))))))</f>
        <v>99</v>
      </c>
    </row>
    <row r="5" spans="1:4" x14ac:dyDescent="0.3">
      <c r="A5" s="10">
        <v>2</v>
      </c>
      <c r="B5">
        <f>IF(calculator!C11=1%,0,IF(calculator!C11=2%,29,IF(calculator!C11=3%,77,IF(calculator!C11=4%,92,IF(calculator!C11=5%,97,IF(calculator!C11=6%,99,IF(calculator!C11=7%,99,IF(calculator!C11=8%,99,IF(calculator!C11&gt;=9%,100,"")))))))))</f>
        <v>97</v>
      </c>
    </row>
    <row r="6" spans="1:4" x14ac:dyDescent="0.3">
      <c r="A6" s="10">
        <v>3</v>
      </c>
      <c r="B6">
        <f>IF(calculator!C11=2%,0,IF(calculator!C11=3%,47,IF(calculator!C11=4%,73,IF(calculator!C11=5%,88,IF(calculator!C11=6%,95,IF(calculator!C11=7%,97,IF(calculator!C11=8%,98,IF(calculator!C11=9%,99,IF(calculator!C11=10%,99,IF(calculator!C11&gt;=11%,100,""))))))))))</f>
        <v>88</v>
      </c>
    </row>
    <row r="7" spans="1:4" x14ac:dyDescent="0.3">
      <c r="A7" s="10">
        <v>4</v>
      </c>
      <c r="B7">
        <f>IF(calculator!C11=3%,0,IF(calculator!C11=4%,47,IF(calculator!C11=5%,68,IF(calculator!C11=6%,80,IF(calculator!C11=7%,90,IF(calculator!C11=8%,94,IF(calculator!C11=9%,96,IF(calculator!C11=10%,97,IF(calculator!C11=11%,99,IF(calculator!C11=12%,99,IF(calculator!C11&gt;=13%,100,"")))))))))))</f>
        <v>68</v>
      </c>
    </row>
    <row r="8" spans="1:4" x14ac:dyDescent="0.3">
      <c r="A8" s="10">
        <v>5</v>
      </c>
      <c r="B8">
        <f>IF(calculator!C11=4%,0,IF(calculator!C11=5%,35,IF(calculator!C11=6%,63,IF(calculator!C11=7%,76,IF(calculator!C11=8%,84,IF(calculator!C11=9%,91,IF(calculator!C11=10%,93,IF(calculator!C11=11%,96,IF(calculator!C11=12%,97,IF(calculator!C11=13%,98,IF(calculator!C11=14%,99,IF(calculator!C11=15%,99,IF(calculator!C11=16%,"&gt;=99",IF(calculator!C11&gt;=17%,100,""))))))))))))))</f>
        <v>35</v>
      </c>
    </row>
    <row r="9" spans="1:4" x14ac:dyDescent="0.3">
      <c r="A9" s="10">
        <v>6</v>
      </c>
      <c r="B9">
        <f>IF(calculator!C11=5%,0,IF(calculator!C11=6%,18,IF(calculator!C11=7%,45,IF(calculator!C11=8%,57,IF(calculator!C11=9%,70,IF(calculator!C11=10%,81,IF(calculator!C11=11%,86,IF(calculator!C11=12%,92,IF(calculator!C11=13%,96,IF(calculator!C11=14%,98,IF(calculator!C11=15%,98,IF(calculator!C11=16%,99,IF(calculator!C11&gt;=17%,100,"")))))))))))))</f>
        <v>0</v>
      </c>
    </row>
    <row r="10" spans="1:4" x14ac:dyDescent="0.3">
      <c r="A10" s="10">
        <v>7</v>
      </c>
      <c r="B10" t="str">
        <f>IF(calculator!C11=7%,0,IF(calculator!C11=8%,14,IF(calculator!C11=9%,39,IF(calculator!C11=10%,48,IF(calculator!C11=11%,63,IF(calculator!C11=12%,71,IF(calculator!C11=13%,85,IF(calculator!C11=14%,89,IF(calculator!C11=15%,93,IF(calculator!C11=16%,97,IF(calculator!C11=17%,"97-99",IF(calculator!C11=18%,"97-99",IF(calculator!C11=19%,99,IF(calculator!C11=20%,"&gt;=99",IF(calculator!C11=21%,"&gt;=99",IF(calculator!C11&gt;=22%,100,""))))))))))))))))</f>
        <v/>
      </c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  <row r="16" spans="1:4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  <row r="31" spans="1:1" x14ac:dyDescent="0.3">
      <c r="A31" s="10"/>
    </row>
    <row r="32" spans="1:1" x14ac:dyDescent="0.3">
      <c r="A32" s="10"/>
    </row>
    <row r="33" spans="1:1" x14ac:dyDescent="0.3">
      <c r="A33" s="10"/>
    </row>
    <row r="34" spans="1:1" x14ac:dyDescent="0.3">
      <c r="A34" s="10"/>
    </row>
    <row r="35" spans="1:1" x14ac:dyDescent="0.3">
      <c r="A35" s="10"/>
    </row>
    <row r="36" spans="1:1" x14ac:dyDescent="0.3">
      <c r="A36" s="10"/>
    </row>
    <row r="37" spans="1:1" x14ac:dyDescent="0.3">
      <c r="A37" s="10"/>
    </row>
    <row r="38" spans="1:1" x14ac:dyDescent="0.3">
      <c r="A38" s="10"/>
    </row>
    <row r="39" spans="1:1" ht="15" thickBot="1" x14ac:dyDescent="0.35">
      <c r="A39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59C2-FAF6-4A95-9870-5A508A75D58C}">
  <dimension ref="A1:E26"/>
  <sheetViews>
    <sheetView workbookViewId="0">
      <selection activeCell="B3" sqref="B3"/>
    </sheetView>
  </sheetViews>
  <sheetFormatPr defaultRowHeight="14.4" x14ac:dyDescent="0.3"/>
  <cols>
    <col min="1" max="1" width="41.88671875" customWidth="1"/>
    <col min="2" max="2" width="12.5546875" customWidth="1"/>
  </cols>
  <sheetData>
    <row r="1" spans="1:5" ht="18" thickBot="1" x14ac:dyDescent="0.4">
      <c r="A1" s="28" t="s">
        <v>108</v>
      </c>
      <c r="B1" s="28"/>
      <c r="C1" s="28"/>
    </row>
    <row r="2" spans="1:5" ht="15" thickTop="1" x14ac:dyDescent="0.3"/>
    <row r="3" spans="1:5" x14ac:dyDescent="0.3">
      <c r="A3" s="44" t="s">
        <v>109</v>
      </c>
      <c r="B3" s="25">
        <v>180</v>
      </c>
      <c r="C3" s="44" t="s">
        <v>2</v>
      </c>
    </row>
    <row r="5" spans="1:5" x14ac:dyDescent="0.3">
      <c r="A5" s="45" t="s">
        <v>110</v>
      </c>
      <c r="B5" s="45" t="s">
        <v>111</v>
      </c>
      <c r="C5" s="45"/>
      <c r="D5" s="46"/>
    </row>
    <row r="6" spans="1:5" x14ac:dyDescent="0.3">
      <c r="A6" s="26" t="s">
        <v>125</v>
      </c>
      <c r="B6" s="27" t="s">
        <v>22</v>
      </c>
      <c r="C6" s="47"/>
      <c r="D6" s="19" t="str">
        <f>IF(AND(A6="Rosuvastatin",AND(B6&lt;&gt;"5 mg",B6&lt;&gt;"10 mg",B6&lt;&gt;"20 mg",B6&lt;&gt;"40 mg")),"Select a dosage between 5 and 40 mg",IF(AND(A6="Atorvastatin",AND(B6&lt;&gt;"10 mg",B6&lt;&gt;"20 mg",B6&lt;&gt;"40 mg",B6&lt;&gt;"80 mg")),"Select a dosage between 10 and 80 mg",IF(AND(A6="Simvastatin",AND(B6&lt;&gt;"5 mg",B6&lt;&gt;"10 mg",B6&lt;&gt;"20 mg",B6&lt;&gt;"40 mg")),"Select a dosage between 5 and 40 mg",IF(AND(A6="Pitavastatin",AND(B6&lt;&gt;"1 mg",B6&lt;&gt;"2 mg",B6&lt;&gt;"4 mg")),"Select a dosage between 1 and 4 mg",IF(AND(A6="Pravastatin",AND(B6&lt;&gt;"10 mg",B6&lt;&gt;"20 mg",B6&lt;&gt;"40 mg",B6&lt;&gt;"80 mg")),"Select a dosage between 10 and 80 mg","")))))</f>
        <v/>
      </c>
    </row>
    <row r="7" spans="1:5" x14ac:dyDescent="0.3">
      <c r="A7" s="26"/>
      <c r="B7" s="48" t="s">
        <v>112</v>
      </c>
      <c r="C7" s="47"/>
      <c r="E7" s="6"/>
    </row>
    <row r="9" spans="1:5" x14ac:dyDescent="0.3">
      <c r="A9" s="44" t="s">
        <v>113</v>
      </c>
      <c r="B9" s="49">
        <f>drugs!Q9</f>
        <v>246.60000000000002</v>
      </c>
      <c r="C9" s="44" t="s">
        <v>2</v>
      </c>
    </row>
    <row r="12" spans="1:5" ht="15" thickBot="1" x14ac:dyDescent="0.35">
      <c r="A12" s="23" t="s">
        <v>114</v>
      </c>
    </row>
    <row r="13" spans="1:5" x14ac:dyDescent="0.3">
      <c r="A13" t="s">
        <v>115</v>
      </c>
    </row>
    <row r="14" spans="1:5" x14ac:dyDescent="0.3">
      <c r="A14" t="s">
        <v>116</v>
      </c>
    </row>
    <row r="15" spans="1:5" x14ac:dyDescent="0.3">
      <c r="A15" t="s">
        <v>117</v>
      </c>
    </row>
    <row r="17" spans="1:1" x14ac:dyDescent="0.3">
      <c r="A17" t="s">
        <v>118</v>
      </c>
    </row>
    <row r="18" spans="1:1" x14ac:dyDescent="0.3">
      <c r="A18" t="s">
        <v>119</v>
      </c>
    </row>
    <row r="20" spans="1:1" ht="15" thickBot="1" x14ac:dyDescent="0.35">
      <c r="A20" s="23" t="s">
        <v>36</v>
      </c>
    </row>
    <row r="21" spans="1:1" x14ac:dyDescent="0.3">
      <c r="A21" t="s">
        <v>138</v>
      </c>
    </row>
    <row r="22" spans="1:1" x14ac:dyDescent="0.3">
      <c r="A22" t="s">
        <v>139</v>
      </c>
    </row>
    <row r="23" spans="1:1" x14ac:dyDescent="0.3">
      <c r="A23" t="s">
        <v>140</v>
      </c>
    </row>
    <row r="24" spans="1:1" x14ac:dyDescent="0.3">
      <c r="A24" t="s">
        <v>141</v>
      </c>
    </row>
    <row r="25" spans="1:1" x14ac:dyDescent="0.3">
      <c r="A25" t="s">
        <v>142</v>
      </c>
    </row>
    <row r="26" spans="1:1" x14ac:dyDescent="0.3">
      <c r="A26" t="s">
        <v>143</v>
      </c>
    </row>
  </sheetData>
  <sheetProtection algorithmName="SHA-512" hashValue="PJcqGKgnFqnmrt72L1cXygRjDQcaML1L7YdTRWBjPZ4KwoUPSPR8jnhYxlLsID4vY3ne6ojvfFm0527M9E8lGg==" saltValue="ark4x9LW2JLh45qp9l1ItA==" spinCount="100000" sheet="1" objects="1" scenarios="1"/>
  <sortState xmlns:xlrd2="http://schemas.microsoft.com/office/spreadsheetml/2017/richdata2" ref="A21:A26">
    <sortCondition ref="A21:A26"/>
  </sortState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9" r:id="rId4" name="Check Box 7">
              <controlPr defaultSize="0" autoFill="0" autoLine="0" autoPict="0">
                <anchor moveWithCells="1">
                  <from>
                    <xdr:col>0</xdr:col>
                    <xdr:colOff>2362200</xdr:colOff>
                    <xdr:row>5</xdr:row>
                    <xdr:rowOff>114300</xdr:rowOff>
                  </from>
                  <to>
                    <xdr:col>0</xdr:col>
                    <xdr:colOff>2773680</xdr:colOff>
                    <xdr:row>7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07DED38-D51C-4A9A-8FA4-0BD69BC8D12F}">
          <x14:formula1>
            <xm:f>drugs!$B$2:$B$10</xm:f>
          </x14:formula1>
          <xm:sqref>B6</xm:sqref>
        </x14:dataValidation>
        <x14:dataValidation type="list" allowBlank="1" showInputMessage="1" showErrorMessage="1" xr:uid="{69EDA921-0C14-4AF4-9C75-0C16E6DFB31D}">
          <x14:formula1>
            <xm:f>drugs!$A$2:$A$7</xm:f>
          </x14:formula1>
          <xm:sqref>A6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5B19-2590-4EAE-8097-184239D32447}">
  <dimension ref="A1:Q33"/>
  <sheetViews>
    <sheetView workbookViewId="0">
      <pane ySplit="12" topLeftCell="A13" activePane="bottomLeft" state="frozen"/>
      <selection pane="bottomLeft"/>
    </sheetView>
  </sheetViews>
  <sheetFormatPr defaultRowHeight="14.4" x14ac:dyDescent="0.3"/>
  <cols>
    <col min="1" max="1" width="18.33203125" style="4" bestFit="1" customWidth="1"/>
    <col min="2" max="2" width="10.5546875" style="4" customWidth="1"/>
    <col min="3" max="4" width="8.88671875" style="4"/>
    <col min="5" max="5" width="22.21875" style="4" bestFit="1" customWidth="1"/>
    <col min="6" max="6" width="17.21875" style="4" bestFit="1" customWidth="1"/>
    <col min="7" max="9" width="8.88671875" style="4"/>
    <col min="10" max="10" width="15.44140625" style="4" bestFit="1" customWidth="1"/>
    <col min="16" max="16" width="19.33203125" customWidth="1"/>
  </cols>
  <sheetData>
    <row r="1" spans="1:17" x14ac:dyDescent="0.3">
      <c r="A1" s="4" t="s">
        <v>25</v>
      </c>
      <c r="B1" s="4" t="s">
        <v>14</v>
      </c>
      <c r="E1" s="4" t="s">
        <v>41</v>
      </c>
      <c r="F1" s="4" t="s">
        <v>42</v>
      </c>
      <c r="G1" s="4" t="s">
        <v>43</v>
      </c>
      <c r="J1" s="4" t="s">
        <v>32</v>
      </c>
      <c r="P1" t="s">
        <v>38</v>
      </c>
    </row>
    <row r="2" spans="1:17" x14ac:dyDescent="0.3">
      <c r="A2" s="4" t="s">
        <v>120</v>
      </c>
      <c r="B2" s="5" t="s">
        <v>37</v>
      </c>
      <c r="E2" s="4" t="s">
        <v>15</v>
      </c>
      <c r="F2" s="4">
        <v>19</v>
      </c>
      <c r="G2" s="7">
        <f>F2/100</f>
        <v>0.19</v>
      </c>
      <c r="I2" s="7">
        <f>1-G2</f>
        <v>0.81</v>
      </c>
      <c r="J2" s="7">
        <f>1/I2</f>
        <v>1.2345679012345678</v>
      </c>
      <c r="L2" t="s">
        <v>33</v>
      </c>
      <c r="P2" t="b">
        <v>0</v>
      </c>
    </row>
    <row r="3" spans="1:17" x14ac:dyDescent="0.3">
      <c r="A3" s="4" t="s">
        <v>121</v>
      </c>
      <c r="B3" s="5" t="s">
        <v>29</v>
      </c>
      <c r="E3" s="4" t="s">
        <v>3</v>
      </c>
      <c r="F3" s="4">
        <v>23</v>
      </c>
      <c r="G3" s="7">
        <f t="shared" ref="G3:G5" si="0">F3/100</f>
        <v>0.23</v>
      </c>
      <c r="I3" s="7">
        <f t="shared" ref="I3:I10" si="1">1-G3</f>
        <v>0.77</v>
      </c>
      <c r="J3" s="7">
        <f t="shared" ref="J3:J10" si="2">1/I3</f>
        <v>1.2987012987012987</v>
      </c>
      <c r="L3" t="s">
        <v>90</v>
      </c>
    </row>
    <row r="4" spans="1:17" x14ac:dyDescent="0.3">
      <c r="A4" s="4" t="s">
        <v>122</v>
      </c>
      <c r="B4" s="5" t="s">
        <v>30</v>
      </c>
      <c r="E4" s="4" t="s">
        <v>4</v>
      </c>
      <c r="F4" s="4">
        <v>27</v>
      </c>
      <c r="G4" s="7">
        <f t="shared" si="0"/>
        <v>0.27</v>
      </c>
      <c r="I4" s="7">
        <f t="shared" si="1"/>
        <v>0.73</v>
      </c>
      <c r="J4" s="7">
        <f t="shared" si="2"/>
        <v>1.3698630136986301</v>
      </c>
      <c r="L4" t="s">
        <v>34</v>
      </c>
      <c r="P4" t="s">
        <v>39</v>
      </c>
      <c r="Q4">
        <f>simulation_total_cholesterol!B3</f>
        <v>180</v>
      </c>
    </row>
    <row r="5" spans="1:17" x14ac:dyDescent="0.3">
      <c r="A5" s="4" t="s">
        <v>123</v>
      </c>
      <c r="B5" s="5" t="s">
        <v>31</v>
      </c>
      <c r="E5" s="4" t="s">
        <v>5</v>
      </c>
      <c r="F5" s="4">
        <v>31</v>
      </c>
      <c r="G5" s="7">
        <f t="shared" si="0"/>
        <v>0.31</v>
      </c>
      <c r="I5" s="7">
        <f>1-G5</f>
        <v>0.69</v>
      </c>
      <c r="J5" s="7">
        <f t="shared" si="2"/>
        <v>1.4492753623188408</v>
      </c>
      <c r="L5" t="s">
        <v>35</v>
      </c>
      <c r="P5" t="s">
        <v>40</v>
      </c>
      <c r="Q5" s="3">
        <f>IF(AND(simulation_total_cholesterol!A6="None",P2=TRUE),drugs!J26,IF(AND(simulation_total_cholesterol!A6="None",P2=FALSE),1,IF(AND(simulation_total_cholesterol!A6&lt;&gt;"None",P2=TRUE),drugs!J27,IF(AND(simulation_total_cholesterol!A6&lt;&gt;"None",P2=FALSE),1,""))))</f>
        <v>1</v>
      </c>
    </row>
    <row r="6" spans="1:17" x14ac:dyDescent="0.3">
      <c r="A6" s="4" t="s">
        <v>124</v>
      </c>
      <c r="B6" s="5" t="s">
        <v>20</v>
      </c>
      <c r="G6" s="7"/>
      <c r="I6" s="7"/>
      <c r="J6" s="7"/>
      <c r="P6" t="s">
        <v>46</v>
      </c>
      <c r="Q6" s="1">
        <f>Q4*Q5</f>
        <v>180</v>
      </c>
    </row>
    <row r="7" spans="1:17" x14ac:dyDescent="0.3">
      <c r="A7" s="4" t="s">
        <v>125</v>
      </c>
      <c r="B7" s="5" t="s">
        <v>21</v>
      </c>
      <c r="E7" s="4" t="s">
        <v>6</v>
      </c>
      <c r="F7" s="4">
        <f>29+4</f>
        <v>33</v>
      </c>
      <c r="G7" s="7">
        <f t="shared" ref="G7:G10" si="3">F7/100</f>
        <v>0.33</v>
      </c>
      <c r="I7" s="7">
        <f t="shared" si="1"/>
        <v>0.66999999999999993</v>
      </c>
      <c r="J7" s="7">
        <f t="shared" si="2"/>
        <v>1.4925373134328359</v>
      </c>
    </row>
    <row r="8" spans="1:17" x14ac:dyDescent="0.3">
      <c r="B8" s="5" t="s">
        <v>22</v>
      </c>
      <c r="E8" s="4" t="s">
        <v>7</v>
      </c>
      <c r="F8" s="4">
        <f>33+4</f>
        <v>37</v>
      </c>
      <c r="G8" s="7">
        <f t="shared" si="3"/>
        <v>0.37</v>
      </c>
      <c r="I8" s="7">
        <f t="shared" si="1"/>
        <v>0.63</v>
      </c>
      <c r="J8" s="7">
        <f t="shared" si="2"/>
        <v>1.5873015873015872</v>
      </c>
      <c r="P8" t="s">
        <v>47</v>
      </c>
      <c r="Q8">
        <f>IF(simulation_total_cholesterol!A6="None",1,
IF(AND(simulation_total_cholesterol!A6="Simvastatin",simulation_total_cholesterol!B6="5 mg"),1.23, IF(AND(simulation_total_cholesterol!A6="Simvastatin",simulation_total_cholesterol!B6="10 mg"),1.3, IF(AND(simulation_total_cholesterol!A6="Simvastatin",simulation_total_cholesterol!B6="20 mg"),1.37, IF(AND(simulation_total_cholesterol!A6="Simvastatin",simulation_total_cholesterol!B6="40 mg"),1.45, IF(AND(simulation_total_cholesterol!A6="Atorvastatin",simulation_total_cholesterol!B6="10 mg"),1.49, IF(AND(simulation_total_cholesterol!A6="Atorvastatin",simulation_total_cholesterol!B6="20 mg"),1.59, IF(AND(simulation_total_cholesterol!A6="Atorvastatin",simulation_total_cholesterol!B6="40 mg"),1.69, IF(AND(simulation_total_cholesterol!A6="Atorvastatin",simulation_total_cholesterol!B6="80 mg"),1.96, IF(AND(simulation_total_cholesterol!A6="Rosuvastatin",simulation_total_cholesterol!B6="5 mg"),1.39, IF(AND(simulation_total_cholesterol!A6="Rosuvastatin",simulation_total_cholesterol!B6="10 mg"),1.45, IF(AND(simulation_total_cholesterol!A6="Rosuvastatin",simulation_total_cholesterol!B6="20 mg"),1.54, IF(AND(simulation_total_cholesterol!A6="Rosuvastatin",simulation_total_cholesterol!B6="40 mg"),1.69, IF(AND(simulation_total_cholesterol!A6="Pravastatin",simulation_total_cholesterol!B6="10 mg"),1.15, IF(AND(simulation_total_cholesterol!A6="Pravastatin",simulation_total_cholesterol!B6="20 mg"),1.27, IF(AND(simulation_total_cholesterol!A6="Pravastatin",simulation_total_cholesterol!B6="40 mg"),1.28, IF(AND(simulation_total_cholesterol!A6="Pravastatin",simulation_total_cholesterol!B6="80 mg"),1.37, IF(AND(simulation_total_cholesterol!A6="Pitavastatin",simulation_total_cholesterol!B6="1 mg"),1.28, IF(AND(simulation_total_cholesterol!A6="Pitavastatin",simulation_total_cholesterol!B6="2 mg"),1.39, IF(AND(simulation_total_cholesterol!A6="Pitavastatin",simulation_total_cholesterol!B6="4 mg"),1.47,
""))))))))))))))))))))</f>
        <v>1.37</v>
      </c>
    </row>
    <row r="9" spans="1:17" x14ac:dyDescent="0.3">
      <c r="B9" s="5" t="s">
        <v>23</v>
      </c>
      <c r="E9" s="4" t="s">
        <v>8</v>
      </c>
      <c r="F9" s="4">
        <f>37+4</f>
        <v>41</v>
      </c>
      <c r="G9" s="7">
        <f t="shared" si="3"/>
        <v>0.41</v>
      </c>
      <c r="I9" s="7">
        <f t="shared" si="1"/>
        <v>0.59000000000000008</v>
      </c>
      <c r="J9" s="7">
        <f t="shared" si="2"/>
        <v>1.6949152542372878</v>
      </c>
      <c r="P9" t="s">
        <v>48</v>
      </c>
      <c r="Q9" s="1">
        <f>Q6*Q8</f>
        <v>246.60000000000002</v>
      </c>
    </row>
    <row r="10" spans="1:17" x14ac:dyDescent="0.3">
      <c r="B10" s="5" t="s">
        <v>24</v>
      </c>
      <c r="E10" s="4" t="s">
        <v>9</v>
      </c>
      <c r="F10" s="4">
        <f>45+4</f>
        <v>49</v>
      </c>
      <c r="G10" s="7">
        <f t="shared" si="3"/>
        <v>0.49</v>
      </c>
      <c r="I10" s="7">
        <f t="shared" si="1"/>
        <v>0.51</v>
      </c>
      <c r="J10" s="7">
        <f t="shared" si="2"/>
        <v>1.9607843137254901</v>
      </c>
    </row>
    <row r="11" spans="1:17" x14ac:dyDescent="0.3">
      <c r="B11" s="5"/>
    </row>
    <row r="12" spans="1:17" x14ac:dyDescent="0.3">
      <c r="B12" s="5"/>
      <c r="E12" s="4" t="s">
        <v>10</v>
      </c>
      <c r="F12" s="4">
        <f>33-5</f>
        <v>28</v>
      </c>
      <c r="G12" s="7">
        <f>F12/100</f>
        <v>0.28000000000000003</v>
      </c>
      <c r="I12" s="7">
        <f>1-G12</f>
        <v>0.72</v>
      </c>
      <c r="J12" s="7">
        <f>1/I12</f>
        <v>1.3888888888888888</v>
      </c>
      <c r="Q12" s="1"/>
    </row>
    <row r="13" spans="1:17" x14ac:dyDescent="0.3">
      <c r="B13" s="5"/>
      <c r="E13" s="4" t="s">
        <v>11</v>
      </c>
      <c r="F13" s="4">
        <f>36-5</f>
        <v>31</v>
      </c>
      <c r="G13" s="7">
        <f>F13/100</f>
        <v>0.31</v>
      </c>
      <c r="I13" s="7">
        <f>1-G13</f>
        <v>0.69</v>
      </c>
      <c r="J13" s="7">
        <f>1/I13</f>
        <v>1.4492753623188408</v>
      </c>
    </row>
    <row r="14" spans="1:17" x14ac:dyDescent="0.3">
      <c r="B14" s="5"/>
      <c r="E14" s="4" t="s">
        <v>12</v>
      </c>
      <c r="F14" s="4">
        <f>40-5</f>
        <v>35</v>
      </c>
      <c r="G14" s="7">
        <f>F14/100</f>
        <v>0.35</v>
      </c>
      <c r="I14" s="7">
        <f>1-G14</f>
        <v>0.65</v>
      </c>
      <c r="J14" s="7">
        <f>1/I14</f>
        <v>1.5384615384615383</v>
      </c>
      <c r="M14" s="3"/>
    </row>
    <row r="15" spans="1:17" x14ac:dyDescent="0.3">
      <c r="B15" s="5"/>
      <c r="E15" s="4" t="s">
        <v>13</v>
      </c>
      <c r="F15" s="4">
        <f>46-5</f>
        <v>41</v>
      </c>
      <c r="G15" s="7">
        <f>F15/100</f>
        <v>0.41</v>
      </c>
      <c r="I15" s="7">
        <f>1-G15</f>
        <v>0.59000000000000008</v>
      </c>
      <c r="J15" s="7">
        <f>1/I15</f>
        <v>1.6949152542372878</v>
      </c>
      <c r="Q15" s="1"/>
    </row>
    <row r="17" spans="5:17" x14ac:dyDescent="0.3">
      <c r="E17" s="4" t="s">
        <v>16</v>
      </c>
      <c r="F17" s="4">
        <f>16-3</f>
        <v>13</v>
      </c>
      <c r="G17" s="7">
        <f>F17/100</f>
        <v>0.13</v>
      </c>
      <c r="I17" s="7">
        <f>1-G17</f>
        <v>0.87</v>
      </c>
      <c r="J17" s="7">
        <f>1/I17</f>
        <v>1.1494252873563218</v>
      </c>
    </row>
    <row r="18" spans="5:17" x14ac:dyDescent="0.3">
      <c r="E18" s="4" t="s">
        <v>17</v>
      </c>
      <c r="F18" s="4">
        <f>24-3</f>
        <v>21</v>
      </c>
      <c r="G18" s="7">
        <f>F18/100</f>
        <v>0.21</v>
      </c>
      <c r="I18" s="7">
        <f>1-G18</f>
        <v>0.79</v>
      </c>
      <c r="J18" s="7">
        <f>1/I18</f>
        <v>1.2658227848101264</v>
      </c>
      <c r="P18" s="6"/>
    </row>
    <row r="19" spans="5:17" x14ac:dyDescent="0.3">
      <c r="E19" s="4" t="s">
        <v>18</v>
      </c>
      <c r="F19" s="4">
        <f>25-3</f>
        <v>22</v>
      </c>
      <c r="G19" s="7">
        <f>F19/100</f>
        <v>0.22</v>
      </c>
      <c r="I19" s="7">
        <f>1-G19</f>
        <v>0.78</v>
      </c>
      <c r="J19" s="7">
        <f>1/I19</f>
        <v>1.2820512820512819</v>
      </c>
    </row>
    <row r="20" spans="5:17" x14ac:dyDescent="0.3">
      <c r="E20" s="4" t="s">
        <v>19</v>
      </c>
      <c r="F20" s="4">
        <v>27</v>
      </c>
      <c r="G20" s="7">
        <f>F20/100</f>
        <v>0.27</v>
      </c>
      <c r="I20" s="7">
        <f>1-G20</f>
        <v>0.73</v>
      </c>
      <c r="J20" s="7">
        <f>1/I20</f>
        <v>1.3698630136986301</v>
      </c>
    </row>
    <row r="21" spans="5:17" x14ac:dyDescent="0.3">
      <c r="G21" s="7"/>
      <c r="I21" s="7"/>
      <c r="J21" s="7"/>
    </row>
    <row r="22" spans="5:17" x14ac:dyDescent="0.3">
      <c r="E22" s="4" t="s">
        <v>26</v>
      </c>
      <c r="F22" s="4">
        <v>22</v>
      </c>
      <c r="G22" s="7">
        <f>F22/100</f>
        <v>0.22</v>
      </c>
      <c r="I22" s="7">
        <f>1-G22</f>
        <v>0.78</v>
      </c>
      <c r="J22" s="7">
        <f>1/I22</f>
        <v>1.2820512820512819</v>
      </c>
    </row>
    <row r="23" spans="5:17" x14ac:dyDescent="0.3">
      <c r="E23" s="4" t="s">
        <v>27</v>
      </c>
      <c r="F23" s="4">
        <v>28</v>
      </c>
      <c r="G23" s="7">
        <f>F23/100</f>
        <v>0.28000000000000003</v>
      </c>
      <c r="I23" s="7">
        <f>1-G23</f>
        <v>0.72</v>
      </c>
      <c r="J23" s="7">
        <f>1/I23</f>
        <v>1.3888888888888888</v>
      </c>
    </row>
    <row r="24" spans="5:17" x14ac:dyDescent="0.3">
      <c r="E24" s="4" t="s">
        <v>28</v>
      </c>
      <c r="F24" s="4">
        <v>32</v>
      </c>
      <c r="G24" s="7">
        <f>F24/100</f>
        <v>0.32</v>
      </c>
      <c r="I24" s="7">
        <f>1-G24</f>
        <v>0.67999999999999994</v>
      </c>
      <c r="J24" s="7">
        <f>1/I24</f>
        <v>1.4705882352941178</v>
      </c>
      <c r="Q24" s="8"/>
    </row>
    <row r="26" spans="5:17" x14ac:dyDescent="0.3">
      <c r="E26" s="4" t="s">
        <v>44</v>
      </c>
      <c r="F26" s="4">
        <v>13</v>
      </c>
      <c r="G26" s="7">
        <f>F26/100</f>
        <v>0.13</v>
      </c>
      <c r="I26" s="7">
        <f>1-G26</f>
        <v>0.87</v>
      </c>
      <c r="J26" s="7">
        <f>1/I26</f>
        <v>1.1494252873563218</v>
      </c>
    </row>
    <row r="27" spans="5:17" x14ac:dyDescent="0.3">
      <c r="E27" s="4" t="s">
        <v>45</v>
      </c>
      <c r="F27" s="4">
        <v>15</v>
      </c>
      <c r="G27" s="7">
        <f>F27/100</f>
        <v>0.15</v>
      </c>
      <c r="I27" s="7">
        <f>1-G27</f>
        <v>0.85</v>
      </c>
      <c r="J27" s="7">
        <f>1/I27</f>
        <v>1.1764705882352942</v>
      </c>
    </row>
    <row r="28" spans="5:17" x14ac:dyDescent="0.3">
      <c r="G28" s="7"/>
      <c r="I28" s="7"/>
      <c r="J28" s="7"/>
    </row>
    <row r="29" spans="5:17" x14ac:dyDescent="0.3">
      <c r="G29" s="7"/>
      <c r="I29" s="7"/>
      <c r="J29" s="7"/>
    </row>
    <row r="30" spans="5:17" x14ac:dyDescent="0.3">
      <c r="G30" s="7"/>
      <c r="I30" s="7"/>
      <c r="J30" s="7"/>
      <c r="P30" s="6"/>
    </row>
    <row r="31" spans="5:17" x14ac:dyDescent="0.3">
      <c r="G31" s="7"/>
    </row>
    <row r="33" spans="16:16" x14ac:dyDescent="0.3">
      <c r="P3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35F9-0116-4FDB-A8BA-646E2FD453E7}">
  <dimension ref="A1:B5"/>
  <sheetViews>
    <sheetView workbookViewId="0">
      <selection activeCell="A5" sqref="A5"/>
    </sheetView>
  </sheetViews>
  <sheetFormatPr defaultRowHeight="14.4" x14ac:dyDescent="0.3"/>
  <cols>
    <col min="1" max="1" width="21.6640625" customWidth="1"/>
    <col min="2" max="2" width="26.33203125" customWidth="1"/>
    <col min="3" max="3" width="11.44140625" customWidth="1"/>
  </cols>
  <sheetData>
    <row r="1" spans="1:2" ht="18" thickBot="1" x14ac:dyDescent="0.4">
      <c r="A1" s="28" t="s">
        <v>144</v>
      </c>
    </row>
    <row r="2" spans="1:2" ht="15" thickTop="1" x14ac:dyDescent="0.3"/>
    <row r="3" spans="1:2" x14ac:dyDescent="0.3">
      <c r="A3" s="60" t="s">
        <v>146</v>
      </c>
      <c r="B3" s="60"/>
    </row>
    <row r="4" spans="1:2" x14ac:dyDescent="0.3">
      <c r="A4" s="50" t="s">
        <v>145</v>
      </c>
      <c r="B4" s="50" t="s">
        <v>147</v>
      </c>
    </row>
    <row r="5" spans="1:2" x14ac:dyDescent="0.3">
      <c r="A5" s="29">
        <v>5.2</v>
      </c>
      <c r="B5" s="5">
        <f>A5*38.66976</f>
        <v>201.082752</v>
      </c>
    </row>
  </sheetData>
  <sheetProtection algorithmName="SHA-512" hashValue="AkagqxQOnvyVohLxemHOAxb4NobaQlO0DbXLgu/xqCPqHAHKuAMNT2R7syiY/m5Pl/mcRxOVVCn/wI/k/1mMnw==" saltValue="O8pK34FZdkvV8FicwAhk8w==" spinCount="100000" sheet="1" objects="1" scenarios="1"/>
  <mergeCells count="1"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BAA51-86B1-4430-9151-42933BD7C38F}">
  <dimension ref="A1:B10"/>
  <sheetViews>
    <sheetView workbookViewId="0"/>
  </sheetViews>
  <sheetFormatPr defaultRowHeight="14.4" x14ac:dyDescent="0.3"/>
  <sheetData>
    <row r="1" spans="1:2" x14ac:dyDescent="0.3">
      <c r="A1" t="s">
        <v>64</v>
      </c>
      <c r="B1">
        <f>IF(AND(calculator!C5&gt;=40,calculator!C5&lt;45),1,IF(AND(calculator!C5&gt;=45,calculator!C5&lt;50),2,IF(AND(calculator!C5&gt;=50,calculator!C5&lt;55),3,IF(AND(calculator!C5&gt;=55,calculator!C5&lt;60),4,IF(AND(calculator!C5&gt;=60,calculator!C5&lt;65),5,IF(AND(calculator!C5&gt;=65,calculator!C5&lt;70),6,IF(AND(calculator!C5&gt;=70,calculator!C5&lt;75),7,"erro")))))))</f>
        <v>2</v>
      </c>
    </row>
    <row r="3" spans="1:2" x14ac:dyDescent="0.3">
      <c r="A3" t="s">
        <v>65</v>
      </c>
      <c r="B3" t="s">
        <v>64</v>
      </c>
    </row>
    <row r="4" spans="1:2" x14ac:dyDescent="0.3">
      <c r="A4" t="s">
        <v>66</v>
      </c>
      <c r="B4">
        <v>1</v>
      </c>
    </row>
    <row r="5" spans="1:2" x14ac:dyDescent="0.3">
      <c r="A5" t="s">
        <v>67</v>
      </c>
      <c r="B5">
        <v>2</v>
      </c>
    </row>
    <row r="6" spans="1:2" x14ac:dyDescent="0.3">
      <c r="A6" t="s">
        <v>68</v>
      </c>
      <c r="B6">
        <v>3</v>
      </c>
    </row>
    <row r="7" spans="1:2" x14ac:dyDescent="0.3">
      <c r="A7" t="s">
        <v>69</v>
      </c>
      <c r="B7">
        <v>4</v>
      </c>
    </row>
    <row r="8" spans="1:2" x14ac:dyDescent="0.3">
      <c r="A8" t="s">
        <v>70</v>
      </c>
      <c r="B8">
        <v>5</v>
      </c>
    </row>
    <row r="9" spans="1:2" x14ac:dyDescent="0.3">
      <c r="A9" t="s">
        <v>71</v>
      </c>
      <c r="B9">
        <v>6</v>
      </c>
    </row>
    <row r="10" spans="1:2" x14ac:dyDescent="0.3">
      <c r="A10" t="s">
        <v>72</v>
      </c>
      <c r="B10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DC86-2057-4096-A561-702D46B45E6D}">
  <dimension ref="A1:B8"/>
  <sheetViews>
    <sheetView workbookViewId="0"/>
  </sheetViews>
  <sheetFormatPr defaultRowHeight="14.4" x14ac:dyDescent="0.3"/>
  <sheetData>
    <row r="1" spans="1:2" x14ac:dyDescent="0.3">
      <c r="A1" t="s">
        <v>57</v>
      </c>
      <c r="B1">
        <f>IF(calculator!C6&lt;120,1,IF(AND(calculator!C6&gt;=120,calculator!C6&lt;140),2,IF(AND(calculator!C6&gt;=140,calculator!C6&lt;160),3,IF(AND(calculator!C6&gt;=160,calculator!C6&lt;180),4,IF(calculator!C6&gt;=180,5,"erro")))))</f>
        <v>2</v>
      </c>
    </row>
    <row r="3" spans="1:2" x14ac:dyDescent="0.3">
      <c r="A3" t="s">
        <v>58</v>
      </c>
      <c r="B3" t="s">
        <v>57</v>
      </c>
    </row>
    <row r="4" spans="1:2" x14ac:dyDescent="0.3">
      <c r="A4" t="s">
        <v>59</v>
      </c>
      <c r="B4">
        <v>1</v>
      </c>
    </row>
    <row r="5" spans="1:2" x14ac:dyDescent="0.3">
      <c r="A5" t="s">
        <v>60</v>
      </c>
      <c r="B5">
        <v>2</v>
      </c>
    </row>
    <row r="6" spans="1:2" x14ac:dyDescent="0.3">
      <c r="A6" t="s">
        <v>61</v>
      </c>
      <c r="B6">
        <v>3</v>
      </c>
    </row>
    <row r="7" spans="1:2" x14ac:dyDescent="0.3">
      <c r="A7" t="s">
        <v>62</v>
      </c>
      <c r="B7">
        <v>4</v>
      </c>
    </row>
    <row r="8" spans="1:2" x14ac:dyDescent="0.3">
      <c r="A8" t="s">
        <v>63</v>
      </c>
      <c r="B8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FFCF-A958-4866-845C-EE1A0F1ED246}">
  <dimension ref="A1:B10"/>
  <sheetViews>
    <sheetView workbookViewId="0"/>
  </sheetViews>
  <sheetFormatPr defaultRowHeight="14.4" x14ac:dyDescent="0.3"/>
  <cols>
    <col min="1" max="1" width="15.33203125" customWidth="1"/>
  </cols>
  <sheetData>
    <row r="1" spans="1:2" x14ac:dyDescent="0.3">
      <c r="A1" t="s">
        <v>49</v>
      </c>
    </row>
    <row r="2" spans="1:2" x14ac:dyDescent="0.3">
      <c r="A2" t="s">
        <v>50</v>
      </c>
      <c r="B2">
        <f>calculator!C7* 0.02586</f>
        <v>5.1720000000000006</v>
      </c>
    </row>
    <row r="3" spans="1:2" x14ac:dyDescent="0.3">
      <c r="A3" t="s">
        <v>51</v>
      </c>
      <c r="B3">
        <f>IF(B2&lt;4,1,IF(AND(B2&gt;=4,B2&lt;5),2,IF(AND(B2&gt;=5,B2&lt;6),3,IF(AND(B2&gt;=6,B2&lt;7),4,IF(B2&gt;=7,5,"erro")))))</f>
        <v>3</v>
      </c>
    </row>
    <row r="5" spans="1:2" x14ac:dyDescent="0.3">
      <c r="A5" t="s">
        <v>50</v>
      </c>
      <c r="B5" t="s">
        <v>51</v>
      </c>
    </row>
    <row r="6" spans="1:2" x14ac:dyDescent="0.3">
      <c r="A6" t="s">
        <v>52</v>
      </c>
      <c r="B6">
        <v>1</v>
      </c>
    </row>
    <row r="7" spans="1:2" x14ac:dyDescent="0.3">
      <c r="A7" t="s">
        <v>53</v>
      </c>
      <c r="B7">
        <v>2</v>
      </c>
    </row>
    <row r="8" spans="1:2" x14ac:dyDescent="0.3">
      <c r="A8" t="s">
        <v>54</v>
      </c>
      <c r="B8">
        <v>3</v>
      </c>
    </row>
    <row r="9" spans="1:2" x14ac:dyDescent="0.3">
      <c r="A9" t="s">
        <v>55</v>
      </c>
      <c r="B9">
        <v>4</v>
      </c>
    </row>
    <row r="10" spans="1:2" x14ac:dyDescent="0.3">
      <c r="A10" t="s">
        <v>56</v>
      </c>
      <c r="B10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7B6C-D025-46F9-BA89-9F21EF5AEFF1}">
  <dimension ref="A1:G11"/>
  <sheetViews>
    <sheetView workbookViewId="0"/>
  </sheetViews>
  <sheetFormatPr defaultRowHeight="14.4" x14ac:dyDescent="0.3"/>
  <sheetData>
    <row r="1" spans="1:7" x14ac:dyDescent="0.3">
      <c r="A1" t="s">
        <v>78</v>
      </c>
      <c r="B1">
        <f>IF(AND(calculator!C9="n",calculator!C4="m",calculator!C8="n"),1,IF(AND(calculator!C9="n",calculator!C4="m",calculator!C8="y"),2,IF(AND(calculator!C9="n",calculator!C4="f",calculator!C8="n"),3,IF(AND(calculator!C9="n",calculator!C4="f",calculator!C8="y"),4,IF(AND(calculator!C9="y",calculator!C4="m",calculator!C8="n"),5,IF(AND(calculator!C9="y",calculator!C4="m",calculator!C8="y"),6,IF(AND(calculator!C9="y",calculator!C4="f",calculator!C8="n"),7,IF(AND(calculator!C9="y",calculator!C4="f",calculator!C8="y"),8,"erro"))))))))</f>
        <v>2</v>
      </c>
      <c r="F1" t="s">
        <v>74</v>
      </c>
      <c r="G1">
        <f>IF(B1=1,'gr1'!F2,IF(B1=2,'gr2'!F2,IF(B1=3,'gr3'!F2,IF(B1=4,'gr4'!F2,IF(B1=5,'gr5'!F2,IF(B1=6,'gr6'!F2,IF(B1=7,'gr7'!F2,IF(B1=8,'gr8'!F2,"erro"))))))))</f>
        <v>5</v>
      </c>
    </row>
    <row r="3" spans="1:7" x14ac:dyDescent="0.3">
      <c r="A3" t="s">
        <v>78</v>
      </c>
      <c r="B3" t="s">
        <v>73</v>
      </c>
      <c r="C3" t="s">
        <v>79</v>
      </c>
      <c r="D3" t="s">
        <v>75</v>
      </c>
    </row>
    <row r="4" spans="1:7" x14ac:dyDescent="0.3">
      <c r="A4">
        <v>1</v>
      </c>
      <c r="B4" t="s">
        <v>76</v>
      </c>
      <c r="C4" t="s">
        <v>77</v>
      </c>
      <c r="D4" t="s">
        <v>76</v>
      </c>
    </row>
    <row r="5" spans="1:7" x14ac:dyDescent="0.3">
      <c r="A5">
        <v>2</v>
      </c>
      <c r="B5" t="s">
        <v>76</v>
      </c>
      <c r="C5" t="s">
        <v>77</v>
      </c>
      <c r="D5" t="s">
        <v>80</v>
      </c>
    </row>
    <row r="6" spans="1:7" x14ac:dyDescent="0.3">
      <c r="A6">
        <v>3</v>
      </c>
      <c r="B6" t="s">
        <v>76</v>
      </c>
      <c r="C6" t="s">
        <v>81</v>
      </c>
      <c r="D6" t="s">
        <v>76</v>
      </c>
    </row>
    <row r="7" spans="1:7" x14ac:dyDescent="0.3">
      <c r="A7">
        <v>4</v>
      </c>
      <c r="B7" t="s">
        <v>76</v>
      </c>
      <c r="C7" t="s">
        <v>81</v>
      </c>
      <c r="D7" t="s">
        <v>80</v>
      </c>
    </row>
    <row r="8" spans="1:7" x14ac:dyDescent="0.3">
      <c r="A8">
        <v>5</v>
      </c>
      <c r="B8" t="s">
        <v>106</v>
      </c>
      <c r="C8" t="s">
        <v>77</v>
      </c>
      <c r="D8" t="s">
        <v>76</v>
      </c>
    </row>
    <row r="9" spans="1:7" x14ac:dyDescent="0.3">
      <c r="A9">
        <v>6</v>
      </c>
      <c r="B9" t="s">
        <v>106</v>
      </c>
      <c r="C9" t="s">
        <v>77</v>
      </c>
      <c r="D9" t="s">
        <v>80</v>
      </c>
    </row>
    <row r="10" spans="1:7" x14ac:dyDescent="0.3">
      <c r="A10">
        <v>7</v>
      </c>
      <c r="B10" t="s">
        <v>106</v>
      </c>
      <c r="C10" t="s">
        <v>81</v>
      </c>
      <c r="D10" t="s">
        <v>76</v>
      </c>
    </row>
    <row r="11" spans="1:7" x14ac:dyDescent="0.3">
      <c r="A11">
        <v>8</v>
      </c>
      <c r="B11" t="s">
        <v>106</v>
      </c>
      <c r="C11" t="s">
        <v>81</v>
      </c>
      <c r="D11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7999B-0864-46EB-B5D3-810D0D5B240F}">
  <dimension ref="A1:F11"/>
  <sheetViews>
    <sheetView workbookViewId="0"/>
  </sheetViews>
  <sheetFormatPr defaultRowHeight="14.4" x14ac:dyDescent="0.3"/>
  <sheetData>
    <row r="1" spans="1:6" x14ac:dyDescent="0.3">
      <c r="A1" t="s">
        <v>78</v>
      </c>
      <c r="B1" t="s">
        <v>73</v>
      </c>
      <c r="C1" t="s">
        <v>79</v>
      </c>
      <c r="D1" t="s">
        <v>75</v>
      </c>
      <c r="F1" t="s">
        <v>74</v>
      </c>
    </row>
    <row r="2" spans="1:6" x14ac:dyDescent="0.3">
      <c r="A2">
        <v>1</v>
      </c>
      <c r="B2" t="s">
        <v>76</v>
      </c>
      <c r="C2" t="s">
        <v>77</v>
      </c>
      <c r="D2" t="s">
        <v>76</v>
      </c>
      <c r="F2">
        <f>IF(idd!B1=1,'gr1'!B5,IF(idd!B1=2,'gr1'!B6,IF(idd!B1=3,'gr1'!B7,IF(idd!B1=4,'gr1'!B8,IF(idd!B1=5,'gr1'!B9,IF(idd!B1=6,'gr1'!B10,IF(idd!B1=7,'gr1'!B11,"erro")))))))</f>
        <v>3</v>
      </c>
    </row>
    <row r="3" spans="1:6" x14ac:dyDescent="0.3">
      <c r="F3">
        <f>F2/100</f>
        <v>0.03</v>
      </c>
    </row>
    <row r="4" spans="1:6" x14ac:dyDescent="0.3">
      <c r="A4" t="s">
        <v>64</v>
      </c>
      <c r="B4" t="s">
        <v>74</v>
      </c>
    </row>
    <row r="5" spans="1:6" x14ac:dyDescent="0.3">
      <c r="A5">
        <v>1</v>
      </c>
      <c r="B5">
        <f>IF(AND(ct!B3=1,pas!B1=1),1,
IF(AND(ct!B3=1,pas!B1=2),2,
IF(AND(ct!B3=1,pas!B1=3),2,
IF(AND(ct!B3=1,pas!B1=4),3,
IF(AND(ct!B3=1,pas!B1=5),5,
IF(AND(ct!B3=2,pas!B1=1),1,
IF(AND(ct!B3=2,pas!B1=2),2,
IF(AND(ct!B3=2,pas!B1=3),3,
IF(AND(ct!B3=2,pas!B1=4),4,
IF(AND(ct!B3=2,pas!B1=5),5,
IF(AND(ct!B3=3,pas!B1=1),2,
IF(AND(ct!B3=3,pas!B1=2),2,
IF(AND(ct!B3=3,pas!B1=3),3,
IF(AND(ct!B3=3,pas!B1=4),4,
IF(AND(ct!B3=3,pas!B1=5),6,
IF(AND(ct!B3=4,pas!B1=1),2,
IF(AND(ct!B3=4,pas!B1=2),3,
IF(AND(ct!B3=4,pas!B1=3),3,
IF(AND(ct!B3=4,pas!B1=4),5,
IF(AND(ct!B3=4,pas!B1=5),6,
IF(AND(ct!B3=5,pas!B1=1),2,
IF(AND(ct!B3=5,pas!B1=2),3,
IF(AND(ct!B3=5,pas!B1=3),4,
IF(AND(ct!B3=5,pas!B1=4),5,
IF(AND(ct!B3=5,pas!B1=5),7,"erro")))))))))))))))))))))))))</f>
        <v>2</v>
      </c>
    </row>
    <row r="6" spans="1:6" x14ac:dyDescent="0.3">
      <c r="A6">
        <v>2</v>
      </c>
      <c r="B6">
        <f>IF(AND(ct!B3=1,pas!B1=1),2,
IF(AND(ct!B3=1,pas!B1=2),2,
IF(AND(ct!B3=1,pas!B1=3),3,
IF(AND(ct!B3=1,pas!B1=4),4,
IF(AND(ct!B3=1,pas!B1=5),6,
IF(AND(ct!B3=2,pas!B1=1),2,
IF(AND(ct!B3=2,pas!B1=2),3,
IF(AND(ct!B3=2,pas!B1=3),4,
IF(AND(ct!B3=2,pas!B1=4),5,
IF(AND(ct!B3=2,pas!B1=5),6,
IF(AND(ct!B3=3,pas!B1=1),2,
IF(AND(ct!B3=3,pas!B1=2),3,
IF(AND(ct!B3=3,pas!B1=3),4,
IF(AND(ct!B3=3,pas!B1=4),5,
IF(AND(ct!B3=3,pas!B1=5),7,
IF(AND(ct!B3=4,pas!B1=1),3,
IF(AND(ct!B3=4,pas!B1=2),3,
IF(AND(ct!B3=4,pas!B1=3),4,
IF(AND(ct!B3=4,pas!B1=4),6,
IF(AND(ct!B3=4,pas!B1=5),8,
IF(AND(ct!B3=5,pas!B1=1),3,
IF(AND(ct!B3=5,pas!B1=2),4,
IF(AND(ct!B3=5,pas!B1=3),5,
IF(AND(ct!B3=5,pas!B1=4),7,
IF(AND(ct!B3=5,pas!B1=5),9,"erro")))))))))))))))))))))))))</f>
        <v>3</v>
      </c>
    </row>
    <row r="7" spans="1:6" x14ac:dyDescent="0.3">
      <c r="A7">
        <v>3</v>
      </c>
      <c r="B7">
        <f>IF(AND(ct!B3=1,pas!B1=1),2,
IF(AND(ct!B3=1,pas!B1=2),3,
IF(AND(ct!B3=1,pas!B1=3),4,
IF(AND(ct!B3=1,pas!B1=4),6,
IF(AND(ct!B3=1,pas!B1=5),7,
IF(AND(ct!B3=2,pas!B1=1),3,
IF(AND(ct!B3=2,pas!B1=2),4,
IF(AND(ct!B3=2,pas!B1=3),5,
IF(AND(ct!B3=2,pas!B1=4),6,
IF(AND(ct!B3=2,pas!B1=5),8,
IF(AND(ct!B3=3,pas!B1=1),3,
IF(AND(ct!B3=3,pas!B1=2),4,
IF(AND(ct!B3=3,pas!B1=3),5,
IF(AND(ct!B3=3,pas!B1=4),7,
IF(AND(ct!B3=3,pas!B1=5),9,
IF(AND(ct!B3=4,pas!B1=1),3,
IF(AND(ct!B3=4,pas!B1=2),4,
IF(AND(ct!B3=4,pas!B1=3),6,
IF(AND(ct!B3=4,pas!B1=4),8,
IF(AND(ct!B3=4,pas!B1=5),10,
IF(AND(ct!B3=5,pas!B1=1),4,
IF(AND(ct!B3=5,pas!B1=2),5,
IF(AND(ct!B3=5,pas!B1=3),7,
IF(AND(ct!B3=5,pas!B1=4),9,
IF(AND(ct!B3=5,pas!B1=5),11,"erro")))))))))))))))))))))))))</f>
        <v>4</v>
      </c>
    </row>
    <row r="8" spans="1:6" x14ac:dyDescent="0.3">
      <c r="A8">
        <v>4</v>
      </c>
      <c r="B8">
        <f>IF(AND(ct!B3=1,pas!B1=1),3,
IF(AND(ct!B3=1,pas!B1=2),4,
IF(AND(ct!B3=1,pas!B1=3),6,
IF(AND(ct!B3=1,pas!B1=4),7,
IF(AND(ct!B3=1,pas!B1=5),9,
IF(AND(ct!B3=2,pas!B1=1),4,
IF(AND(ct!B3=2,pas!B1=2),5,
IF(AND(ct!B3=2,pas!B1=3),6,
IF(AND(ct!B3=2,pas!B1=4),8,
IF(AND(ct!B3=2,pas!B1=5),10,
IF(AND(ct!B3=3,pas!B1=1),4,
IF(AND(ct!B3=3,pas!B1=2),5,
IF(AND(ct!B3=3,pas!B1=3),7,
IF(AND(ct!B3=3,pas!B1=4),9,
IF(AND(ct!B3=3,pas!B1=5),11,
IF(AND(ct!B3=4,pas!B1=1),5,
IF(AND(ct!B3=4,pas!B1=2),6,
IF(AND(ct!B3=4,pas!B1=3),8,
IF(AND(ct!B3=4,pas!B1=4),10,
IF(AND(ct!B3=4,pas!B1=5),12,
IF(AND(ct!B3=5,pas!B1=1),5,
IF(AND(ct!B3=5,pas!B1=2),7,
IF(AND(ct!B3=5,pas!B1=3),8,
IF(AND(ct!B3=5,pas!B1=4),11,
IF(AND(ct!B3=5,pas!B1=5),14,"erro")))))))))))))))))))))))))</f>
        <v>5</v>
      </c>
    </row>
    <row r="9" spans="1:6" x14ac:dyDescent="0.3">
      <c r="A9">
        <v>5</v>
      </c>
      <c r="B9">
        <f>IF(AND(ct!B3=1,pas!B1=1),5,
IF(AND(ct!B3=1,pas!B1=2),6,
IF(AND(ct!B3=1,pas!B1=3),7,
IF(AND(ct!B3=1,pas!B1=4),9,
IF(AND(ct!B3=1,pas!B1=5),12,
IF(AND(ct!B3=2,pas!B1=1),5,
IF(AND(ct!B3=2,pas!B1=2),6,
IF(AND(ct!B3=2,pas!B1=3),8,
IF(AND(ct!B3=2,pas!B1=4),10,
IF(AND(ct!B3=2,pas!B1=5),13,
IF(AND(ct!B3=3,pas!B1=1),6,
IF(AND(ct!B3=3,pas!B1=2),7,
IF(AND(ct!B3=3,pas!B1=3),9,
IF(AND(ct!B3=3,pas!B1=4),11,
IF(AND(ct!B3=3,pas!B1=5),14,
IF(AND(ct!B3=4,pas!B1=1),6,
IF(AND(ct!B3=4,pas!B1=2),8,
IF(AND(ct!B3=4,pas!B1=3),10,
IF(AND(ct!B3=4,pas!B1=4),12,
IF(AND(ct!B3=4,pas!B1=5),15,
IF(AND(ct!B3=5,pas!B1=1),7,
IF(AND(ct!B3=5,pas!B1=2),9,
IF(AND(ct!B3=5,pas!B1=3),11,
IF(AND(ct!B3=5,pas!B1=4),14,
IF(AND(ct!B3=5,pas!B1=5),17,"erro")))))))))))))))))))))))))</f>
        <v>7</v>
      </c>
    </row>
    <row r="10" spans="1:6" x14ac:dyDescent="0.3">
      <c r="A10">
        <v>6</v>
      </c>
      <c r="B10">
        <f>IF(AND(ct!B3=1,pas!B1=1),6,
IF(AND(ct!B3=1,pas!B1=2),8,
IF(AND(ct!B3=1,pas!B1=3),10,
IF(AND(ct!B3=1,pas!B1=4),12,
IF(AND(ct!B3=1,pas!B1=5),15,
IF(AND(ct!B3=2,pas!B1=1),7,
IF(AND(ct!B3=2,pas!B1=2),9,
IF(AND(ct!B3=2,pas!B1=3),11,
IF(AND(ct!B3=2,pas!B1=4),13,
IF(AND(ct!B3=2,pas!B1=5),16,
IF(AND(ct!B3=3,pas!B1=1),8,
IF(AND(ct!B3=3,pas!B1=2),9,
IF(AND(ct!B3=3,pas!B1=3),12,
IF(AND(ct!B3=3,pas!B1=4),14,
IF(AND(ct!B3=3,pas!B1=5),17,
IF(AND(ct!B3=4,pas!B1=1),8,
IF(AND(ct!B3=4,pas!B1=2),10,
IF(AND(ct!B3=4,pas!B1=3),13,
IF(AND(ct!B3=4,pas!B1=4),15,
IF(AND(ct!B3=4,pas!B1=5),19,
IF(AND(ct!B3=5,pas!B1=1),9,
IF(AND(ct!B3=5,pas!B1=2),11,
IF(AND(ct!B3=5,pas!B1=3),14,
IF(AND(ct!B3=5,pas!B1=4),17,
IF(AND(ct!B3=5,pas!B1=5),21,"erro")))))))))))))))))))))))))</f>
        <v>9</v>
      </c>
    </row>
    <row r="11" spans="1:6" x14ac:dyDescent="0.3">
      <c r="A11">
        <v>7</v>
      </c>
      <c r="B11">
        <f>IF(AND(ct!B3=1,pas!B1=1),9,
IF(AND(ct!B3=1,pas!B1=2),11,
IF(AND(ct!B3=1,pas!B1=3),13,
IF(AND(ct!B3=1,pas!B1=4),15,
IF(AND(ct!B3=1,pas!B1=5),18,
IF(AND(ct!B3=2,pas!B1=1),9,
IF(AND(ct!B3=2,pas!B1=2),11,
IF(AND(ct!B3=2,pas!B1=3),14,
IF(AND(ct!B3=2,pas!B1=4),17,
IF(AND(ct!B3=2,pas!B1=5),20,
IF(AND(ct!B3=3,pas!B1=1),10,
IF(AND(ct!B3=3,pas!B1=2),12,
IF(AND(ct!B3=3,pas!B1=3),15,
IF(AND(ct!B3=3,pas!B1=4),18,
IF(AND(ct!B3=3,pas!B1=5),21,
IF(AND(ct!B3=4,pas!B1=1),11,
IF(AND(ct!B3=4,pas!B1=2),14,
IF(AND(ct!B3=4,pas!B1=3),16,
IF(AND(ct!B3=4,pas!B1=4),19,
IF(AND(ct!B3=4,pas!B1=5),23,
IF(AND(ct!B3=5,pas!B1=1),12,
IF(AND(ct!B3=5,pas!B1=2),15,
IF(AND(ct!B3=5,pas!B1=3),18,
IF(AND(ct!B3=5,pas!B1=4),21,
IF(AND(ct!B3=5,pas!B1=5),25,"erro")))))))))))))))))))))))))</f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40C05-B3AF-4DAD-87DF-4A536B21F441}">
  <dimension ref="A1:F11"/>
  <sheetViews>
    <sheetView workbookViewId="0"/>
  </sheetViews>
  <sheetFormatPr defaultRowHeight="14.4" x14ac:dyDescent="0.3"/>
  <sheetData>
    <row r="1" spans="1:6" x14ac:dyDescent="0.3">
      <c r="A1" t="s">
        <v>78</v>
      </c>
      <c r="B1" t="s">
        <v>73</v>
      </c>
      <c r="C1" t="s">
        <v>79</v>
      </c>
      <c r="D1" t="s">
        <v>75</v>
      </c>
      <c r="F1" t="s">
        <v>74</v>
      </c>
    </row>
    <row r="2" spans="1:6" x14ac:dyDescent="0.3">
      <c r="A2">
        <v>2</v>
      </c>
      <c r="B2" t="s">
        <v>76</v>
      </c>
      <c r="C2" t="s">
        <v>77</v>
      </c>
      <c r="D2" t="s">
        <v>80</v>
      </c>
      <c r="F2">
        <f>IF(idd!B1=1,'gr2'!B5,IF(idd!B1=2,'gr2'!B6,IF(idd!B1=3,'gr2'!B7,IF(idd!B1=4,'gr2'!B8,IF(idd!B1=5,'gr2'!B9,IF(idd!B1=6,'gr2'!B10,IF(idd!B1=7,'gr2'!B11,"erro")))))))</f>
        <v>5</v>
      </c>
    </row>
    <row r="3" spans="1:6" x14ac:dyDescent="0.3">
      <c r="F3">
        <f>F2/100</f>
        <v>0.05</v>
      </c>
    </row>
    <row r="4" spans="1:6" x14ac:dyDescent="0.3">
      <c r="A4" t="s">
        <v>64</v>
      </c>
      <c r="B4" t="s">
        <v>74</v>
      </c>
    </row>
    <row r="5" spans="1:6" x14ac:dyDescent="0.3">
      <c r="A5">
        <v>1</v>
      </c>
      <c r="B5">
        <f>IF(AND(ct!B3=1,pas!B1=1),2,
IF(AND(ct!B3=1,pas!B1=2),3,
IF(AND(ct!B3=1,pas!B1=3),4,
IF(AND(ct!B3=1,pas!B1=4),6,
IF(AND(ct!B3=1,pas!B1=5),8,
IF(AND(ct!B3=2,pas!B1=1),3,
IF(AND(ct!B3=2,pas!B1=2),4,
IF(AND(ct!B3=2,pas!B1=3),5,
IF(AND(ct!B3=2,pas!B1=4),7,
IF(AND(ct!B3=2,pas!B1=5),9,
IF(AND(ct!B3=3,pas!B1=1),3,
IF(AND(ct!B3=3,pas!B1=2),4,
IF(AND(ct!B3=3,pas!B1=3),5,
IF(AND(ct!B3=3,pas!B1=4),7,
IF(AND(ct!B3=3,pas!B1=5),10,
IF(AND(ct!B3=4,pas!B1=1),3,
IF(AND(ct!B3=4,pas!B1=2),5,
IF(AND(ct!B3=4,pas!B1=3),6,
IF(AND(ct!B3=4,pas!B1=4),8,
IF(AND(ct!B3=4,pas!B1=5),11,
IF(AND(ct!B3=5,pas!B1=1),4,
IF(AND(ct!B3=5,pas!B1=2),6,
IF(AND(ct!B3=5,pas!B1=3),7,
IF(AND(ct!B3=5,pas!B1=4),10,
IF(AND(ct!B3=5,pas!B1=5),13,"erro")))))))))))))))))))))))))</f>
        <v>4</v>
      </c>
    </row>
    <row r="6" spans="1:6" x14ac:dyDescent="0.3">
      <c r="A6">
        <v>2</v>
      </c>
      <c r="B6">
        <f>IF(AND(ct!B3=1,pas!B1=1),3,
IF(AND(ct!B3=1,pas!B1=2),4,
IF(AND(ct!B3=1,pas!B1=3),5,
IF(AND(ct!B3=1,pas!B1=4),7,
IF(AND(ct!B3=1,pas!B1=5),10,
IF(AND(ct!B3=2,pas!B1=1),3,
IF(AND(ct!B3=2,pas!B1=2),4,
IF(AND(ct!B3=2,pas!B1=3),6,
IF(AND(ct!B3=2,pas!B1=4),8,
IF(AND(ct!B3=2,pas!B1=5),11,
IF(AND(ct!B3=3,pas!B1=1),4,
IF(AND(ct!B3=3,pas!B1=2),5,
IF(AND(ct!B3=3,pas!B1=3),7,
IF(AND(ct!B3=3,pas!B1=4),9,
IF(AND(ct!B3=3,pas!B1=5),12,
IF(AND(ct!B3=4,pas!B1=1),4,
IF(AND(ct!B3=4,pas!B1=2),6,
IF(AND(ct!B3=4,pas!B1=3),8,
IF(AND(ct!B3=4,pas!B1=4),10,
IF(AND(ct!B3=4,pas!B1=5),13,
IF(AND(ct!B3=5,pas!B1=1),5,
IF(AND(ct!B3=5,pas!B1=2),7,
IF(AND(ct!B3=5,pas!B1=3),9,
IF(AND(ct!B3=5,pas!B1=4),12,
IF(AND(ct!B3=5,pas!B1=5),15,"erro")))))))))))))))))))))))))</f>
        <v>5</v>
      </c>
    </row>
    <row r="7" spans="1:6" x14ac:dyDescent="0.3">
      <c r="A7">
        <v>3</v>
      </c>
      <c r="B7">
        <f>IF(AND(ct!B3=1,pas!B1=1),4,
IF(AND(ct!B3=1,pas!B1=2),5,
IF(AND(ct!B3=1,pas!B1=3),7,
IF(AND(ct!B3=1,pas!B1=4),9,
IF(AND(ct!B3=1,pas!B1=5),11,
IF(AND(ct!B3=2,pas!B1=1),4,
IF(AND(ct!B3=2,pas!B1=2),6,
IF(AND(ct!B3=2,pas!B1=3),7,
IF(AND(ct!B3=2,pas!B1=4),10,
IF(AND(ct!B3=2,pas!B1=5),13,
IF(AND(ct!B3=3,pas!B1=1),5,
IF(AND(ct!B3=3,pas!B1=2),6,
IF(AND(ct!B3=3,pas!B1=3),8,
IF(AND(ct!B3=3,pas!B1=4),11,
IF(AND(ct!B3=3,pas!B1=5),14,
IF(AND(ct!B3=4,pas!B1=1),6,
IF(AND(ct!B3=4,pas!B1=2),7,
IF(AND(ct!B3=4,pas!B1=3),9,
IF(AND(ct!B3=4,pas!B1=4),12,
IF(AND(ct!B3=4,pas!B1=5),16,
IF(AND(ct!B3=5,pas!B1=1),6,
IF(AND(ct!B3=5,pas!B1=2),8,
IF(AND(ct!B3=5,pas!B1=3),11,
IF(AND(ct!B3=5,pas!B1=4),14,
IF(AND(ct!B3=5,pas!B1=5),18,"erro")))))))))))))))))))))))))</f>
        <v>6</v>
      </c>
    </row>
    <row r="8" spans="1:6" x14ac:dyDescent="0.3">
      <c r="A8">
        <v>4</v>
      </c>
      <c r="B8">
        <f>IF(AND(ct!B3=1,pas!B1=1),5,
IF(AND(ct!B3=1,pas!B1=2),6,
IF(AND(ct!B3=1,pas!B1=3),8,
IF(AND(ct!B3=1,pas!B1=4),11,
IF(AND(ct!B3=1,pas!B1=5),14,
IF(AND(ct!B3=2,pas!B1=1),6,
IF(AND(ct!B3=2,pas!B1=2),7,
IF(AND(ct!B3=2,pas!B1=3),9,
IF(AND(ct!B3=2,pas!B1=4),12,
IF(AND(ct!B3=2,pas!B1=5),15,
IF(AND(ct!B3=3,pas!B1=1),6,
IF(AND(ct!B3=3,pas!B1=2),8,
IF(AND(ct!B3=3,pas!B1=3),10,
IF(AND(ct!B3=3,pas!B1=4),13,
IF(AND(ct!B3=3,pas!B1=5),16,
IF(AND(ct!B3=4,pas!B1=1),7,
IF(AND(ct!B3=4,pas!B1=2),9,
IF(AND(ct!B3=4,pas!B1=3),11,
IF(AND(ct!B3=4,pas!B1=4),14,
IF(AND(ct!B3=4,pas!B1=5),18,
IF(AND(ct!B3=5,pas!B1=1),8,
IF(AND(ct!B3=5,pas!B1=2),10,
IF(AND(ct!B3=5,pas!B1=3),13,
IF(AND(ct!B3=5,pas!B1=4),16,
IF(AND(ct!B3=5,pas!B1=5),20,"erro")))))))))))))))))))))))))</f>
        <v>8</v>
      </c>
    </row>
    <row r="9" spans="1:6" x14ac:dyDescent="0.3">
      <c r="A9">
        <v>5</v>
      </c>
      <c r="B9">
        <f>IF(AND(ct!B3=1,pas!B1=1),7,
IF(AND(ct!B3=1,pas!B1=2),8,
IF(AND(ct!B3=1,pas!B1=3),10,
IF(AND(ct!B3=1,pas!B1=4),13,
IF(AND(ct!B3=1,pas!B1=5),16,
IF(AND(ct!B3=2,pas!B1=1),7,
IF(AND(ct!B3=2,pas!B1=2),9,
IF(AND(ct!B3=2,pas!B1=3),11,
IF(AND(ct!B3=2,pas!B1=4),14,
IF(AND(ct!B3=2,pas!B1=5),18,
IF(AND(ct!B3=3,pas!B1=1),8,
IF(AND(ct!B3=3,pas!B1=2),10,
IF(AND(ct!B3=3,pas!B1=3),12,
IF(AND(ct!B3=3,pas!B1=4),16,
IF(AND(ct!B3=3,pas!B1=5),19,
IF(AND(ct!B3=4,pas!B1=1),9,
IF(AND(ct!B3=4,pas!B1=2),11,
IF(AND(ct!B3=4,pas!B1=3),14,
IF(AND(ct!B3=4,pas!B1=4),17,
IF(AND(ct!B3=4,pas!B1=5),21,
IF(AND(ct!B3=5,pas!B1=1),10,
IF(AND(ct!B3=5,pas!B1=2),12,
IF(AND(ct!B3=5,pas!B1=3),15,
IF(AND(ct!B3=5,pas!B1=4),19,
IF(AND(ct!B3=5,pas!B1=5),23,"erro")))))))))))))))))))))))))</f>
        <v>10</v>
      </c>
    </row>
    <row r="10" spans="1:6" x14ac:dyDescent="0.3">
      <c r="A10">
        <v>6</v>
      </c>
      <c r="B10">
        <f>IF(AND(ct!B3=1,pas!B1=1),8,
IF(AND(ct!B3=1,pas!B1=2),10,
IF(AND(ct!B3=1,pas!B1=3),13,
IF(AND(ct!B3=1,pas!B1=4),16,
IF(AND(ct!B3=1,pas!B1=5),19,
IF(AND(ct!B3=2,pas!B1=1),9,
IF(AND(ct!B3=2,pas!B1=2),11,
IF(AND(ct!B3=2,pas!B1=3),14,
IF(AND(ct!B3=2,pas!B1=4),17,
IF(AND(ct!B3=2,pas!B1=5),21,
IF(AND(ct!B3=3,pas!B1=1),10,
IF(AND(ct!B3=3,pas!B1=2),12,
IF(AND(ct!B3=3,pas!B1=3),15,
IF(AND(ct!B3=3,pas!B1=4),19,
IF(AND(ct!B3=3,pas!B1=5),23,
IF(AND(ct!B3=4,pas!B1=1),11,
IF(AND(ct!B3=4,pas!B1=2),14,
IF(AND(ct!B3=4,pas!B1=3),17,
IF(AND(ct!B3=4,pas!B1=4),20,
IF(AND(ct!B3=4,pas!B1=5),25,
IF(AND(ct!B3=5,pas!B1=1),12,
IF(AND(ct!B3=5,pas!B1=2),15,
IF(AND(ct!B3=5,pas!B1=3),18,
IF(AND(ct!B3=5,pas!B1=4),22,
IF(AND(ct!B3=5,pas!B1=5),27,"erro")))))))))))))))))))))))))</f>
        <v>12</v>
      </c>
    </row>
    <row r="11" spans="1:6" x14ac:dyDescent="0.3">
      <c r="A11">
        <v>7</v>
      </c>
      <c r="B11">
        <f>IF(AND(ct!B3=1,pas!B1=1),11,
IF(AND(ct!B3=1,pas!B1=2),13,
IF(AND(ct!B3=1,pas!B1=3),16,
IF(AND(ct!B3=1,pas!B1=4),19,
IF(AND(ct!B3=1,pas!B1=5),23,
IF(AND(ct!B3=2,pas!B1=1),12,
IF(AND(ct!B3=2,pas!B1=2),14,
IF(AND(ct!B3=2,pas!B1=3),17,
IF(AND(ct!B3=2,pas!B1=4),21,
IF(AND(ct!B3=2,pas!B1=5),24,
IF(AND(ct!B3=3,pas!B1=1),13,
IF(AND(ct!B3=3,pas!B1=2),16,
IF(AND(ct!B3=3,pas!B1=3),19,
IF(AND(ct!B3=3,pas!B1=4),22,
IF(AND(ct!B3=3,pas!B1=5),26,
IF(AND(ct!B3=4,pas!B1=1),14,
IF(AND(ct!B3=4,pas!B1=2),17,
IF(AND(ct!B3=4,pas!B1=3),20,
IF(AND(ct!B3=4,pas!B1=4),24,
IF(AND(ct!B3=4,pas!B1=5),29,
IF(AND(ct!B3=5,pas!B1=1),15,
IF(AND(ct!B3=5,pas!B1=2),18,
IF(AND(ct!B3=5,pas!B1=3),22,
IF(AND(ct!B3=5,pas!B1=4),26,
IF(AND(ct!B3=5,pas!B1=5),31,"erro")))))))))))))))))))))))))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calculator</vt:lpstr>
      <vt:lpstr>simulation_total_cholesterol</vt:lpstr>
      <vt:lpstr>total_cholesterol_conversion</vt:lpstr>
      <vt:lpstr>idd</vt:lpstr>
      <vt:lpstr>pas</vt:lpstr>
      <vt:lpstr>ct</vt:lpstr>
      <vt:lpstr>gr</vt:lpstr>
      <vt:lpstr>gr1</vt:lpstr>
      <vt:lpstr>gr2</vt:lpstr>
      <vt:lpstr>gr3</vt:lpstr>
      <vt:lpstr>gr4</vt:lpstr>
      <vt:lpstr>gr5</vt:lpstr>
      <vt:lpstr>gr6</vt:lpstr>
      <vt:lpstr>gr7</vt:lpstr>
      <vt:lpstr>gr8</vt:lpstr>
      <vt:lpstr>male</vt:lpstr>
      <vt:lpstr>percentile_male</vt:lpstr>
      <vt:lpstr>female</vt:lpstr>
      <vt:lpstr>percentile_female</vt:lpstr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Cesena</cp:lastModifiedBy>
  <dcterms:created xsi:type="dcterms:W3CDTF">2018-01-29T19:05:56Z</dcterms:created>
  <dcterms:modified xsi:type="dcterms:W3CDTF">2023-06-16T23:06:09Z</dcterms:modified>
</cp:coreProperties>
</file>